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1475" windowHeight="4680" activeTab="2"/>
  </bookViews>
  <sheets>
    <sheet name="Sheet1" sheetId="1" r:id="rId1"/>
    <sheet name="Sheet3" sheetId="3" r:id="rId2"/>
    <sheet name="Demography (2)" sheetId="13" r:id="rId3"/>
    <sheet name="Demography (3)" sheetId="18" r:id="rId4"/>
    <sheet name="Checks" sheetId="19" r:id="rId5"/>
    <sheet name="All Name Lists" sheetId="20" r:id="rId6"/>
    <sheet name="Head of Family List" sheetId="22" r:id="rId7"/>
  </sheets>
  <calcPr calcId="125725"/>
</workbook>
</file>

<file path=xl/calcChain.xml><?xml version="1.0" encoding="utf-8"?>
<calcChain xmlns="http://schemas.openxmlformats.org/spreadsheetml/2006/main">
  <c r="F1652" i="13"/>
  <c r="C3" i="20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C1001" s="1"/>
  <c r="C1002" s="1"/>
  <c r="C1003" s="1"/>
  <c r="C1004" s="1"/>
  <c r="C1005" s="1"/>
  <c r="C1006" s="1"/>
  <c r="C1007" s="1"/>
  <c r="C1008" s="1"/>
  <c r="C1009" s="1"/>
  <c r="C1010" s="1"/>
  <c r="C1011" s="1"/>
  <c r="C1012" s="1"/>
  <c r="C1013" s="1"/>
  <c r="C1014" s="1"/>
  <c r="C1015" s="1"/>
  <c r="C1016" s="1"/>
  <c r="C1017" s="1"/>
  <c r="C1018" s="1"/>
  <c r="C1019" s="1"/>
  <c r="C1020" s="1"/>
  <c r="C1021" s="1"/>
  <c r="C1022" s="1"/>
  <c r="C1023" s="1"/>
  <c r="C1024" s="1"/>
  <c r="C1025" s="1"/>
  <c r="C1026" s="1"/>
  <c r="C1027" s="1"/>
  <c r="C1028" s="1"/>
  <c r="C1029" s="1"/>
  <c r="C1030" s="1"/>
  <c r="C1031" s="1"/>
  <c r="C1032" s="1"/>
  <c r="C1033" s="1"/>
  <c r="C1034" s="1"/>
  <c r="C1035" s="1"/>
  <c r="C1036" s="1"/>
  <c r="C1037" s="1"/>
  <c r="C1038" s="1"/>
  <c r="C1039" s="1"/>
  <c r="C1040" s="1"/>
  <c r="C1041" s="1"/>
  <c r="C1042" s="1"/>
  <c r="C1043" s="1"/>
  <c r="C1044" s="1"/>
  <c r="C1045" s="1"/>
  <c r="C1046" s="1"/>
  <c r="C1047" s="1"/>
  <c r="C1048" s="1"/>
  <c r="C1049" s="1"/>
  <c r="C1050" s="1"/>
  <c r="C1051" s="1"/>
  <c r="C1052" s="1"/>
  <c r="C1053" s="1"/>
  <c r="C1054" s="1"/>
  <c r="C1055" s="1"/>
  <c r="C1056" s="1"/>
  <c r="C1057" s="1"/>
  <c r="C1058" s="1"/>
  <c r="C1059" s="1"/>
  <c r="C1060" s="1"/>
  <c r="C1061" s="1"/>
  <c r="C1062" s="1"/>
  <c r="C1063" s="1"/>
  <c r="C1064" s="1"/>
  <c r="C1065" s="1"/>
  <c r="C1066" s="1"/>
  <c r="C1067" s="1"/>
  <c r="C1068" s="1"/>
  <c r="C1069" s="1"/>
  <c r="C1070" s="1"/>
  <c r="C1071" s="1"/>
  <c r="C1072" s="1"/>
  <c r="C1073" s="1"/>
  <c r="C1074" s="1"/>
  <c r="C1075" s="1"/>
  <c r="C1076" s="1"/>
  <c r="C1077" s="1"/>
  <c r="C1078" s="1"/>
  <c r="C1079" s="1"/>
  <c r="C1080" s="1"/>
  <c r="C1081" s="1"/>
  <c r="C1082" s="1"/>
  <c r="C1083" s="1"/>
  <c r="C1084" s="1"/>
  <c r="C1085" s="1"/>
  <c r="C1086" s="1"/>
  <c r="C1087" s="1"/>
  <c r="C1088" s="1"/>
  <c r="C1089" s="1"/>
  <c r="C1090" s="1"/>
  <c r="C1091" s="1"/>
  <c r="C1092" s="1"/>
  <c r="C1093" s="1"/>
  <c r="C1094" s="1"/>
  <c r="C1095" s="1"/>
  <c r="C1096" s="1"/>
  <c r="C1097" s="1"/>
  <c r="C1098" s="1"/>
  <c r="C1099" s="1"/>
  <c r="C1100" s="1"/>
  <c r="C1101" s="1"/>
  <c r="C1102" s="1"/>
  <c r="C1103" s="1"/>
  <c r="C1104" s="1"/>
  <c r="C1105" s="1"/>
  <c r="C1106" s="1"/>
  <c r="C1107" s="1"/>
  <c r="C1108" s="1"/>
  <c r="C1109" s="1"/>
  <c r="C1110" s="1"/>
  <c r="C1111" s="1"/>
  <c r="C1112" s="1"/>
  <c r="C1113" s="1"/>
  <c r="C1114" s="1"/>
  <c r="C1115" s="1"/>
  <c r="C1116" s="1"/>
  <c r="C1117" s="1"/>
  <c r="C1118" s="1"/>
  <c r="C1119" s="1"/>
  <c r="C1120" s="1"/>
  <c r="C1121" s="1"/>
  <c r="C1122" s="1"/>
  <c r="C1123" s="1"/>
  <c r="C1124" s="1"/>
  <c r="C1125" s="1"/>
  <c r="C1126" s="1"/>
  <c r="C1127" s="1"/>
  <c r="C1128" s="1"/>
  <c r="C1129" s="1"/>
  <c r="C1130" s="1"/>
  <c r="C1131" s="1"/>
  <c r="C1132" s="1"/>
  <c r="C1133" s="1"/>
  <c r="C1134" s="1"/>
  <c r="C1135" s="1"/>
  <c r="C1136" s="1"/>
  <c r="C1137" s="1"/>
  <c r="C1138" s="1"/>
  <c r="C1139" s="1"/>
  <c r="C1140" s="1"/>
  <c r="C1141" s="1"/>
  <c r="C1142" s="1"/>
  <c r="C1143" s="1"/>
  <c r="C1144" s="1"/>
  <c r="C1145" s="1"/>
  <c r="C1146" s="1"/>
  <c r="C1147" s="1"/>
  <c r="C1148" s="1"/>
  <c r="C1149" s="1"/>
  <c r="C1150" s="1"/>
  <c r="C1151" s="1"/>
  <c r="C1152" s="1"/>
  <c r="C1153" s="1"/>
  <c r="C1154" s="1"/>
  <c r="C1155" s="1"/>
  <c r="C1156" s="1"/>
  <c r="C1157" s="1"/>
  <c r="C1158" s="1"/>
  <c r="C1159" s="1"/>
  <c r="C1160" s="1"/>
  <c r="C1161" s="1"/>
  <c r="C1162" s="1"/>
  <c r="C1163" s="1"/>
  <c r="C1164" s="1"/>
  <c r="C1165" s="1"/>
  <c r="C1166" s="1"/>
  <c r="C1167" s="1"/>
  <c r="C1168" s="1"/>
  <c r="C1169" s="1"/>
  <c r="C1170" s="1"/>
  <c r="C1171" s="1"/>
  <c r="C1172" s="1"/>
  <c r="C1173" s="1"/>
  <c r="C1174" s="1"/>
  <c r="C1175" s="1"/>
  <c r="C1176" s="1"/>
  <c r="C1177" s="1"/>
  <c r="C1178" s="1"/>
  <c r="C1179" s="1"/>
  <c r="C1180" s="1"/>
  <c r="C1181" s="1"/>
  <c r="C1182" s="1"/>
  <c r="C1183" s="1"/>
  <c r="C1184" s="1"/>
  <c r="C1185" s="1"/>
  <c r="C1186" s="1"/>
  <c r="C1187" s="1"/>
  <c r="C1188" s="1"/>
  <c r="C1189" s="1"/>
  <c r="C1190" s="1"/>
  <c r="C1191" s="1"/>
  <c r="C1192" s="1"/>
  <c r="C1193" s="1"/>
  <c r="C1194" s="1"/>
  <c r="C1195" s="1"/>
  <c r="C1196" s="1"/>
  <c r="C1197" s="1"/>
  <c r="C1198" s="1"/>
  <c r="C1199" s="1"/>
  <c r="C1200" s="1"/>
  <c r="C1201" s="1"/>
  <c r="C1202" s="1"/>
  <c r="C1203" s="1"/>
  <c r="C1204" s="1"/>
  <c r="C1205" s="1"/>
  <c r="C1206" s="1"/>
  <c r="C1207" s="1"/>
  <c r="C1208" s="1"/>
  <c r="C1209" s="1"/>
  <c r="C1210" s="1"/>
  <c r="C1211" s="1"/>
  <c r="C1212" s="1"/>
  <c r="C1213" s="1"/>
  <c r="C1214" s="1"/>
  <c r="C1215" s="1"/>
  <c r="C1216" s="1"/>
  <c r="C1217" s="1"/>
  <c r="C1218" s="1"/>
  <c r="C1219" s="1"/>
  <c r="C1220" s="1"/>
  <c r="C1221" s="1"/>
  <c r="C1222" s="1"/>
  <c r="C1223" s="1"/>
  <c r="C1224" s="1"/>
  <c r="C1225" s="1"/>
  <c r="C1226" s="1"/>
  <c r="C1227" s="1"/>
  <c r="C1228" s="1"/>
  <c r="C1229" s="1"/>
  <c r="C1230" s="1"/>
  <c r="C1231" s="1"/>
  <c r="C1232" s="1"/>
  <c r="C1233" s="1"/>
  <c r="C1234" s="1"/>
  <c r="C1235" s="1"/>
  <c r="C1236" s="1"/>
  <c r="C1237" s="1"/>
  <c r="C1238" s="1"/>
  <c r="C1239" s="1"/>
  <c r="C1240" s="1"/>
  <c r="C1241" s="1"/>
  <c r="C1242" s="1"/>
  <c r="C1243" s="1"/>
  <c r="C1244" s="1"/>
  <c r="C1245" s="1"/>
  <c r="C1246" s="1"/>
  <c r="C1247" s="1"/>
  <c r="C1248" s="1"/>
  <c r="C1249" s="1"/>
  <c r="C1250" s="1"/>
  <c r="C1251" s="1"/>
  <c r="C1252" s="1"/>
  <c r="C1253" s="1"/>
  <c r="C1254" s="1"/>
  <c r="C1255" s="1"/>
  <c r="C1256" s="1"/>
  <c r="C1257" s="1"/>
  <c r="C1258" s="1"/>
  <c r="C1259" s="1"/>
  <c r="C1260" s="1"/>
  <c r="C1261" s="1"/>
  <c r="C1262" s="1"/>
  <c r="C1263" s="1"/>
  <c r="C1264" s="1"/>
  <c r="C1265" s="1"/>
  <c r="C1266" s="1"/>
  <c r="C1267" s="1"/>
  <c r="C1268" s="1"/>
  <c r="C1269" s="1"/>
  <c r="C1270" s="1"/>
  <c r="C1271" s="1"/>
  <c r="C1272" s="1"/>
  <c r="C1273" s="1"/>
  <c r="C1274" s="1"/>
  <c r="C1275" s="1"/>
  <c r="C1276" s="1"/>
  <c r="C1277" s="1"/>
  <c r="C1278" s="1"/>
  <c r="C1279" s="1"/>
  <c r="C1280" s="1"/>
  <c r="C1281" s="1"/>
  <c r="C1282" s="1"/>
  <c r="C1283" s="1"/>
  <c r="C1284" s="1"/>
  <c r="C1285" s="1"/>
  <c r="C1286" s="1"/>
  <c r="C1287" s="1"/>
  <c r="C1288" s="1"/>
  <c r="C1289" s="1"/>
  <c r="C1290" s="1"/>
  <c r="C1291" s="1"/>
  <c r="C1292" s="1"/>
  <c r="C1293" s="1"/>
  <c r="C1294" s="1"/>
  <c r="C1295" s="1"/>
  <c r="C1296" s="1"/>
  <c r="C1297" s="1"/>
  <c r="C1298" s="1"/>
  <c r="C1299" s="1"/>
  <c r="C1300" s="1"/>
  <c r="C1301" s="1"/>
  <c r="C1302" s="1"/>
  <c r="C1303" s="1"/>
  <c r="C1304" s="1"/>
  <c r="C1305" s="1"/>
  <c r="C1306" s="1"/>
  <c r="C1307" s="1"/>
  <c r="C1308" s="1"/>
  <c r="C1309" s="1"/>
  <c r="C1310" s="1"/>
  <c r="C1311" s="1"/>
  <c r="C1312" s="1"/>
  <c r="C1313" s="1"/>
  <c r="C1314" s="1"/>
  <c r="C1315" s="1"/>
  <c r="C1316" s="1"/>
  <c r="C1317" s="1"/>
  <c r="C1318" s="1"/>
  <c r="C1319" s="1"/>
  <c r="C1320" s="1"/>
  <c r="C1321" s="1"/>
  <c r="C1322" s="1"/>
  <c r="C1323" s="1"/>
  <c r="C1324" s="1"/>
  <c r="C1325" s="1"/>
  <c r="C1326" s="1"/>
  <c r="C1327" s="1"/>
  <c r="C1328" s="1"/>
  <c r="C1329" s="1"/>
  <c r="C1330" s="1"/>
  <c r="C1331" s="1"/>
  <c r="C1332" s="1"/>
  <c r="C1333" s="1"/>
  <c r="C1334" s="1"/>
  <c r="C1335" s="1"/>
  <c r="C1336" s="1"/>
  <c r="C1337" s="1"/>
  <c r="C1338" s="1"/>
  <c r="C1339" s="1"/>
  <c r="C1340" s="1"/>
  <c r="C1341" s="1"/>
  <c r="C1342" s="1"/>
  <c r="C1343" s="1"/>
  <c r="C1344" s="1"/>
  <c r="C1345" s="1"/>
  <c r="C1346" s="1"/>
  <c r="C1347" s="1"/>
  <c r="C1348" s="1"/>
  <c r="C1349" s="1"/>
  <c r="C1350" s="1"/>
  <c r="C1351" s="1"/>
  <c r="C1352" s="1"/>
  <c r="C1353" s="1"/>
  <c r="C1354" s="1"/>
  <c r="C1355" s="1"/>
  <c r="C1356" s="1"/>
  <c r="C1357" s="1"/>
  <c r="C1358" s="1"/>
  <c r="C1359" s="1"/>
  <c r="C1360" s="1"/>
  <c r="C1361" s="1"/>
  <c r="C1362" s="1"/>
  <c r="C1363" s="1"/>
  <c r="C1364" s="1"/>
  <c r="C1365" s="1"/>
  <c r="C1366" s="1"/>
  <c r="C1367" s="1"/>
  <c r="C1368" s="1"/>
  <c r="C1369" s="1"/>
  <c r="C1370" s="1"/>
  <c r="C1371" s="1"/>
  <c r="C1372" s="1"/>
  <c r="C1373" s="1"/>
  <c r="C1374" s="1"/>
  <c r="C1375" s="1"/>
  <c r="C1376" s="1"/>
  <c r="C1377" s="1"/>
  <c r="C1378" s="1"/>
  <c r="C1379" s="1"/>
  <c r="C1380" s="1"/>
  <c r="C1381" s="1"/>
  <c r="C1382" s="1"/>
  <c r="C1383" s="1"/>
  <c r="C1384" s="1"/>
  <c r="C1385" s="1"/>
  <c r="C1386" s="1"/>
  <c r="C1387" s="1"/>
  <c r="C1388" s="1"/>
  <c r="C1389" s="1"/>
  <c r="C1390" s="1"/>
  <c r="C1391" s="1"/>
  <c r="C1392" s="1"/>
  <c r="C1393" s="1"/>
  <c r="C1394" s="1"/>
  <c r="C1395" s="1"/>
  <c r="C1396" s="1"/>
  <c r="C1397" s="1"/>
  <c r="C1398" s="1"/>
  <c r="C1399" s="1"/>
  <c r="C1400" s="1"/>
  <c r="C1401" s="1"/>
  <c r="C1402" s="1"/>
  <c r="C1403" s="1"/>
  <c r="C1404" s="1"/>
  <c r="C1405" s="1"/>
  <c r="C1406" s="1"/>
  <c r="C1407" s="1"/>
  <c r="C1408" s="1"/>
  <c r="C1409" s="1"/>
  <c r="C1410" s="1"/>
  <c r="C1411" s="1"/>
  <c r="C1412" s="1"/>
  <c r="C1413" s="1"/>
  <c r="C1414" s="1"/>
  <c r="C1415" s="1"/>
  <c r="C1416" s="1"/>
  <c r="C1417" s="1"/>
  <c r="C1418" s="1"/>
  <c r="C1419" s="1"/>
  <c r="C1420" s="1"/>
  <c r="C1421" s="1"/>
  <c r="C1422" s="1"/>
  <c r="C1423" s="1"/>
  <c r="C1424" s="1"/>
  <c r="C1425" s="1"/>
  <c r="C1426" s="1"/>
  <c r="C1427" s="1"/>
  <c r="C1428" s="1"/>
  <c r="C1429" s="1"/>
  <c r="C1430" s="1"/>
  <c r="C1431" s="1"/>
  <c r="C1432" s="1"/>
  <c r="C1433" s="1"/>
  <c r="C1434" s="1"/>
  <c r="C1435" s="1"/>
  <c r="C1436" s="1"/>
  <c r="C1437" s="1"/>
  <c r="C1438" s="1"/>
  <c r="C1439" s="1"/>
  <c r="C1440" s="1"/>
  <c r="C1441" s="1"/>
  <c r="C1442" s="1"/>
  <c r="C1443" s="1"/>
  <c r="C1444" s="1"/>
  <c r="C1445" s="1"/>
  <c r="C1446" s="1"/>
  <c r="C1447" s="1"/>
  <c r="C1448" s="1"/>
  <c r="C1449" s="1"/>
  <c r="C1450" s="1"/>
  <c r="C1451" s="1"/>
  <c r="C1452" s="1"/>
  <c r="C1453" s="1"/>
  <c r="C1454" s="1"/>
  <c r="C1455" s="1"/>
  <c r="C1456" s="1"/>
  <c r="C1457" s="1"/>
  <c r="C1458" s="1"/>
  <c r="C1459" s="1"/>
  <c r="C1460" s="1"/>
  <c r="C1461" s="1"/>
  <c r="C1462" s="1"/>
  <c r="C1463" s="1"/>
  <c r="C1464" s="1"/>
  <c r="C1465" s="1"/>
  <c r="C1466" s="1"/>
  <c r="C1467" s="1"/>
  <c r="C1468" s="1"/>
  <c r="C1469" s="1"/>
  <c r="C1470" s="1"/>
  <c r="C1471" s="1"/>
  <c r="C1472" s="1"/>
  <c r="C1473" s="1"/>
  <c r="C1474" s="1"/>
  <c r="C1475" s="1"/>
  <c r="C1476" s="1"/>
  <c r="C1477" s="1"/>
  <c r="C1478" s="1"/>
  <c r="C1479" s="1"/>
  <c r="C1480" s="1"/>
  <c r="C1481" s="1"/>
  <c r="C1482" s="1"/>
  <c r="C1483" s="1"/>
  <c r="C1484" s="1"/>
  <c r="C1485" s="1"/>
  <c r="C1486" s="1"/>
  <c r="C1487" s="1"/>
  <c r="C1488" s="1"/>
  <c r="C1489" s="1"/>
  <c r="C1490" s="1"/>
  <c r="C1491" s="1"/>
  <c r="C1492" s="1"/>
  <c r="C1493" s="1"/>
  <c r="C1494" s="1"/>
  <c r="C1495" s="1"/>
  <c r="C1496" s="1"/>
  <c r="C1497" s="1"/>
  <c r="C1498" s="1"/>
  <c r="C1499" s="1"/>
  <c r="C1500" s="1"/>
  <c r="C1501" s="1"/>
  <c r="C1502" s="1"/>
  <c r="C1503" s="1"/>
  <c r="C1504" s="1"/>
  <c r="C1505" s="1"/>
  <c r="C1506" s="1"/>
  <c r="C1507" s="1"/>
  <c r="C1508" s="1"/>
  <c r="C1509" s="1"/>
  <c r="C1510" s="1"/>
  <c r="C1511" s="1"/>
  <c r="C1512" s="1"/>
  <c r="C1513" s="1"/>
  <c r="C1514" s="1"/>
  <c r="C1515" s="1"/>
  <c r="C1516" s="1"/>
  <c r="C1517" s="1"/>
  <c r="C1518" s="1"/>
  <c r="C1519" s="1"/>
  <c r="C1520" s="1"/>
  <c r="C1521" s="1"/>
  <c r="C1522" s="1"/>
  <c r="C1523" s="1"/>
  <c r="C1524" s="1"/>
  <c r="C1525" s="1"/>
  <c r="C1526" s="1"/>
  <c r="C1527" s="1"/>
  <c r="C1528" s="1"/>
  <c r="C1529" s="1"/>
  <c r="C1530" s="1"/>
  <c r="C1531" s="1"/>
  <c r="C1532" s="1"/>
  <c r="C1533" s="1"/>
  <c r="C1534" s="1"/>
  <c r="C1535" s="1"/>
  <c r="C1536" s="1"/>
  <c r="C1537" s="1"/>
  <c r="C1538" s="1"/>
  <c r="C1539" s="1"/>
  <c r="C1540" s="1"/>
  <c r="C1541" s="1"/>
  <c r="C1542" s="1"/>
  <c r="C1543" s="1"/>
  <c r="C1544" s="1"/>
  <c r="C1545" s="1"/>
  <c r="C1546" s="1"/>
  <c r="C1547" s="1"/>
  <c r="C1548" s="1"/>
  <c r="C1549" s="1"/>
  <c r="C1550" s="1"/>
  <c r="C1551" s="1"/>
  <c r="C1552" s="1"/>
  <c r="C1553" s="1"/>
  <c r="C1554" s="1"/>
  <c r="C1555" s="1"/>
  <c r="C1556" s="1"/>
  <c r="C1557" s="1"/>
  <c r="C1558" s="1"/>
  <c r="C1559" s="1"/>
  <c r="C1560" s="1"/>
  <c r="C1561" s="1"/>
  <c r="C1562" s="1"/>
  <c r="C1563" s="1"/>
  <c r="C1564" s="1"/>
  <c r="C1565" s="1"/>
  <c r="C1566" s="1"/>
  <c r="C1567" s="1"/>
  <c r="C1568" s="1"/>
  <c r="C1569" s="1"/>
  <c r="C1570" s="1"/>
  <c r="C1571" s="1"/>
  <c r="C1572" s="1"/>
  <c r="C1573" s="1"/>
  <c r="C1574" s="1"/>
  <c r="C1575" s="1"/>
  <c r="C1576" s="1"/>
  <c r="C1577" s="1"/>
  <c r="C1578" s="1"/>
  <c r="C1579" s="1"/>
  <c r="C1580" s="1"/>
  <c r="C1581" s="1"/>
  <c r="C1583" s="1"/>
  <c r="C1584" s="1"/>
  <c r="C1585" s="1"/>
  <c r="C1586" s="1"/>
  <c r="C1587" s="1"/>
  <c r="C1588" s="1"/>
  <c r="C1589" s="1"/>
  <c r="C1590" s="1"/>
  <c r="C1591" s="1"/>
  <c r="C1592" s="1"/>
  <c r="C1593" s="1"/>
  <c r="C1594" s="1"/>
  <c r="C1595" s="1"/>
  <c r="C1596" s="1"/>
  <c r="C1597" s="1"/>
  <c r="C1598" s="1"/>
  <c r="C1599" s="1"/>
  <c r="C1600" s="1"/>
  <c r="C1601" s="1"/>
  <c r="C1602" s="1"/>
  <c r="C1603" s="1"/>
  <c r="C1604" s="1"/>
  <c r="C1605" s="1"/>
  <c r="C1606" s="1"/>
  <c r="C1607" s="1"/>
  <c r="C1608" s="1"/>
  <c r="C1609" s="1"/>
  <c r="C1610" s="1"/>
  <c r="C1611" s="1"/>
  <c r="C1612" s="1"/>
  <c r="C1613" s="1"/>
  <c r="C1614" s="1"/>
  <c r="C1615" s="1"/>
  <c r="C1616" s="1"/>
  <c r="C1617" s="1"/>
  <c r="C1618" s="1"/>
  <c r="C1619" s="1"/>
  <c r="C1620" s="1"/>
  <c r="C1621" s="1"/>
  <c r="C1622" s="1"/>
  <c r="C1623" s="1"/>
  <c r="C1624" s="1"/>
  <c r="C1625" s="1"/>
  <c r="C1626" s="1"/>
  <c r="C1627" s="1"/>
  <c r="C1628" s="1"/>
  <c r="C1629" s="1"/>
  <c r="C1630" s="1"/>
  <c r="C1631" s="1"/>
  <c r="C1632" s="1"/>
  <c r="C1633" s="1"/>
  <c r="C1634" s="1"/>
  <c r="C1635" s="1"/>
  <c r="C1636" s="1"/>
  <c r="C1637" s="1"/>
  <c r="C1638" s="1"/>
  <c r="C1639" s="1"/>
  <c r="C1640" s="1"/>
  <c r="C1641" s="1"/>
  <c r="C1642" s="1"/>
  <c r="C1643" s="1"/>
  <c r="C1644" s="1"/>
  <c r="C1645" s="1"/>
  <c r="C1646" s="1"/>
  <c r="C1647" s="1"/>
  <c r="C1648" s="1"/>
  <c r="C1649" s="1"/>
  <c r="C1650" s="1"/>
  <c r="C1651" s="1"/>
  <c r="C1652" s="1"/>
  <c r="C1653" s="1"/>
  <c r="C1654" s="1"/>
  <c r="C1655" s="1"/>
  <c r="C1656" s="1"/>
  <c r="C1657" s="1"/>
  <c r="F1652" i="19"/>
  <c r="E1652"/>
  <c r="I1652" s="1"/>
  <c r="F1651"/>
  <c r="E1651"/>
  <c r="E829"/>
  <c r="H829" s="1"/>
  <c r="E828"/>
  <c r="F1650"/>
  <c r="E1650"/>
  <c r="F1649"/>
  <c r="E1649"/>
  <c r="F827"/>
  <c r="E827"/>
  <c r="F1648"/>
  <c r="E1648"/>
  <c r="F826"/>
  <c r="E826"/>
  <c r="F1647"/>
  <c r="E1647"/>
  <c r="G1647" s="1"/>
  <c r="F825"/>
  <c r="E825"/>
  <c r="F824"/>
  <c r="E824"/>
  <c r="F823"/>
  <c r="E823"/>
  <c r="H823" s="1"/>
  <c r="F1646"/>
  <c r="E1646"/>
  <c r="I1646" s="1"/>
  <c r="F822"/>
  <c r="E822"/>
  <c r="H822" s="1"/>
  <c r="F1645"/>
  <c r="E1645"/>
  <c r="F1644"/>
  <c r="E1644"/>
  <c r="F821"/>
  <c r="E821"/>
  <c r="I821" s="1"/>
  <c r="F820"/>
  <c r="E820"/>
  <c r="F1643"/>
  <c r="E1643"/>
  <c r="G1643" s="1"/>
  <c r="F819"/>
  <c r="E819"/>
  <c r="H819" s="1"/>
  <c r="F1642"/>
  <c r="E1642"/>
  <c r="F1641"/>
  <c r="E1641"/>
  <c r="F818"/>
  <c r="E818"/>
  <c r="F817"/>
  <c r="E817"/>
  <c r="F1640"/>
  <c r="E1640"/>
  <c r="F816"/>
  <c r="E816"/>
  <c r="I816" s="1"/>
  <c r="F1639"/>
  <c r="E1639"/>
  <c r="F815"/>
  <c r="E815"/>
  <c r="F1638"/>
  <c r="E1638"/>
  <c r="F814"/>
  <c r="E814"/>
  <c r="F1637"/>
  <c r="E1637"/>
  <c r="H1637" s="1"/>
  <c r="F813"/>
  <c r="E813"/>
  <c r="F812"/>
  <c r="E812"/>
  <c r="G812" s="1"/>
  <c r="F1636"/>
  <c r="E1636"/>
  <c r="F811"/>
  <c r="E811"/>
  <c r="G811" s="1"/>
  <c r="F1635"/>
  <c r="E1635"/>
  <c r="E810"/>
  <c r="I810" s="1"/>
  <c r="E809"/>
  <c r="E808"/>
  <c r="E1634"/>
  <c r="F807"/>
  <c r="E807"/>
  <c r="F806"/>
  <c r="E806"/>
  <c r="F1633"/>
  <c r="E1633"/>
  <c r="E805"/>
  <c r="F1632"/>
  <c r="E1632"/>
  <c r="I1632" s="1"/>
  <c r="F804"/>
  <c r="E804"/>
  <c r="G804" s="1"/>
  <c r="F1631"/>
  <c r="E1631"/>
  <c r="F803"/>
  <c r="E803"/>
  <c r="G803" s="1"/>
  <c r="F1630"/>
  <c r="E1630"/>
  <c r="F802"/>
  <c r="E802"/>
  <c r="I802" s="1"/>
  <c r="F801"/>
  <c r="E801"/>
  <c r="G801" s="1"/>
  <c r="F1629"/>
  <c r="E1629"/>
  <c r="I1629" s="1"/>
  <c r="F800"/>
  <c r="E800"/>
  <c r="H800" s="1"/>
  <c r="F1628"/>
  <c r="E1628"/>
  <c r="G1628" s="1"/>
  <c r="F1627"/>
  <c r="E1627"/>
  <c r="I1627" s="1"/>
  <c r="F799"/>
  <c r="E799"/>
  <c r="F798"/>
  <c r="E798"/>
  <c r="I798" s="1"/>
  <c r="F1626"/>
  <c r="E1626"/>
  <c r="F797"/>
  <c r="E797"/>
  <c r="F796"/>
  <c r="E796"/>
  <c r="I796" s="1"/>
  <c r="F1625"/>
  <c r="E1625"/>
  <c r="F795"/>
  <c r="E795"/>
  <c r="H795" s="1"/>
  <c r="F1624"/>
  <c r="E1624"/>
  <c r="F794"/>
  <c r="E794"/>
  <c r="F1623"/>
  <c r="E1623"/>
  <c r="I1623" s="1"/>
  <c r="F793"/>
  <c r="E793"/>
  <c r="F1622"/>
  <c r="E1622"/>
  <c r="G1622" s="1"/>
  <c r="F792"/>
  <c r="E792"/>
  <c r="F1621"/>
  <c r="E1621"/>
  <c r="F791"/>
  <c r="E791"/>
  <c r="F1620"/>
  <c r="E1620"/>
  <c r="I1620" s="1"/>
  <c r="F790"/>
  <c r="E790"/>
  <c r="H790" s="1"/>
  <c r="F1619"/>
  <c r="E1619"/>
  <c r="F789"/>
  <c r="E789"/>
  <c r="F1618"/>
  <c r="E1618"/>
  <c r="F788"/>
  <c r="E788"/>
  <c r="F787"/>
  <c r="E787"/>
  <c r="F786"/>
  <c r="E786"/>
  <c r="F1617"/>
  <c r="E1617"/>
  <c r="F1616"/>
  <c r="E1616"/>
  <c r="I1616" s="1"/>
  <c r="F785"/>
  <c r="E785"/>
  <c r="F784"/>
  <c r="E784"/>
  <c r="H784" s="1"/>
  <c r="E783"/>
  <c r="G783" s="1"/>
  <c r="F782"/>
  <c r="E782"/>
  <c r="H782" s="1"/>
  <c r="F1615"/>
  <c r="E1615"/>
  <c r="F781"/>
  <c r="E781"/>
  <c r="I781" s="1"/>
  <c r="F780"/>
  <c r="E780"/>
  <c r="F779"/>
  <c r="E779"/>
  <c r="F1614"/>
  <c r="E1614"/>
  <c r="H1614" s="1"/>
  <c r="F778"/>
  <c r="E778"/>
  <c r="F777"/>
  <c r="E777"/>
  <c r="F776"/>
  <c r="E776"/>
  <c r="F1613"/>
  <c r="E1613"/>
  <c r="G1613" s="1"/>
  <c r="F1612"/>
  <c r="E1612"/>
  <c r="E1611"/>
  <c r="F1610"/>
  <c r="E1610"/>
  <c r="H1610" s="1"/>
  <c r="F1609"/>
  <c r="E1609"/>
  <c r="F775"/>
  <c r="E775"/>
  <c r="I775" s="1"/>
  <c r="F1608"/>
  <c r="E1608"/>
  <c r="F774"/>
  <c r="E774"/>
  <c r="G774" s="1"/>
  <c r="F773"/>
  <c r="E773"/>
  <c r="F1607"/>
  <c r="E1607"/>
  <c r="F1606"/>
  <c r="E1606"/>
  <c r="F1605"/>
  <c r="E1605"/>
  <c r="F772"/>
  <c r="E772"/>
  <c r="H772" s="1"/>
  <c r="F771"/>
  <c r="E771"/>
  <c r="F770"/>
  <c r="E770"/>
  <c r="H770" s="1"/>
  <c r="F1604"/>
  <c r="E1604"/>
  <c r="F1603"/>
  <c r="E1603"/>
  <c r="G1603" s="1"/>
  <c r="F769"/>
  <c r="E769"/>
  <c r="H769" s="1"/>
  <c r="F768"/>
  <c r="E768"/>
  <c r="G768" s="1"/>
  <c r="F1602"/>
  <c r="E1602"/>
  <c r="F1601"/>
  <c r="E1601"/>
  <c r="F1600"/>
  <c r="E1600"/>
  <c r="H1600" s="1"/>
  <c r="F1599"/>
  <c r="E1599"/>
  <c r="I1599" s="1"/>
  <c r="F767"/>
  <c r="E767"/>
  <c r="G767" s="1"/>
  <c r="F1598"/>
  <c r="E1598"/>
  <c r="F766"/>
  <c r="E766"/>
  <c r="F765"/>
  <c r="E765"/>
  <c r="F1597"/>
  <c r="E1597"/>
  <c r="G1597" s="1"/>
  <c r="F1596"/>
  <c r="E1596"/>
  <c r="F764"/>
  <c r="E764"/>
  <c r="F763"/>
  <c r="E763"/>
  <c r="I763" s="1"/>
  <c r="F762"/>
  <c r="E762"/>
  <c r="F1595"/>
  <c r="E1595"/>
  <c r="F1594"/>
  <c r="E1594"/>
  <c r="F761"/>
  <c r="E761"/>
  <c r="I761" s="1"/>
  <c r="F760"/>
  <c r="E760"/>
  <c r="H760" s="1"/>
  <c r="F759"/>
  <c r="E759"/>
  <c r="G759" s="1"/>
  <c r="F758"/>
  <c r="E758"/>
  <c r="F757"/>
  <c r="E757"/>
  <c r="I757" s="1"/>
  <c r="F756"/>
  <c r="E756"/>
  <c r="H756" s="1"/>
  <c r="F1593"/>
  <c r="E1593"/>
  <c r="E755"/>
  <c r="H755" s="1"/>
  <c r="F1592"/>
  <c r="E1592"/>
  <c r="G1592" s="1"/>
  <c r="F754"/>
  <c r="E754"/>
  <c r="F1591"/>
  <c r="E1591"/>
  <c r="H1591" s="1"/>
  <c r="F753"/>
  <c r="E753"/>
  <c r="F1590"/>
  <c r="E1590"/>
  <c r="F752"/>
  <c r="E752"/>
  <c r="G752" s="1"/>
  <c r="F751"/>
  <c r="E751"/>
  <c r="I751" s="1"/>
  <c r="F750"/>
  <c r="E750"/>
  <c r="E749"/>
  <c r="H749" s="1"/>
  <c r="F1589"/>
  <c r="E1589"/>
  <c r="F1588"/>
  <c r="E1588"/>
  <c r="G1588" s="1"/>
  <c r="F748"/>
  <c r="E748"/>
  <c r="F1587"/>
  <c r="E1587"/>
  <c r="G1587" s="1"/>
  <c r="F1586"/>
  <c r="E1586"/>
  <c r="F747"/>
  <c r="E747"/>
  <c r="F746"/>
  <c r="E746"/>
  <c r="F1585"/>
  <c r="E1585"/>
  <c r="F745"/>
  <c r="E745"/>
  <c r="H745" s="1"/>
  <c r="F744"/>
  <c r="E744"/>
  <c r="F1584"/>
  <c r="E1584"/>
  <c r="H1584" s="1"/>
  <c r="F743"/>
  <c r="E743"/>
  <c r="F1583"/>
  <c r="E1583"/>
  <c r="E742"/>
  <c r="G742" s="1"/>
  <c r="E741"/>
  <c r="I741" s="1"/>
  <c r="F740"/>
  <c r="E740"/>
  <c r="G740" s="1"/>
  <c r="F1582"/>
  <c r="E1582"/>
  <c r="F739"/>
  <c r="E739"/>
  <c r="F1581"/>
  <c r="E1581"/>
  <c r="H1581" s="1"/>
  <c r="F1580"/>
  <c r="E1580"/>
  <c r="F1579"/>
  <c r="E1579"/>
  <c r="G1579" s="1"/>
  <c r="F738"/>
  <c r="E738"/>
  <c r="I738" s="1"/>
  <c r="F1578"/>
  <c r="E1578"/>
  <c r="H1578" s="1"/>
  <c r="F737"/>
  <c r="E737"/>
  <c r="F736"/>
  <c r="E736"/>
  <c r="F735"/>
  <c r="E735"/>
  <c r="F1577"/>
  <c r="E1577"/>
  <c r="F1576"/>
  <c r="E1576"/>
  <c r="F734"/>
  <c r="E734"/>
  <c r="F1575"/>
  <c r="E1575"/>
  <c r="F733"/>
  <c r="E733"/>
  <c r="F1574"/>
  <c r="E1574"/>
  <c r="F732"/>
  <c r="E732"/>
  <c r="F1573"/>
  <c r="E1573"/>
  <c r="F1572"/>
  <c r="E1572"/>
  <c r="F731"/>
  <c r="E731"/>
  <c r="F1571"/>
  <c r="E1571"/>
  <c r="E1570"/>
  <c r="I1570" s="1"/>
  <c r="F730"/>
  <c r="E730"/>
  <c r="F729"/>
  <c r="E729"/>
  <c r="F1569"/>
  <c r="E1569"/>
  <c r="G1569" s="1"/>
  <c r="F728"/>
  <c r="E728"/>
  <c r="F1568"/>
  <c r="E1568"/>
  <c r="F1567"/>
  <c r="E1567"/>
  <c r="H1567" s="1"/>
  <c r="F727"/>
  <c r="E727"/>
  <c r="F1566"/>
  <c r="E1566"/>
  <c r="F1565"/>
  <c r="E1565"/>
  <c r="F726"/>
  <c r="E726"/>
  <c r="G726" s="1"/>
  <c r="F1564"/>
  <c r="E1564"/>
  <c r="I1564" s="1"/>
  <c r="E725"/>
  <c r="I725" s="1"/>
  <c r="F1563"/>
  <c r="E1563"/>
  <c r="F1562"/>
  <c r="E1562"/>
  <c r="I1562" s="1"/>
  <c r="F1561"/>
  <c r="E1561"/>
  <c r="F1560"/>
  <c r="E1560"/>
  <c r="F1559"/>
  <c r="E1559"/>
  <c r="H1559" s="1"/>
  <c r="F724"/>
  <c r="E724"/>
  <c r="G724" s="1"/>
  <c r="F1558"/>
  <c r="E1558"/>
  <c r="F723"/>
  <c r="E723"/>
  <c r="F722"/>
  <c r="E722"/>
  <c r="H722" s="1"/>
  <c r="F1557"/>
  <c r="E1557"/>
  <c r="E721"/>
  <c r="I721" s="1"/>
  <c r="F1556"/>
  <c r="E1556"/>
  <c r="F720"/>
  <c r="E720"/>
  <c r="F719"/>
  <c r="E719"/>
  <c r="F1555"/>
  <c r="E1555"/>
  <c r="F1554"/>
  <c r="E1554"/>
  <c r="G1554" s="1"/>
  <c r="F718"/>
  <c r="E718"/>
  <c r="F1553"/>
  <c r="E1553"/>
  <c r="F717"/>
  <c r="E717"/>
  <c r="F1552"/>
  <c r="E1552"/>
  <c r="I1552" s="1"/>
  <c r="F716"/>
  <c r="E716"/>
  <c r="H716" s="1"/>
  <c r="F1551"/>
  <c r="E1551"/>
  <c r="F1550"/>
  <c r="E1550"/>
  <c r="F715"/>
  <c r="E715"/>
  <c r="F1549"/>
  <c r="E1549"/>
  <c r="F714"/>
  <c r="E714"/>
  <c r="F1548"/>
  <c r="E1548"/>
  <c r="F713"/>
  <c r="E713"/>
  <c r="I713" s="1"/>
  <c r="F1547"/>
  <c r="E1547"/>
  <c r="G1547" s="1"/>
  <c r="F712"/>
  <c r="E712"/>
  <c r="G712" s="1"/>
  <c r="F1546"/>
  <c r="E1546"/>
  <c r="I1546" s="1"/>
  <c r="F711"/>
  <c r="E711"/>
  <c r="H711" s="1"/>
  <c r="F1545"/>
  <c r="E1545"/>
  <c r="F710"/>
  <c r="E710"/>
  <c r="F709"/>
  <c r="E709"/>
  <c r="I709" s="1"/>
  <c r="F1544"/>
  <c r="E1544"/>
  <c r="F1543"/>
  <c r="E1543"/>
  <c r="F708"/>
  <c r="E708"/>
  <c r="F707"/>
  <c r="E707"/>
  <c r="H707" s="1"/>
  <c r="F706"/>
  <c r="E706"/>
  <c r="F705"/>
  <c r="E705"/>
  <c r="F1542"/>
  <c r="E1542"/>
  <c r="F1541"/>
  <c r="E1541"/>
  <c r="F704"/>
  <c r="E704"/>
  <c r="H704" s="1"/>
  <c r="F1540"/>
  <c r="E1540"/>
  <c r="G1540" s="1"/>
  <c r="F1539"/>
  <c r="E1539"/>
  <c r="F703"/>
  <c r="E703"/>
  <c r="F1538"/>
  <c r="E1538"/>
  <c r="E1537"/>
  <c r="H1537" s="1"/>
  <c r="F702"/>
  <c r="E702"/>
  <c r="F1536"/>
  <c r="E1536"/>
  <c r="I1536" s="1"/>
  <c r="F1535"/>
  <c r="E1535"/>
  <c r="F701"/>
  <c r="E701"/>
  <c r="F700"/>
  <c r="E700"/>
  <c r="I700" s="1"/>
  <c r="F1534"/>
  <c r="E1534"/>
  <c r="G1534" s="1"/>
  <c r="F1533"/>
  <c r="E1533"/>
  <c r="H1533" s="1"/>
  <c r="F699"/>
  <c r="E699"/>
  <c r="G699" s="1"/>
  <c r="F1532"/>
  <c r="E1532"/>
  <c r="E698"/>
  <c r="G698" s="1"/>
  <c r="E1531"/>
  <c r="G1531" s="1"/>
  <c r="F697"/>
  <c r="E697"/>
  <c r="F1530"/>
  <c r="E1530"/>
  <c r="H1530" s="1"/>
  <c r="F1529"/>
  <c r="E1529"/>
  <c r="G1529" s="1"/>
  <c r="F1528"/>
  <c r="E1528"/>
  <c r="F696"/>
  <c r="E696"/>
  <c r="F695"/>
  <c r="E695"/>
  <c r="F1527"/>
  <c r="E1527"/>
  <c r="G1527" s="1"/>
  <c r="F1526"/>
  <c r="E1526"/>
  <c r="H1526" s="1"/>
  <c r="F1525"/>
  <c r="E1525"/>
  <c r="I1525" s="1"/>
  <c r="F694"/>
  <c r="E694"/>
  <c r="G694" s="1"/>
  <c r="F1524"/>
  <c r="E1524"/>
  <c r="I1524" s="1"/>
  <c r="E1523"/>
  <c r="H1523" s="1"/>
  <c r="E693"/>
  <c r="E692"/>
  <c r="H692" s="1"/>
  <c r="E1522"/>
  <c r="G1522" s="1"/>
  <c r="F691"/>
  <c r="E691"/>
  <c r="H691" s="1"/>
  <c r="F690"/>
  <c r="E690"/>
  <c r="H690" s="1"/>
  <c r="F1521"/>
  <c r="E1521"/>
  <c r="E1520"/>
  <c r="F1519"/>
  <c r="E1519"/>
  <c r="H1519" s="1"/>
  <c r="F689"/>
  <c r="E689"/>
  <c r="H689" s="1"/>
  <c r="F1518"/>
  <c r="E1518"/>
  <c r="F688"/>
  <c r="E688"/>
  <c r="F1517"/>
  <c r="E1517"/>
  <c r="F687"/>
  <c r="E687"/>
  <c r="F1516"/>
  <c r="E1516"/>
  <c r="F686"/>
  <c r="E686"/>
  <c r="F1515"/>
  <c r="E1515"/>
  <c r="F1514"/>
  <c r="E1514"/>
  <c r="H1514" s="1"/>
  <c r="F685"/>
  <c r="E685"/>
  <c r="I685" s="1"/>
  <c r="F1513"/>
  <c r="E1513"/>
  <c r="F684"/>
  <c r="E684"/>
  <c r="H684" s="1"/>
  <c r="F1512"/>
  <c r="E1512"/>
  <c r="I1512" s="1"/>
  <c r="F1511"/>
  <c r="E1511"/>
  <c r="I1511" s="1"/>
  <c r="F683"/>
  <c r="E683"/>
  <c r="F682"/>
  <c r="E682"/>
  <c r="H682" s="1"/>
  <c r="F1510"/>
  <c r="E1510"/>
  <c r="H1510" s="1"/>
  <c r="F1509"/>
  <c r="E1509"/>
  <c r="F1508"/>
  <c r="E1508"/>
  <c r="I1508" s="1"/>
  <c r="F1507"/>
  <c r="E1507"/>
  <c r="G1507" s="1"/>
  <c r="F681"/>
  <c r="E681"/>
  <c r="H681" s="1"/>
  <c r="F1506"/>
  <c r="E1506"/>
  <c r="F1505"/>
  <c r="E1505"/>
  <c r="H1505" s="1"/>
  <c r="F680"/>
  <c r="E680"/>
  <c r="F1504"/>
  <c r="E1504"/>
  <c r="G1504" s="1"/>
  <c r="F679"/>
  <c r="E679"/>
  <c r="I679" s="1"/>
  <c r="F1503"/>
  <c r="E1503"/>
  <c r="H1503" s="1"/>
  <c r="F678"/>
  <c r="E678"/>
  <c r="G678" s="1"/>
  <c r="F677"/>
  <c r="E677"/>
  <c r="F676"/>
  <c r="E676"/>
  <c r="F675"/>
  <c r="E675"/>
  <c r="F1502"/>
  <c r="E1502"/>
  <c r="G1502" s="1"/>
  <c r="F674"/>
  <c r="E674"/>
  <c r="F673"/>
  <c r="E673"/>
  <c r="F1501"/>
  <c r="E1501"/>
  <c r="F1500"/>
  <c r="E1500"/>
  <c r="F672"/>
  <c r="E672"/>
  <c r="F671"/>
  <c r="E671"/>
  <c r="F670"/>
  <c r="E670"/>
  <c r="F1499"/>
  <c r="E1499"/>
  <c r="F669"/>
  <c r="E669"/>
  <c r="F1498"/>
  <c r="E1498"/>
  <c r="I1498" s="1"/>
  <c r="F668"/>
  <c r="E668"/>
  <c r="H668" s="1"/>
  <c r="F1497"/>
  <c r="E1497"/>
  <c r="G1497" s="1"/>
  <c r="F667"/>
  <c r="E667"/>
  <c r="G667" s="1"/>
  <c r="F666"/>
  <c r="E666"/>
  <c r="G666" s="1"/>
  <c r="F1496"/>
  <c r="E1496"/>
  <c r="I1496" s="1"/>
  <c r="F1495"/>
  <c r="E1495"/>
  <c r="H1495" s="1"/>
  <c r="F1494"/>
  <c r="E1494"/>
  <c r="F665"/>
  <c r="E665"/>
  <c r="G665" s="1"/>
  <c r="F1493"/>
  <c r="E1493"/>
  <c r="H1493" s="1"/>
  <c r="F1492"/>
  <c r="E1492"/>
  <c r="F664"/>
  <c r="E664"/>
  <c r="F1491"/>
  <c r="E1491"/>
  <c r="F1490"/>
  <c r="E1490"/>
  <c r="H1490" s="1"/>
  <c r="F663"/>
  <c r="E663"/>
  <c r="F662"/>
  <c r="E662"/>
  <c r="F1489"/>
  <c r="E1489"/>
  <c r="F1488"/>
  <c r="E1488"/>
  <c r="F661"/>
  <c r="E661"/>
  <c r="F660"/>
  <c r="E660"/>
  <c r="G660" s="1"/>
  <c r="F1487"/>
  <c r="E1487"/>
  <c r="H1487" s="1"/>
  <c r="F659"/>
  <c r="E659"/>
  <c r="F1486"/>
  <c r="E1486"/>
  <c r="I1486" s="1"/>
  <c r="F658"/>
  <c r="E658"/>
  <c r="H658" s="1"/>
  <c r="F1485"/>
  <c r="E1485"/>
  <c r="G1485" s="1"/>
  <c r="F657"/>
  <c r="E657"/>
  <c r="H657" s="1"/>
  <c r="F1484"/>
  <c r="E1484"/>
  <c r="I1484" s="1"/>
  <c r="F656"/>
  <c r="E656"/>
  <c r="F655"/>
  <c r="E655"/>
  <c r="G655" s="1"/>
  <c r="F1483"/>
  <c r="E1483"/>
  <c r="H1483" s="1"/>
  <c r="F1653"/>
  <c r="E1653"/>
  <c r="G1653" s="1"/>
  <c r="F654"/>
  <c r="E654"/>
  <c r="F653"/>
  <c r="E653"/>
  <c r="F1482"/>
  <c r="E1482"/>
  <c r="F1481"/>
  <c r="E1481"/>
  <c r="F652"/>
  <c r="E652"/>
  <c r="F1480"/>
  <c r="E1480"/>
  <c r="F651"/>
  <c r="E651"/>
  <c r="F650"/>
  <c r="E650"/>
  <c r="H650" s="1"/>
  <c r="F649"/>
  <c r="E649"/>
  <c r="F1479"/>
  <c r="E1479"/>
  <c r="G1479" s="1"/>
  <c r="F648"/>
  <c r="E648"/>
  <c r="I648" s="1"/>
  <c r="F647"/>
  <c r="E647"/>
  <c r="G647" s="1"/>
  <c r="F1478"/>
  <c r="E1478"/>
  <c r="F646"/>
  <c r="E646"/>
  <c r="G646" s="1"/>
  <c r="F1477"/>
  <c r="E1477"/>
  <c r="H1477" s="1"/>
  <c r="F645"/>
  <c r="E645"/>
  <c r="I645" s="1"/>
  <c r="F644"/>
  <c r="E644"/>
  <c r="G644" s="1"/>
  <c r="F1476"/>
  <c r="E1476"/>
  <c r="I1476" s="1"/>
  <c r="F643"/>
  <c r="E643"/>
  <c r="H643" s="1"/>
  <c r="F1475"/>
  <c r="E1475"/>
  <c r="F642"/>
  <c r="E642"/>
  <c r="I642" s="1"/>
  <c r="F1474"/>
  <c r="E1474"/>
  <c r="F641"/>
  <c r="E641"/>
  <c r="I641" s="1"/>
  <c r="F1473"/>
  <c r="E1473"/>
  <c r="H1473" s="1"/>
  <c r="E640"/>
  <c r="H640" s="1"/>
  <c r="E1472"/>
  <c r="I1472" s="1"/>
  <c r="E1471"/>
  <c r="G1471" s="1"/>
  <c r="E1470"/>
  <c r="H1470" s="1"/>
  <c r="E639"/>
  <c r="G639" s="1"/>
  <c r="E1469"/>
  <c r="F1468"/>
  <c r="E1468"/>
  <c r="F638"/>
  <c r="E638"/>
  <c r="F637"/>
  <c r="E637"/>
  <c r="H637" s="1"/>
  <c r="E636"/>
  <c r="F1467"/>
  <c r="E1467"/>
  <c r="F635"/>
  <c r="E635"/>
  <c r="I635" s="1"/>
  <c r="F634"/>
  <c r="E634"/>
  <c r="E633"/>
  <c r="E1466"/>
  <c r="I1466" s="1"/>
  <c r="E1465"/>
  <c r="H1465" s="1"/>
  <c r="E1464"/>
  <c r="G1464" s="1"/>
  <c r="E1463"/>
  <c r="E632"/>
  <c r="I632" s="1"/>
  <c r="E1462"/>
  <c r="G1462" s="1"/>
  <c r="E631"/>
  <c r="H631" s="1"/>
  <c r="F1461"/>
  <c r="E1461"/>
  <c r="H1461" s="1"/>
  <c r="F630"/>
  <c r="E630"/>
  <c r="F629"/>
  <c r="E629"/>
  <c r="F1460"/>
  <c r="E1460"/>
  <c r="F628"/>
  <c r="E628"/>
  <c r="F1459"/>
  <c r="E1459"/>
  <c r="F627"/>
  <c r="E627"/>
  <c r="I627" s="1"/>
  <c r="E626"/>
  <c r="G626" s="1"/>
  <c r="F1458"/>
  <c r="E1458"/>
  <c r="E625"/>
  <c r="F1457"/>
  <c r="E1457"/>
  <c r="F624"/>
  <c r="E624"/>
  <c r="G624" s="1"/>
  <c r="F623"/>
  <c r="E623"/>
  <c r="I623" s="1"/>
  <c r="F1456"/>
  <c r="E1456"/>
  <c r="H1456" s="1"/>
  <c r="E622"/>
  <c r="H622" s="1"/>
  <c r="E1455"/>
  <c r="I1455" s="1"/>
  <c r="F1454"/>
  <c r="E1454"/>
  <c r="F621"/>
  <c r="E621"/>
  <c r="H621" s="1"/>
  <c r="F1453"/>
  <c r="E1453"/>
  <c r="I1453" s="1"/>
  <c r="F1452"/>
  <c r="E1452"/>
  <c r="F620"/>
  <c r="E620"/>
  <c r="H620" s="1"/>
  <c r="F619"/>
  <c r="E619"/>
  <c r="F1451"/>
  <c r="E1451"/>
  <c r="F618"/>
  <c r="E618"/>
  <c r="F617"/>
  <c r="E617"/>
  <c r="H617" s="1"/>
  <c r="F616"/>
  <c r="E616"/>
  <c r="F1450"/>
  <c r="E1450"/>
  <c r="F1449"/>
  <c r="E1449"/>
  <c r="I1449" s="1"/>
  <c r="F615"/>
  <c r="E615"/>
  <c r="I615" s="1"/>
  <c r="F614"/>
  <c r="E614"/>
  <c r="H614" s="1"/>
  <c r="F1448"/>
  <c r="E1448"/>
  <c r="F613"/>
  <c r="E613"/>
  <c r="F1447"/>
  <c r="E1447"/>
  <c r="F612"/>
  <c r="E612"/>
  <c r="F611"/>
  <c r="E611"/>
  <c r="E610"/>
  <c r="F609"/>
  <c r="E609"/>
  <c r="I609" s="1"/>
  <c r="F1446"/>
  <c r="E1446"/>
  <c r="F608"/>
  <c r="E608"/>
  <c r="F607"/>
  <c r="E607"/>
  <c r="G607" s="1"/>
  <c r="F606"/>
  <c r="E606"/>
  <c r="H606" s="1"/>
  <c r="F1445"/>
  <c r="E1445"/>
  <c r="F1444"/>
  <c r="E1444"/>
  <c r="F605"/>
  <c r="E605"/>
  <c r="F604"/>
  <c r="E604"/>
  <c r="F603"/>
  <c r="E603"/>
  <c r="F1443"/>
  <c r="E1443"/>
  <c r="G1443" s="1"/>
  <c r="E602"/>
  <c r="G602" s="1"/>
  <c r="F1442"/>
  <c r="E1442"/>
  <c r="F601"/>
  <c r="E601"/>
  <c r="F1441"/>
  <c r="E1441"/>
  <c r="I1441" s="1"/>
  <c r="F1440"/>
  <c r="E1440"/>
  <c r="H1440" s="1"/>
  <c r="F600"/>
  <c r="E600"/>
  <c r="F599"/>
  <c r="E599"/>
  <c r="F1439"/>
  <c r="E1439"/>
  <c r="H1439" s="1"/>
  <c r="F1438"/>
  <c r="E1438"/>
  <c r="F1437"/>
  <c r="E1437"/>
  <c r="I1437" s="1"/>
  <c r="F598"/>
  <c r="E598"/>
  <c r="H598" s="1"/>
  <c r="F1436"/>
  <c r="E1436"/>
  <c r="E597"/>
  <c r="F1435"/>
  <c r="E1435"/>
  <c r="F596"/>
  <c r="E596"/>
  <c r="G596" s="1"/>
  <c r="F1434"/>
  <c r="E1434"/>
  <c r="F1433"/>
  <c r="E1433"/>
  <c r="F595"/>
  <c r="E595"/>
  <c r="I595" s="1"/>
  <c r="F594"/>
  <c r="E594"/>
  <c r="G594" s="1"/>
  <c r="F1432"/>
  <c r="E1432"/>
  <c r="H1432" s="1"/>
  <c r="F593"/>
  <c r="E593"/>
  <c r="F1431"/>
  <c r="E1431"/>
  <c r="F592"/>
  <c r="E592"/>
  <c r="F1430"/>
  <c r="E1430"/>
  <c r="F591"/>
  <c r="E591"/>
  <c r="F1429"/>
  <c r="E1429"/>
  <c r="G1429" s="1"/>
  <c r="E590"/>
  <c r="G590" s="1"/>
  <c r="E589"/>
  <c r="G589" s="1"/>
  <c r="F588"/>
  <c r="E588"/>
  <c r="F1428"/>
  <c r="E1428"/>
  <c r="E587"/>
  <c r="G587" s="1"/>
  <c r="F1427"/>
  <c r="E1427"/>
  <c r="G1427" s="1"/>
  <c r="F1426"/>
  <c r="E1426"/>
  <c r="F586"/>
  <c r="E586"/>
  <c r="F585"/>
  <c r="E585"/>
  <c r="F1425"/>
  <c r="E1425"/>
  <c r="I1425" s="1"/>
  <c r="E584"/>
  <c r="H584" s="1"/>
  <c r="F1424"/>
  <c r="E1424"/>
  <c r="G1424" s="1"/>
  <c r="F583"/>
  <c r="E583"/>
  <c r="I583" s="1"/>
  <c r="F1423"/>
  <c r="E1423"/>
  <c r="H1423" s="1"/>
  <c r="E1422"/>
  <c r="G1422" s="1"/>
  <c r="E582"/>
  <c r="I582" s="1"/>
  <c r="E581"/>
  <c r="H581" s="1"/>
  <c r="E1421"/>
  <c r="F1420"/>
  <c r="E1420"/>
  <c r="G1420" s="1"/>
  <c r="F580"/>
  <c r="E580"/>
  <c r="G580" s="1"/>
  <c r="F579"/>
  <c r="E579"/>
  <c r="G579" s="1"/>
  <c r="F1419"/>
  <c r="E1419"/>
  <c r="I1419" s="1"/>
  <c r="E578"/>
  <c r="H578" s="1"/>
  <c r="E1418"/>
  <c r="G1418" s="1"/>
  <c r="F577"/>
  <c r="E577"/>
  <c r="G577" s="1"/>
  <c r="F576"/>
  <c r="E576"/>
  <c r="G576" s="1"/>
  <c r="F1417"/>
  <c r="E1417"/>
  <c r="I1417" s="1"/>
  <c r="F1416"/>
  <c r="E1416"/>
  <c r="H1416" s="1"/>
  <c r="F575"/>
  <c r="E575"/>
  <c r="I575" s="1"/>
  <c r="F1415"/>
  <c r="E1415"/>
  <c r="F574"/>
  <c r="E574"/>
  <c r="F573"/>
  <c r="E573"/>
  <c r="I573" s="1"/>
  <c r="F572"/>
  <c r="E572"/>
  <c r="H572" s="1"/>
  <c r="F1414"/>
  <c r="E1414"/>
  <c r="F571"/>
  <c r="E571"/>
  <c r="F1413"/>
  <c r="E1413"/>
  <c r="F1412"/>
  <c r="E1412"/>
  <c r="I1412" s="1"/>
  <c r="F570"/>
  <c r="E570"/>
  <c r="F1411"/>
  <c r="E1411"/>
  <c r="F1410"/>
  <c r="E1410"/>
  <c r="F1409"/>
  <c r="E1409"/>
  <c r="G1409" s="1"/>
  <c r="F569"/>
  <c r="E569"/>
  <c r="G569" s="1"/>
  <c r="F1408"/>
  <c r="E1408"/>
  <c r="E1407"/>
  <c r="H1407" s="1"/>
  <c r="F1406"/>
  <c r="E1406"/>
  <c r="F568"/>
  <c r="E568"/>
  <c r="F567"/>
  <c r="E567"/>
  <c r="F1405"/>
  <c r="E1405"/>
  <c r="E1404"/>
  <c r="G1404" s="1"/>
  <c r="F1403"/>
  <c r="E1403"/>
  <c r="H1403" s="1"/>
  <c r="F566"/>
  <c r="E566"/>
  <c r="F565"/>
  <c r="E565"/>
  <c r="I565" s="1"/>
  <c r="F1402"/>
  <c r="E1402"/>
  <c r="H1402" s="1"/>
  <c r="E564"/>
  <c r="E1401"/>
  <c r="F1400"/>
  <c r="E1400"/>
  <c r="F1399"/>
  <c r="E1399"/>
  <c r="G1399" s="1"/>
  <c r="F563"/>
  <c r="E563"/>
  <c r="G563" s="1"/>
  <c r="F1398"/>
  <c r="E1398"/>
  <c r="H1398" s="1"/>
  <c r="F562"/>
  <c r="E562"/>
  <c r="I562" s="1"/>
  <c r="F1397"/>
  <c r="E1397"/>
  <c r="G1397" s="1"/>
  <c r="E561"/>
  <c r="F1396"/>
  <c r="E1396"/>
  <c r="F560"/>
  <c r="E560"/>
  <c r="F559"/>
  <c r="E559"/>
  <c r="H559" s="1"/>
  <c r="F1395"/>
  <c r="E1395"/>
  <c r="G1395" s="1"/>
  <c r="F558"/>
  <c r="E558"/>
  <c r="F1394"/>
  <c r="E1394"/>
  <c r="H1394" s="1"/>
  <c r="E557"/>
  <c r="I557" s="1"/>
  <c r="F1393"/>
  <c r="E1393"/>
  <c r="G1393" s="1"/>
  <c r="F556"/>
  <c r="E556"/>
  <c r="F555"/>
  <c r="E555"/>
  <c r="F1392"/>
  <c r="E1392"/>
  <c r="F1391"/>
  <c r="E1391"/>
  <c r="F554"/>
  <c r="E554"/>
  <c r="F1390"/>
  <c r="E1390"/>
  <c r="F553"/>
  <c r="E553"/>
  <c r="F1389"/>
  <c r="E1389"/>
  <c r="F552"/>
  <c r="E552"/>
  <c r="G552" s="1"/>
  <c r="F551"/>
  <c r="E551"/>
  <c r="G551" s="1"/>
  <c r="E550"/>
  <c r="F1388"/>
  <c r="E1388"/>
  <c r="I1388" s="1"/>
  <c r="F549"/>
  <c r="E549"/>
  <c r="G549" s="1"/>
  <c r="F548"/>
  <c r="E548"/>
  <c r="F1387"/>
  <c r="E1387"/>
  <c r="E547"/>
  <c r="E1386"/>
  <c r="I1386" s="1"/>
  <c r="F546"/>
  <c r="E546"/>
  <c r="F545"/>
  <c r="E545"/>
  <c r="F1385"/>
  <c r="E1385"/>
  <c r="F1384"/>
  <c r="E1384"/>
  <c r="H1384" s="1"/>
  <c r="F544"/>
  <c r="E544"/>
  <c r="F543"/>
  <c r="E543"/>
  <c r="G543" s="1"/>
  <c r="F1383"/>
  <c r="E1383"/>
  <c r="I1383" s="1"/>
  <c r="F1382"/>
  <c r="E1382"/>
  <c r="H1382" s="1"/>
  <c r="F1381"/>
  <c r="E1381"/>
  <c r="G1381" s="1"/>
  <c r="F1380"/>
  <c r="E1380"/>
  <c r="F1379"/>
  <c r="E1379"/>
  <c r="H1379" s="1"/>
  <c r="E542"/>
  <c r="I542" s="1"/>
  <c r="F541"/>
  <c r="E541"/>
  <c r="G541" s="1"/>
  <c r="F540"/>
  <c r="E540"/>
  <c r="F1378"/>
  <c r="E1378"/>
  <c r="I1378" s="1"/>
  <c r="F539"/>
  <c r="E539"/>
  <c r="H539" s="1"/>
  <c r="F1377"/>
  <c r="E1377"/>
  <c r="F538"/>
  <c r="E538"/>
  <c r="F537"/>
  <c r="E537"/>
  <c r="F536"/>
  <c r="E536"/>
  <c r="F1376"/>
  <c r="E1376"/>
  <c r="F535"/>
  <c r="E535"/>
  <c r="F1375"/>
  <c r="E1375"/>
  <c r="H1375" s="1"/>
  <c r="F534"/>
  <c r="E534"/>
  <c r="G534" s="1"/>
  <c r="F533"/>
  <c r="E533"/>
  <c r="G533" s="1"/>
  <c r="F1374"/>
  <c r="E1374"/>
  <c r="F532"/>
  <c r="E532"/>
  <c r="F1373"/>
  <c r="E1373"/>
  <c r="F531"/>
  <c r="E531"/>
  <c r="G531" s="1"/>
  <c r="F530"/>
  <c r="E530"/>
  <c r="F529"/>
  <c r="E529"/>
  <c r="F1372"/>
  <c r="E1372"/>
  <c r="E528"/>
  <c r="H528" s="1"/>
  <c r="F1371"/>
  <c r="E1371"/>
  <c r="F1370"/>
  <c r="E1370"/>
  <c r="I1370" s="1"/>
  <c r="F1369"/>
  <c r="E1369"/>
  <c r="H1369" s="1"/>
  <c r="F527"/>
  <c r="E527"/>
  <c r="G527" s="1"/>
  <c r="F1368"/>
  <c r="E1368"/>
  <c r="F1367"/>
  <c r="E1367"/>
  <c r="H1367" s="1"/>
  <c r="F526"/>
  <c r="E526"/>
  <c r="I526" s="1"/>
  <c r="F1366"/>
  <c r="E1366"/>
  <c r="F525"/>
  <c r="E525"/>
  <c r="F1365"/>
  <c r="E1365"/>
  <c r="F1364"/>
  <c r="E1364"/>
  <c r="G1364" s="1"/>
  <c r="F524"/>
  <c r="E524"/>
  <c r="I524" s="1"/>
  <c r="F1363"/>
  <c r="E1363"/>
  <c r="H1363" s="1"/>
  <c r="F1362"/>
  <c r="E1362"/>
  <c r="F523"/>
  <c r="E523"/>
  <c r="F1361"/>
  <c r="E1361"/>
  <c r="F1360"/>
  <c r="E1360"/>
  <c r="I1360" s="1"/>
  <c r="F1359"/>
  <c r="E1359"/>
  <c r="F522"/>
  <c r="E522"/>
  <c r="F1358"/>
  <c r="E1358"/>
  <c r="F521"/>
  <c r="E521"/>
  <c r="F1357"/>
  <c r="E1357"/>
  <c r="I1357" s="1"/>
  <c r="F520"/>
  <c r="E520"/>
  <c r="H520" s="1"/>
  <c r="F519"/>
  <c r="E519"/>
  <c r="F1356"/>
  <c r="E1356"/>
  <c r="F1355"/>
  <c r="E1355"/>
  <c r="F518"/>
  <c r="E518"/>
  <c r="F517"/>
  <c r="E517"/>
  <c r="F1354"/>
  <c r="E1354"/>
  <c r="F1353"/>
  <c r="E1353"/>
  <c r="E1352"/>
  <c r="G1352" s="1"/>
  <c r="F1351"/>
  <c r="E1351"/>
  <c r="F516"/>
  <c r="E516"/>
  <c r="F1350"/>
  <c r="E1350"/>
  <c r="G1350" s="1"/>
  <c r="F515"/>
  <c r="E515"/>
  <c r="I515" s="1"/>
  <c r="F1349"/>
  <c r="E1349"/>
  <c r="F514"/>
  <c r="E514"/>
  <c r="F1348"/>
  <c r="E1348"/>
  <c r="I1348" s="1"/>
  <c r="F1347"/>
  <c r="E1347"/>
  <c r="G1347" s="1"/>
  <c r="F513"/>
  <c r="E513"/>
  <c r="F512"/>
  <c r="E512"/>
  <c r="F511"/>
  <c r="E511"/>
  <c r="F1346"/>
  <c r="E1346"/>
  <c r="G1346" s="1"/>
  <c r="F510"/>
  <c r="E510"/>
  <c r="F1345"/>
  <c r="E1345"/>
  <c r="F509"/>
  <c r="E509"/>
  <c r="I509" s="1"/>
  <c r="F508"/>
  <c r="E508"/>
  <c r="F1344"/>
  <c r="E1344"/>
  <c r="G1344" s="1"/>
  <c r="F507"/>
  <c r="E507"/>
  <c r="I507" s="1"/>
  <c r="F506"/>
  <c r="E506"/>
  <c r="F1343"/>
  <c r="E1343"/>
  <c r="F505"/>
  <c r="E505"/>
  <c r="G505" s="1"/>
  <c r="F1342"/>
  <c r="E1342"/>
  <c r="F504"/>
  <c r="E504"/>
  <c r="F1341"/>
  <c r="E1341"/>
  <c r="H1341" s="1"/>
  <c r="F1340"/>
  <c r="E1340"/>
  <c r="G1340" s="1"/>
  <c r="F1339"/>
  <c r="E1339"/>
  <c r="H1339" s="1"/>
  <c r="F503"/>
  <c r="E503"/>
  <c r="G503" s="1"/>
  <c r="F502"/>
  <c r="E502"/>
  <c r="G502" s="1"/>
  <c r="F1338"/>
  <c r="E1338"/>
  <c r="F1337"/>
  <c r="E1337"/>
  <c r="F501"/>
  <c r="E501"/>
  <c r="F500"/>
  <c r="E500"/>
  <c r="G500" s="1"/>
  <c r="F499"/>
  <c r="E499"/>
  <c r="F498"/>
  <c r="E498"/>
  <c r="F1336"/>
  <c r="E1336"/>
  <c r="F1335"/>
  <c r="E1335"/>
  <c r="H1335" s="1"/>
  <c r="F497"/>
  <c r="E497"/>
  <c r="G497" s="1"/>
  <c r="F496"/>
  <c r="E496"/>
  <c r="I496" s="1"/>
  <c r="F495"/>
  <c r="E495"/>
  <c r="F1334"/>
  <c r="E1334"/>
  <c r="G1334" s="1"/>
  <c r="F1333"/>
  <c r="E1333"/>
  <c r="G1333" s="1"/>
  <c r="F494"/>
  <c r="E494"/>
  <c r="H494" s="1"/>
  <c r="F1332"/>
  <c r="E1332"/>
  <c r="I1332" s="1"/>
  <c r="F1331"/>
  <c r="E1331"/>
  <c r="F493"/>
  <c r="E493"/>
  <c r="I493" s="1"/>
  <c r="F492"/>
  <c r="E492"/>
  <c r="H492" s="1"/>
  <c r="F1330"/>
  <c r="E1330"/>
  <c r="F491"/>
  <c r="E491"/>
  <c r="F490"/>
  <c r="E490"/>
  <c r="F489"/>
  <c r="E489"/>
  <c r="F488"/>
  <c r="E488"/>
  <c r="F1329"/>
  <c r="E1329"/>
  <c r="H1329" s="1"/>
  <c r="F487"/>
  <c r="E487"/>
  <c r="F1328"/>
  <c r="E1328"/>
  <c r="F486"/>
  <c r="E486"/>
  <c r="F485"/>
  <c r="E485"/>
  <c r="F484"/>
  <c r="E484"/>
  <c r="F483"/>
  <c r="E483"/>
  <c r="F1327"/>
  <c r="E1327"/>
  <c r="F482"/>
  <c r="E482"/>
  <c r="G482" s="1"/>
  <c r="F1326"/>
  <c r="E1326"/>
  <c r="I1326" s="1"/>
  <c r="F1325"/>
  <c r="E1325"/>
  <c r="H1325" s="1"/>
  <c r="F481"/>
  <c r="E481"/>
  <c r="F1324"/>
  <c r="E1324"/>
  <c r="F480"/>
  <c r="E480"/>
  <c r="F1323"/>
  <c r="E1323"/>
  <c r="I1323" s="1"/>
  <c r="F479"/>
  <c r="E479"/>
  <c r="I479" s="1"/>
  <c r="F1322"/>
  <c r="E1322"/>
  <c r="I1322" s="1"/>
  <c r="E478"/>
  <c r="E1321"/>
  <c r="H1321" s="1"/>
  <c r="F1320"/>
  <c r="E1320"/>
  <c r="F1319"/>
  <c r="E1319"/>
  <c r="F477"/>
  <c r="E477"/>
  <c r="F1318"/>
  <c r="E1318"/>
  <c r="G1318" s="1"/>
  <c r="E476"/>
  <c r="H476" s="1"/>
  <c r="F1317"/>
  <c r="E1317"/>
  <c r="I1317" s="1"/>
  <c r="F1316"/>
  <c r="E1316"/>
  <c r="F475"/>
  <c r="E475"/>
  <c r="I475" s="1"/>
  <c r="F1315"/>
  <c r="E1315"/>
  <c r="H1315" s="1"/>
  <c r="F474"/>
  <c r="E474"/>
  <c r="H474" s="1"/>
  <c r="F1314"/>
  <c r="E1314"/>
  <c r="E473"/>
  <c r="F472"/>
  <c r="E472"/>
  <c r="E1313"/>
  <c r="G1313" s="1"/>
  <c r="F471"/>
  <c r="E471"/>
  <c r="F470"/>
  <c r="E470"/>
  <c r="F469"/>
  <c r="E469"/>
  <c r="F1312"/>
  <c r="E1312"/>
  <c r="F468"/>
  <c r="E468"/>
  <c r="F1311"/>
  <c r="E1311"/>
  <c r="F467"/>
  <c r="E467"/>
  <c r="G467" s="1"/>
  <c r="F466"/>
  <c r="E466"/>
  <c r="F1310"/>
  <c r="E1310"/>
  <c r="I1310" s="1"/>
  <c r="F1309"/>
  <c r="E1309"/>
  <c r="F465"/>
  <c r="E465"/>
  <c r="F1308"/>
  <c r="E1308"/>
  <c r="G1308" s="1"/>
  <c r="E464"/>
  <c r="E1307"/>
  <c r="H1307" s="1"/>
  <c r="F1306"/>
  <c r="E1306"/>
  <c r="I1306" s="1"/>
  <c r="F463"/>
  <c r="E463"/>
  <c r="I463" s="1"/>
  <c r="F1305"/>
  <c r="E1305"/>
  <c r="I1305" s="1"/>
  <c r="F1304"/>
  <c r="E1304"/>
  <c r="F462"/>
  <c r="E462"/>
  <c r="F1303"/>
  <c r="E1303"/>
  <c r="E1302"/>
  <c r="I1302" s="1"/>
  <c r="F461"/>
  <c r="E461"/>
  <c r="I461" s="1"/>
  <c r="F1301"/>
  <c r="E1301"/>
  <c r="F460"/>
  <c r="E460"/>
  <c r="F1300"/>
  <c r="E1300"/>
  <c r="G1300" s="1"/>
  <c r="F1299"/>
  <c r="E1299"/>
  <c r="F1298"/>
  <c r="E1298"/>
  <c r="F459"/>
  <c r="E459"/>
  <c r="F458"/>
  <c r="E458"/>
  <c r="I458" s="1"/>
  <c r="F457"/>
  <c r="E457"/>
  <c r="H457" s="1"/>
  <c r="F1297"/>
  <c r="E1297"/>
  <c r="F1296"/>
  <c r="E1296"/>
  <c r="F1295"/>
  <c r="E1295"/>
  <c r="F456"/>
  <c r="E456"/>
  <c r="F1294"/>
  <c r="E1294"/>
  <c r="H1294" s="1"/>
  <c r="F455"/>
  <c r="E455"/>
  <c r="H455" s="1"/>
  <c r="F1293"/>
  <c r="E1293"/>
  <c r="F454"/>
  <c r="E454"/>
  <c r="F1292"/>
  <c r="E1292"/>
  <c r="F1291"/>
  <c r="E1291"/>
  <c r="F453"/>
  <c r="E453"/>
  <c r="F452"/>
  <c r="E452"/>
  <c r="F1290"/>
  <c r="E1290"/>
  <c r="F451"/>
  <c r="E451"/>
  <c r="F1289"/>
  <c r="E1289"/>
  <c r="I1289" s="1"/>
  <c r="F1288"/>
  <c r="E1288"/>
  <c r="H1288" s="1"/>
  <c r="F1287"/>
  <c r="E1287"/>
  <c r="G1287" s="1"/>
  <c r="F450"/>
  <c r="E450"/>
  <c r="I450" s="1"/>
  <c r="F1286"/>
  <c r="E1286"/>
  <c r="F1285"/>
  <c r="E1285"/>
  <c r="I1285" s="1"/>
  <c r="F1284"/>
  <c r="E1284"/>
  <c r="F449"/>
  <c r="E449"/>
  <c r="F1283"/>
  <c r="E1283"/>
  <c r="F1282"/>
  <c r="E1282"/>
  <c r="F448"/>
  <c r="E448"/>
  <c r="F1281"/>
  <c r="E1281"/>
  <c r="F1280"/>
  <c r="E1280"/>
  <c r="F447"/>
  <c r="E447"/>
  <c r="F1279"/>
  <c r="E1279"/>
  <c r="F1278"/>
  <c r="E1278"/>
  <c r="F446"/>
  <c r="E446"/>
  <c r="F1277"/>
  <c r="E1277"/>
  <c r="F445"/>
  <c r="E445"/>
  <c r="F1276"/>
  <c r="E1276"/>
  <c r="F444"/>
  <c r="E444"/>
  <c r="F1275"/>
  <c r="E1275"/>
  <c r="H1275" s="1"/>
  <c r="F1274"/>
  <c r="E1274"/>
  <c r="G1274" s="1"/>
  <c r="F1273"/>
  <c r="E1273"/>
  <c r="I1273" s="1"/>
  <c r="F443"/>
  <c r="E443"/>
  <c r="F1272"/>
  <c r="E1272"/>
  <c r="H1272" s="1"/>
  <c r="F442"/>
  <c r="E442"/>
  <c r="H442" s="1"/>
  <c r="F1271"/>
  <c r="E1271"/>
  <c r="F1270"/>
  <c r="E1270"/>
  <c r="I1270" s="1"/>
  <c r="F441"/>
  <c r="E441"/>
  <c r="F440"/>
  <c r="E440"/>
  <c r="F1269"/>
  <c r="E1269"/>
  <c r="G1269" s="1"/>
  <c r="F1268"/>
  <c r="E1268"/>
  <c r="F439"/>
  <c r="E439"/>
  <c r="F1267"/>
  <c r="E1267"/>
  <c r="F1266"/>
  <c r="E1266"/>
  <c r="I1266" s="1"/>
  <c r="F438"/>
  <c r="E438"/>
  <c r="H438" s="1"/>
  <c r="F437"/>
  <c r="E437"/>
  <c r="I437" s="1"/>
  <c r="F1265"/>
  <c r="E1265"/>
  <c r="F436"/>
  <c r="E436"/>
  <c r="F435"/>
  <c r="E435"/>
  <c r="F434"/>
  <c r="E434"/>
  <c r="F1264"/>
  <c r="E1264"/>
  <c r="H1264" s="1"/>
  <c r="E433"/>
  <c r="H433" s="1"/>
  <c r="F432"/>
  <c r="E432"/>
  <c r="G432" s="1"/>
  <c r="F1263"/>
  <c r="E1263"/>
  <c r="F431"/>
  <c r="E431"/>
  <c r="F1262"/>
  <c r="E1262"/>
  <c r="E430"/>
  <c r="H430" s="1"/>
  <c r="E1261"/>
  <c r="F429"/>
  <c r="E429"/>
  <c r="F428"/>
  <c r="E428"/>
  <c r="F1260"/>
  <c r="E1260"/>
  <c r="I1260" s="1"/>
  <c r="F1259"/>
  <c r="E1259"/>
  <c r="H1259" s="1"/>
  <c r="F427"/>
  <c r="E427"/>
  <c r="F426"/>
  <c r="E426"/>
  <c r="F1258"/>
  <c r="E1258"/>
  <c r="F425"/>
  <c r="E425"/>
  <c r="F1257"/>
  <c r="E1257"/>
  <c r="G1257" s="1"/>
  <c r="F1256"/>
  <c r="E1256"/>
  <c r="H1256" s="1"/>
  <c r="F424"/>
  <c r="E424"/>
  <c r="F423"/>
  <c r="E423"/>
  <c r="F1255"/>
  <c r="E1255"/>
  <c r="F1254"/>
  <c r="E1254"/>
  <c r="F422"/>
  <c r="E422"/>
  <c r="F1253"/>
  <c r="E1253"/>
  <c r="F1252"/>
  <c r="E1252"/>
  <c r="F421"/>
  <c r="E421"/>
  <c r="F420"/>
  <c r="E420"/>
  <c r="I420" s="1"/>
  <c r="F1251"/>
  <c r="E1251"/>
  <c r="H1251" s="1"/>
  <c r="F1250"/>
  <c r="E1250"/>
  <c r="G1250" s="1"/>
  <c r="E419"/>
  <c r="F418"/>
  <c r="E418"/>
  <c r="E417"/>
  <c r="F416"/>
  <c r="E416"/>
  <c r="F1249"/>
  <c r="E1249"/>
  <c r="F415"/>
  <c r="E415"/>
  <c r="F414"/>
  <c r="E414"/>
  <c r="G414" s="1"/>
  <c r="E1248"/>
  <c r="F413"/>
  <c r="E413"/>
  <c r="I413" s="1"/>
  <c r="F1247"/>
  <c r="E1247"/>
  <c r="F1246"/>
  <c r="E1246"/>
  <c r="I1246" s="1"/>
  <c r="F412"/>
  <c r="E412"/>
  <c r="H412" s="1"/>
  <c r="F1245"/>
  <c r="E1245"/>
  <c r="H1245" s="1"/>
  <c r="E411"/>
  <c r="G411" s="1"/>
  <c r="E410"/>
  <c r="H410" s="1"/>
  <c r="E409"/>
  <c r="G409" s="1"/>
  <c r="E1244"/>
  <c r="H1244" s="1"/>
  <c r="E408"/>
  <c r="E1243"/>
  <c r="G1243" s="1"/>
  <c r="F1242"/>
  <c r="E1242"/>
  <c r="H1242" s="1"/>
  <c r="F407"/>
  <c r="E407"/>
  <c r="F1241"/>
  <c r="E1241"/>
  <c r="E406"/>
  <c r="I406" s="1"/>
  <c r="E405"/>
  <c r="G405" s="1"/>
  <c r="E1240"/>
  <c r="I1240" s="1"/>
  <c r="F404"/>
  <c r="E404"/>
  <c r="I404" s="1"/>
  <c r="F403"/>
  <c r="E403"/>
  <c r="F402"/>
  <c r="E402"/>
  <c r="I402" s="1"/>
  <c r="F1239"/>
  <c r="E1239"/>
  <c r="F401"/>
  <c r="E401"/>
  <c r="F1238"/>
  <c r="E1238"/>
  <c r="F400"/>
  <c r="E400"/>
  <c r="F399"/>
  <c r="E399"/>
  <c r="H399" s="1"/>
  <c r="F1237"/>
  <c r="E1237"/>
  <c r="G1237" s="1"/>
  <c r="E1236"/>
  <c r="G1236" s="1"/>
  <c r="E398"/>
  <c r="E397"/>
  <c r="I397" s="1"/>
  <c r="E1235"/>
  <c r="G1235" s="1"/>
  <c r="E396"/>
  <c r="H396" s="1"/>
  <c r="E395"/>
  <c r="G395" s="1"/>
  <c r="F394"/>
  <c r="E394"/>
  <c r="H394" s="1"/>
  <c r="F393"/>
  <c r="E393"/>
  <c r="I393" s="1"/>
  <c r="F392"/>
  <c r="E392"/>
  <c r="G392" s="1"/>
  <c r="F1234"/>
  <c r="E1234"/>
  <c r="F391"/>
  <c r="E391"/>
  <c r="F1233"/>
  <c r="E1233"/>
  <c r="H1233" s="1"/>
  <c r="F390"/>
  <c r="E390"/>
  <c r="G390" s="1"/>
  <c r="F389"/>
  <c r="E389"/>
  <c r="I389" s="1"/>
  <c r="F388"/>
  <c r="E388"/>
  <c r="F1232"/>
  <c r="E1232"/>
  <c r="F387"/>
  <c r="E387"/>
  <c r="H387" s="1"/>
  <c r="F386"/>
  <c r="E386"/>
  <c r="G386" s="1"/>
  <c r="F1231"/>
  <c r="E1231"/>
  <c r="I1231" s="1"/>
  <c r="F385"/>
  <c r="E385"/>
  <c r="F1230"/>
  <c r="E1230"/>
  <c r="F384"/>
  <c r="E384"/>
  <c r="G384" s="1"/>
  <c r="F1229"/>
  <c r="E1229"/>
  <c r="H1229" s="1"/>
  <c r="F383"/>
  <c r="E383"/>
  <c r="F1228"/>
  <c r="E1228"/>
  <c r="F382"/>
  <c r="E382"/>
  <c r="I382" s="1"/>
  <c r="E381"/>
  <c r="H381" s="1"/>
  <c r="E380"/>
  <c r="G380" s="1"/>
  <c r="E379"/>
  <c r="F1227"/>
  <c r="E1227"/>
  <c r="H1227" s="1"/>
  <c r="F378"/>
  <c r="E378"/>
  <c r="G378" s="1"/>
  <c r="F1226"/>
  <c r="E1226"/>
  <c r="H1226" s="1"/>
  <c r="F377"/>
  <c r="E377"/>
  <c r="F376"/>
  <c r="E376"/>
  <c r="F1225"/>
  <c r="E1225"/>
  <c r="F375"/>
  <c r="E375"/>
  <c r="F374"/>
  <c r="E374"/>
  <c r="F373"/>
  <c r="E373"/>
  <c r="G373" s="1"/>
  <c r="F1224"/>
  <c r="E1224"/>
  <c r="F372"/>
  <c r="E372"/>
  <c r="F1223"/>
  <c r="E1223"/>
  <c r="F371"/>
  <c r="E371"/>
  <c r="H371" s="1"/>
  <c r="F1222"/>
  <c r="E1222"/>
  <c r="G1222" s="1"/>
  <c r="F1221"/>
  <c r="E1221"/>
  <c r="I1221" s="1"/>
  <c r="F370"/>
  <c r="E370"/>
  <c r="F1220"/>
  <c r="E1220"/>
  <c r="E1219"/>
  <c r="G1219" s="1"/>
  <c r="E369"/>
  <c r="G369" s="1"/>
  <c r="E1218"/>
  <c r="H1218" s="1"/>
  <c r="F1217"/>
  <c r="E1217"/>
  <c r="F1216"/>
  <c r="E1216"/>
  <c r="F368"/>
  <c r="E368"/>
  <c r="I368" s="1"/>
  <c r="F1215"/>
  <c r="E1215"/>
  <c r="H1215" s="1"/>
  <c r="F367"/>
  <c r="E367"/>
  <c r="F366"/>
  <c r="E366"/>
  <c r="F1214"/>
  <c r="E1214"/>
  <c r="F365"/>
  <c r="E365"/>
  <c r="F1213"/>
  <c r="E1213"/>
  <c r="F1212"/>
  <c r="E1212"/>
  <c r="H1212" s="1"/>
  <c r="F1211"/>
  <c r="E1211"/>
  <c r="F364"/>
  <c r="E364"/>
  <c r="F1210"/>
  <c r="E1210"/>
  <c r="H1210" s="1"/>
  <c r="F363"/>
  <c r="E363"/>
  <c r="F1209"/>
  <c r="E1209"/>
  <c r="F362"/>
  <c r="E362"/>
  <c r="H362" s="1"/>
  <c r="F1208"/>
  <c r="E1208"/>
  <c r="F1207"/>
  <c r="E1207"/>
  <c r="F361"/>
  <c r="E361"/>
  <c r="I361" s="1"/>
  <c r="F1206"/>
  <c r="E1206"/>
  <c r="H1206" s="1"/>
  <c r="F360"/>
  <c r="E360"/>
  <c r="G360" s="1"/>
  <c r="F1205"/>
  <c r="E1205"/>
  <c r="I1205" s="1"/>
  <c r="F359"/>
  <c r="E359"/>
  <c r="F1204"/>
  <c r="E1204"/>
  <c r="I1204" s="1"/>
  <c r="F358"/>
  <c r="E358"/>
  <c r="H358" s="1"/>
  <c r="F1203"/>
  <c r="E1203"/>
  <c r="F357"/>
  <c r="E357"/>
  <c r="F1202"/>
  <c r="E1202"/>
  <c r="F356"/>
  <c r="E356"/>
  <c r="F1201"/>
  <c r="E1201"/>
  <c r="I1201" s="1"/>
  <c r="F1200"/>
  <c r="E1200"/>
  <c r="F355"/>
  <c r="E355"/>
  <c r="F1199"/>
  <c r="E1199"/>
  <c r="F354"/>
  <c r="E354"/>
  <c r="F353"/>
  <c r="E353"/>
  <c r="F352"/>
  <c r="E352"/>
  <c r="F1198"/>
  <c r="E1198"/>
  <c r="F351"/>
  <c r="E351"/>
  <c r="G351" s="1"/>
  <c r="F1197"/>
  <c r="E1197"/>
  <c r="H1197" s="1"/>
  <c r="E350"/>
  <c r="I350" s="1"/>
  <c r="F349"/>
  <c r="E349"/>
  <c r="G349" s="1"/>
  <c r="F348"/>
  <c r="E348"/>
  <c r="I348" s="1"/>
  <c r="F347"/>
  <c r="E347"/>
  <c r="F1196"/>
  <c r="E1196"/>
  <c r="H1196" s="1"/>
  <c r="F1195"/>
  <c r="E1195"/>
  <c r="F1194"/>
  <c r="E1194"/>
  <c r="I1194" s="1"/>
  <c r="F346"/>
  <c r="E346"/>
  <c r="F1193"/>
  <c r="E1193"/>
  <c r="F1192"/>
  <c r="E1192"/>
  <c r="F1191"/>
  <c r="E1191"/>
  <c r="G1191" s="1"/>
  <c r="F345"/>
  <c r="E345"/>
  <c r="F344"/>
  <c r="E344"/>
  <c r="I344" s="1"/>
  <c r="F1190"/>
  <c r="E1190"/>
  <c r="H1190" s="1"/>
  <c r="F1189"/>
  <c r="E1189"/>
  <c r="F1188"/>
  <c r="E1188"/>
  <c r="F343"/>
  <c r="E343"/>
  <c r="G343" s="1"/>
  <c r="F1187"/>
  <c r="E1187"/>
  <c r="F342"/>
  <c r="E342"/>
  <c r="F1186"/>
  <c r="E1186"/>
  <c r="F341"/>
  <c r="E341"/>
  <c r="I341" s="1"/>
  <c r="F1185"/>
  <c r="E1185"/>
  <c r="I1185" s="1"/>
  <c r="E340"/>
  <c r="H340" s="1"/>
  <c r="F1184"/>
  <c r="E1184"/>
  <c r="G1184" s="1"/>
  <c r="F339"/>
  <c r="E339"/>
  <c r="G339" s="1"/>
  <c r="F1183"/>
  <c r="E1183"/>
  <c r="I1183" s="1"/>
  <c r="F1182"/>
  <c r="E1182"/>
  <c r="F338"/>
  <c r="E338"/>
  <c r="I338" s="1"/>
  <c r="F337"/>
  <c r="E337"/>
  <c r="F336"/>
  <c r="E336"/>
  <c r="F1181"/>
  <c r="E1181"/>
  <c r="I1181" s="1"/>
  <c r="F335"/>
  <c r="E335"/>
  <c r="H335" s="1"/>
  <c r="F334"/>
  <c r="E334"/>
  <c r="I334" s="1"/>
  <c r="F333"/>
  <c r="E333"/>
  <c r="G333" s="1"/>
  <c r="F332"/>
  <c r="E332"/>
  <c r="F1180"/>
  <c r="E1180"/>
  <c r="I1180" s="1"/>
  <c r="F1179"/>
  <c r="E1179"/>
  <c r="F331"/>
  <c r="E331"/>
  <c r="F330"/>
  <c r="E330"/>
  <c r="H330" s="1"/>
  <c r="F1178"/>
  <c r="E1178"/>
  <c r="E329"/>
  <c r="G329" s="1"/>
  <c r="F328"/>
  <c r="E328"/>
  <c r="H328" s="1"/>
  <c r="E327"/>
  <c r="E1177"/>
  <c r="F326"/>
  <c r="E326"/>
  <c r="F1176"/>
  <c r="E1176"/>
  <c r="H1176" s="1"/>
  <c r="F325"/>
  <c r="E325"/>
  <c r="G325" s="1"/>
  <c r="F1175"/>
  <c r="E1175"/>
  <c r="I1175" s="1"/>
  <c r="F324"/>
  <c r="E324"/>
  <c r="F1174"/>
  <c r="E1174"/>
  <c r="G1174" s="1"/>
  <c r="F323"/>
  <c r="E323"/>
  <c r="F1173"/>
  <c r="E1173"/>
  <c r="H1173" s="1"/>
  <c r="F322"/>
  <c r="E322"/>
  <c r="F1172"/>
  <c r="E1172"/>
  <c r="G1172" s="1"/>
  <c r="F1171"/>
  <c r="E1171"/>
  <c r="I1171" s="1"/>
  <c r="F321"/>
  <c r="E321"/>
  <c r="F1170"/>
  <c r="E1170"/>
  <c r="F320"/>
  <c r="E320"/>
  <c r="F1169"/>
  <c r="E1169"/>
  <c r="G1169" s="1"/>
  <c r="E319"/>
  <c r="G319" s="1"/>
  <c r="F318"/>
  <c r="E318"/>
  <c r="F1168"/>
  <c r="E1168"/>
  <c r="F317"/>
  <c r="E317"/>
  <c r="I317" s="1"/>
  <c r="F1167"/>
  <c r="E1167"/>
  <c r="H1167" s="1"/>
  <c r="E316"/>
  <c r="G316" s="1"/>
  <c r="F315"/>
  <c r="E315"/>
  <c r="I315" s="1"/>
  <c r="F314"/>
  <c r="E314"/>
  <c r="F1166"/>
  <c r="E1166"/>
  <c r="F1165"/>
  <c r="E1165"/>
  <c r="G1165" s="1"/>
  <c r="F1164"/>
  <c r="E1164"/>
  <c r="I1164" s="1"/>
  <c r="F313"/>
  <c r="E313"/>
  <c r="I313" s="1"/>
  <c r="F1163"/>
  <c r="E1163"/>
  <c r="F312"/>
  <c r="E312"/>
  <c r="F1162"/>
  <c r="E1162"/>
  <c r="H1162" s="1"/>
  <c r="F1161"/>
  <c r="E1161"/>
  <c r="F1160"/>
  <c r="E1160"/>
  <c r="G1160" s="1"/>
  <c r="F311"/>
  <c r="E311"/>
  <c r="I311" s="1"/>
  <c r="F1159"/>
  <c r="E1159"/>
  <c r="F1158"/>
  <c r="E1158"/>
  <c r="F1157"/>
  <c r="E1157"/>
  <c r="F310"/>
  <c r="E310"/>
  <c r="F1156"/>
  <c r="E1156"/>
  <c r="F309"/>
  <c r="E309"/>
  <c r="F308"/>
  <c r="E308"/>
  <c r="F307"/>
  <c r="E307"/>
  <c r="G307" s="1"/>
  <c r="F1155"/>
  <c r="E1155"/>
  <c r="F306"/>
  <c r="E306"/>
  <c r="I306" s="1"/>
  <c r="F1154"/>
  <c r="E1154"/>
  <c r="G1154" s="1"/>
  <c r="F305"/>
  <c r="E305"/>
  <c r="F304"/>
  <c r="E304"/>
  <c r="F1153"/>
  <c r="E1153"/>
  <c r="G1153" s="1"/>
  <c r="E303"/>
  <c r="E1152"/>
  <c r="H1152" s="1"/>
  <c r="E1151"/>
  <c r="F1150"/>
  <c r="E1150"/>
  <c r="F302"/>
  <c r="E302"/>
  <c r="F1149"/>
  <c r="E1149"/>
  <c r="F301"/>
  <c r="E301"/>
  <c r="F300"/>
  <c r="E300"/>
  <c r="H300" s="1"/>
  <c r="F299"/>
  <c r="E299"/>
  <c r="G299" s="1"/>
  <c r="F298"/>
  <c r="E298"/>
  <c r="G298" s="1"/>
  <c r="F1148"/>
  <c r="E1148"/>
  <c r="F297"/>
  <c r="E297"/>
  <c r="F1147"/>
  <c r="E1147"/>
  <c r="I1147" s="1"/>
  <c r="F296"/>
  <c r="E296"/>
  <c r="F1146"/>
  <c r="E1146"/>
  <c r="F295"/>
  <c r="E295"/>
  <c r="I295" s="1"/>
  <c r="F294"/>
  <c r="E294"/>
  <c r="F1145"/>
  <c r="E1145"/>
  <c r="F1144"/>
  <c r="E1144"/>
  <c r="G1144" s="1"/>
  <c r="F293"/>
  <c r="E293"/>
  <c r="F1143"/>
  <c r="E1143"/>
  <c r="E292"/>
  <c r="F1142"/>
  <c r="E1142"/>
  <c r="H1142" s="1"/>
  <c r="F1141"/>
  <c r="E1141"/>
  <c r="I1141" s="1"/>
  <c r="F1140"/>
  <c r="E1140"/>
  <c r="H1140" s="1"/>
  <c r="E291"/>
  <c r="F290"/>
  <c r="E290"/>
  <c r="H290" s="1"/>
  <c r="F1139"/>
  <c r="E1139"/>
  <c r="I1139" s="1"/>
  <c r="F1138"/>
  <c r="E1138"/>
  <c r="G1138" s="1"/>
  <c r="F1137"/>
  <c r="E1137"/>
  <c r="F289"/>
  <c r="E289"/>
  <c r="I289" s="1"/>
  <c r="F1136"/>
  <c r="E1136"/>
  <c r="F1135"/>
  <c r="E1135"/>
  <c r="F288"/>
  <c r="E288"/>
  <c r="H288" s="1"/>
  <c r="F287"/>
  <c r="E287"/>
  <c r="F1134"/>
  <c r="E1134"/>
  <c r="G1134" s="1"/>
  <c r="F286"/>
  <c r="E286"/>
  <c r="I286" s="1"/>
  <c r="F1133"/>
  <c r="E1133"/>
  <c r="F285"/>
  <c r="E285"/>
  <c r="F284"/>
  <c r="E284"/>
  <c r="F1132"/>
  <c r="E1132"/>
  <c r="I1132" s="1"/>
  <c r="F283"/>
  <c r="E283"/>
  <c r="F1131"/>
  <c r="E1131"/>
  <c r="H1131" s="1"/>
  <c r="F1130"/>
  <c r="E1130"/>
  <c r="H1130" s="1"/>
  <c r="F1129"/>
  <c r="E1129"/>
  <c r="F282"/>
  <c r="E282"/>
  <c r="H282" s="1"/>
  <c r="F1128"/>
  <c r="E1128"/>
  <c r="F281"/>
  <c r="E281"/>
  <c r="F1127"/>
  <c r="E1127"/>
  <c r="F1126"/>
  <c r="E1126"/>
  <c r="H1126" s="1"/>
  <c r="F280"/>
  <c r="E280"/>
  <c r="I280" s="1"/>
  <c r="F279"/>
  <c r="E279"/>
  <c r="G279" s="1"/>
  <c r="F278"/>
  <c r="E278"/>
  <c r="I278" s="1"/>
  <c r="F1125"/>
  <c r="E1125"/>
  <c r="I1125" s="1"/>
  <c r="F277"/>
  <c r="E277"/>
  <c r="F1124"/>
  <c r="E1124"/>
  <c r="F276"/>
  <c r="E276"/>
  <c r="F1123"/>
  <c r="E1123"/>
  <c r="G1123" s="1"/>
  <c r="F1122"/>
  <c r="E1122"/>
  <c r="F275"/>
  <c r="E275"/>
  <c r="F274"/>
  <c r="E274"/>
  <c r="F1121"/>
  <c r="E1121"/>
  <c r="F273"/>
  <c r="E273"/>
  <c r="I273" s="1"/>
  <c r="F1120"/>
  <c r="E1120"/>
  <c r="G1120" s="1"/>
  <c r="F1119"/>
  <c r="E1119"/>
  <c r="F1118"/>
  <c r="E1118"/>
  <c r="F272"/>
  <c r="E272"/>
  <c r="F1117"/>
  <c r="E1117"/>
  <c r="F1116"/>
  <c r="E1116"/>
  <c r="H1116" s="1"/>
  <c r="F271"/>
  <c r="E271"/>
  <c r="F270"/>
  <c r="E270"/>
  <c r="F269"/>
  <c r="E269"/>
  <c r="F1115"/>
  <c r="E1115"/>
  <c r="H1115" s="1"/>
  <c r="F1114"/>
  <c r="E1114"/>
  <c r="G1114" s="1"/>
  <c r="F268"/>
  <c r="E268"/>
  <c r="G268" s="1"/>
  <c r="F1113"/>
  <c r="E1113"/>
  <c r="F267"/>
  <c r="E267"/>
  <c r="F1112"/>
  <c r="E1112"/>
  <c r="I1112" s="1"/>
  <c r="F266"/>
  <c r="E266"/>
  <c r="F1111"/>
  <c r="E1111"/>
  <c r="G1111" s="1"/>
  <c r="E265"/>
  <c r="H265" s="1"/>
  <c r="F1110"/>
  <c r="E1110"/>
  <c r="F264"/>
  <c r="E264"/>
  <c r="G264" s="1"/>
  <c r="F1109"/>
  <c r="E1109"/>
  <c r="I1109" s="1"/>
  <c r="F1108"/>
  <c r="E1108"/>
  <c r="F263"/>
  <c r="E263"/>
  <c r="F262"/>
  <c r="E262"/>
  <c r="G262" s="1"/>
  <c r="F1107"/>
  <c r="E1107"/>
  <c r="H1107" s="1"/>
  <c r="F261"/>
  <c r="E261"/>
  <c r="F1106"/>
  <c r="E1106"/>
  <c r="G1106" s="1"/>
  <c r="F260"/>
  <c r="E260"/>
  <c r="F259"/>
  <c r="E259"/>
  <c r="H259" s="1"/>
  <c r="F258"/>
  <c r="E258"/>
  <c r="F257"/>
  <c r="E257"/>
  <c r="G257" s="1"/>
  <c r="F256"/>
  <c r="E256"/>
  <c r="I256" s="1"/>
  <c r="F255"/>
  <c r="E255"/>
  <c r="F1105"/>
  <c r="E1105"/>
  <c r="E254"/>
  <c r="F1104"/>
  <c r="E1104"/>
  <c r="F1103"/>
  <c r="E1103"/>
  <c r="I1103" s="1"/>
  <c r="F1102"/>
  <c r="E1102"/>
  <c r="I1102" s="1"/>
  <c r="F253"/>
  <c r="E253"/>
  <c r="F1101"/>
  <c r="E1101"/>
  <c r="F1100"/>
  <c r="E1100"/>
  <c r="H1100" s="1"/>
  <c r="F252"/>
  <c r="E252"/>
  <c r="F1099"/>
  <c r="E1099"/>
  <c r="E251"/>
  <c r="G251" s="1"/>
  <c r="E1098"/>
  <c r="G1098" s="1"/>
  <c r="F1097"/>
  <c r="E1097"/>
  <c r="F250"/>
  <c r="E250"/>
  <c r="H250" s="1"/>
  <c r="F249"/>
  <c r="E249"/>
  <c r="H249" s="1"/>
  <c r="F1096"/>
  <c r="E1096"/>
  <c r="F248"/>
  <c r="E248"/>
  <c r="H248" s="1"/>
  <c r="F1095"/>
  <c r="E1095"/>
  <c r="E247"/>
  <c r="F1094"/>
  <c r="E1094"/>
  <c r="F246"/>
  <c r="E246"/>
  <c r="F1093"/>
  <c r="E1093"/>
  <c r="H1093" s="1"/>
  <c r="F245"/>
  <c r="E245"/>
  <c r="F1092"/>
  <c r="E1092"/>
  <c r="H1092" s="1"/>
  <c r="E244"/>
  <c r="G244" s="1"/>
  <c r="F1091"/>
  <c r="E1091"/>
  <c r="F243"/>
  <c r="E243"/>
  <c r="H243" s="1"/>
  <c r="F1090"/>
  <c r="E1090"/>
  <c r="F242"/>
  <c r="E242"/>
  <c r="G242" s="1"/>
  <c r="F241"/>
  <c r="E241"/>
  <c r="I241" s="1"/>
  <c r="F240"/>
  <c r="E240"/>
  <c r="F239"/>
  <c r="E239"/>
  <c r="I239" s="1"/>
  <c r="F1089"/>
  <c r="E1089"/>
  <c r="F1088"/>
  <c r="E1088"/>
  <c r="F1087"/>
  <c r="E1087"/>
  <c r="F238"/>
  <c r="E238"/>
  <c r="F1086"/>
  <c r="E1086"/>
  <c r="F1085"/>
  <c r="E1085"/>
  <c r="G1085" s="1"/>
  <c r="F1084"/>
  <c r="E1084"/>
  <c r="I1084" s="1"/>
  <c r="F237"/>
  <c r="E237"/>
  <c r="I237" s="1"/>
  <c r="F1083"/>
  <c r="E1083"/>
  <c r="G1083" s="1"/>
  <c r="F236"/>
  <c r="E236"/>
  <c r="F235"/>
  <c r="E235"/>
  <c r="F1082"/>
  <c r="E1082"/>
  <c r="G1082" s="1"/>
  <c r="F234"/>
  <c r="E234"/>
  <c r="F1081"/>
  <c r="E1081"/>
  <c r="F233"/>
  <c r="E233"/>
  <c r="F232"/>
  <c r="E232"/>
  <c r="H232" s="1"/>
  <c r="F231"/>
  <c r="E231"/>
  <c r="I231" s="1"/>
  <c r="F1080"/>
  <c r="E1080"/>
  <c r="G1080" s="1"/>
  <c r="F230"/>
  <c r="E230"/>
  <c r="F1079"/>
  <c r="E1079"/>
  <c r="F229"/>
  <c r="E229"/>
  <c r="F1078"/>
  <c r="E1078"/>
  <c r="F228"/>
  <c r="E228"/>
  <c r="H228" s="1"/>
  <c r="F227"/>
  <c r="E227"/>
  <c r="F1077"/>
  <c r="E1077"/>
  <c r="G1077" s="1"/>
  <c r="F226"/>
  <c r="E226"/>
  <c r="F1076"/>
  <c r="E1076"/>
  <c r="H1076" s="1"/>
  <c r="F1075"/>
  <c r="E1075"/>
  <c r="F225"/>
  <c r="E225"/>
  <c r="G225" s="1"/>
  <c r="F1074"/>
  <c r="E1074"/>
  <c r="F224"/>
  <c r="E224"/>
  <c r="F1073"/>
  <c r="E1073"/>
  <c r="I1073" s="1"/>
  <c r="F223"/>
  <c r="E223"/>
  <c r="F1072"/>
  <c r="E1072"/>
  <c r="G1072" s="1"/>
  <c r="F222"/>
  <c r="E222"/>
  <c r="I222" s="1"/>
  <c r="F1071"/>
  <c r="E1071"/>
  <c r="H1071" s="1"/>
  <c r="F221"/>
  <c r="E221"/>
  <c r="I221" s="1"/>
  <c r="F220"/>
  <c r="E220"/>
  <c r="G220" s="1"/>
  <c r="F1070"/>
  <c r="E1070"/>
  <c r="H1070" s="1"/>
  <c r="F219"/>
  <c r="E219"/>
  <c r="F218"/>
  <c r="E218"/>
  <c r="F217"/>
  <c r="E217"/>
  <c r="F1069"/>
  <c r="E1069"/>
  <c r="H1069" s="1"/>
  <c r="F216"/>
  <c r="E216"/>
  <c r="F1068"/>
  <c r="E1068"/>
  <c r="G1068" s="1"/>
  <c r="F1067"/>
  <c r="E1067"/>
  <c r="I1067" s="1"/>
  <c r="F215"/>
  <c r="E215"/>
  <c r="F214"/>
  <c r="E214"/>
  <c r="F1066"/>
  <c r="E1066"/>
  <c r="F1065"/>
  <c r="E1065"/>
  <c r="I1065" s="1"/>
  <c r="F213"/>
  <c r="E213"/>
  <c r="I213" s="1"/>
  <c r="F1064"/>
  <c r="E1064"/>
  <c r="F212"/>
  <c r="E212"/>
  <c r="F1063"/>
  <c r="E1063"/>
  <c r="G1063" s="1"/>
  <c r="F211"/>
  <c r="E211"/>
  <c r="I211" s="1"/>
  <c r="F1062"/>
  <c r="E1062"/>
  <c r="I1062" s="1"/>
  <c r="F1061"/>
  <c r="E1061"/>
  <c r="F210"/>
  <c r="E210"/>
  <c r="F1060"/>
  <c r="E1060"/>
  <c r="H1060" s="1"/>
  <c r="F209"/>
  <c r="E209"/>
  <c r="F208"/>
  <c r="E208"/>
  <c r="G208" s="1"/>
  <c r="F1059"/>
  <c r="E1059"/>
  <c r="I1059" s="1"/>
  <c r="F1058"/>
  <c r="E1058"/>
  <c r="F1057"/>
  <c r="E1057"/>
  <c r="I1057" s="1"/>
  <c r="F1056"/>
  <c r="E1056"/>
  <c r="F207"/>
  <c r="E207"/>
  <c r="F1055"/>
  <c r="E1055"/>
  <c r="F1054"/>
  <c r="E1054"/>
  <c r="H1054" s="1"/>
  <c r="F206"/>
  <c r="E206"/>
  <c r="E205"/>
  <c r="G205" s="1"/>
  <c r="F1053"/>
  <c r="E1053"/>
  <c r="F204"/>
  <c r="E204"/>
  <c r="F1052"/>
  <c r="E1052"/>
  <c r="F1051"/>
  <c r="E1051"/>
  <c r="F1050"/>
  <c r="E1050"/>
  <c r="H1050" s="1"/>
  <c r="F203"/>
  <c r="E203"/>
  <c r="F202"/>
  <c r="E202"/>
  <c r="G202" s="1"/>
  <c r="F201"/>
  <c r="E201"/>
  <c r="I201" s="1"/>
  <c r="F1049"/>
  <c r="E1049"/>
  <c r="I1049" s="1"/>
  <c r="F1048"/>
  <c r="E1048"/>
  <c r="F1047"/>
  <c r="E1047"/>
  <c r="F200"/>
  <c r="E200"/>
  <c r="E1046"/>
  <c r="F199"/>
  <c r="E199"/>
  <c r="F1045"/>
  <c r="E1045"/>
  <c r="H1045" s="1"/>
  <c r="F198"/>
  <c r="E198"/>
  <c r="F1044"/>
  <c r="E1044"/>
  <c r="G1044" s="1"/>
  <c r="F1043"/>
  <c r="E1043"/>
  <c r="F1042"/>
  <c r="E1042"/>
  <c r="F197"/>
  <c r="E197"/>
  <c r="F1041"/>
  <c r="E1041"/>
  <c r="F196"/>
  <c r="E196"/>
  <c r="F1040"/>
  <c r="E1040"/>
  <c r="I1040" s="1"/>
  <c r="F195"/>
  <c r="E195"/>
  <c r="F1039"/>
  <c r="E1039"/>
  <c r="I1039" s="1"/>
  <c r="F1038"/>
  <c r="E1038"/>
  <c r="G1038" s="1"/>
  <c r="F194"/>
  <c r="E194"/>
  <c r="F193"/>
  <c r="E193"/>
  <c r="F1037"/>
  <c r="E1037"/>
  <c r="H1037" s="1"/>
  <c r="E1036"/>
  <c r="F192"/>
  <c r="E192"/>
  <c r="H192" s="1"/>
  <c r="F1035"/>
  <c r="E1035"/>
  <c r="I1035" s="1"/>
  <c r="F191"/>
  <c r="E191"/>
  <c r="G191" s="1"/>
  <c r="F190"/>
  <c r="E190"/>
  <c r="F1034"/>
  <c r="E1034"/>
  <c r="E1033"/>
  <c r="I1033" s="1"/>
  <c r="F189"/>
  <c r="E189"/>
  <c r="H189" s="1"/>
  <c r="F1032"/>
  <c r="E1032"/>
  <c r="I1032" s="1"/>
  <c r="F188"/>
  <c r="E188"/>
  <c r="F1031"/>
  <c r="E1031"/>
  <c r="F187"/>
  <c r="E187"/>
  <c r="H187" s="1"/>
  <c r="F186"/>
  <c r="E186"/>
  <c r="F185"/>
  <c r="E185"/>
  <c r="G185" s="1"/>
  <c r="E184"/>
  <c r="F183"/>
  <c r="E183"/>
  <c r="I183" s="1"/>
  <c r="F1030"/>
  <c r="E1030"/>
  <c r="G1030" s="1"/>
  <c r="F182"/>
  <c r="E182"/>
  <c r="F1029"/>
  <c r="E1029"/>
  <c r="F181"/>
  <c r="E181"/>
  <c r="G181" s="1"/>
  <c r="F1028"/>
  <c r="E1028"/>
  <c r="F1027"/>
  <c r="E1027"/>
  <c r="F180"/>
  <c r="E180"/>
  <c r="F179"/>
  <c r="E179"/>
  <c r="I179" s="1"/>
  <c r="F1026"/>
  <c r="E1026"/>
  <c r="I1026" s="1"/>
  <c r="F1025"/>
  <c r="E1025"/>
  <c r="G1025" s="1"/>
  <c r="F178"/>
  <c r="E178"/>
  <c r="F1024"/>
  <c r="E1024"/>
  <c r="H1024" s="1"/>
  <c r="F1023"/>
  <c r="E1023"/>
  <c r="I1023" s="1"/>
  <c r="F177"/>
  <c r="E177"/>
  <c r="F176"/>
  <c r="E176"/>
  <c r="H176" s="1"/>
  <c r="F1022"/>
  <c r="E1022"/>
  <c r="F1021"/>
  <c r="E1021"/>
  <c r="E175"/>
  <c r="F174"/>
  <c r="E174"/>
  <c r="F173"/>
  <c r="E173"/>
  <c r="F1020"/>
  <c r="E1020"/>
  <c r="F172"/>
  <c r="E172"/>
  <c r="F171"/>
  <c r="E171"/>
  <c r="F1019"/>
  <c r="E1019"/>
  <c r="F170"/>
  <c r="E170"/>
  <c r="F1018"/>
  <c r="E1018"/>
  <c r="H1018" s="1"/>
  <c r="F1017"/>
  <c r="E1017"/>
  <c r="F169"/>
  <c r="E169"/>
  <c r="G169" s="1"/>
  <c r="F168"/>
  <c r="E168"/>
  <c r="F1016"/>
  <c r="E1016"/>
  <c r="E167"/>
  <c r="E1015"/>
  <c r="H1015" s="1"/>
  <c r="F1014"/>
  <c r="E1014"/>
  <c r="I1014" s="1"/>
  <c r="F166"/>
  <c r="E166"/>
  <c r="G166" s="1"/>
  <c r="F1013"/>
  <c r="E1013"/>
  <c r="F1012"/>
  <c r="E1012"/>
  <c r="H1012" s="1"/>
  <c r="F165"/>
  <c r="E165"/>
  <c r="G165" s="1"/>
  <c r="F1011"/>
  <c r="E1011"/>
  <c r="G1011" s="1"/>
  <c r="F164"/>
  <c r="E164"/>
  <c r="I164" s="1"/>
  <c r="F1010"/>
  <c r="E1010"/>
  <c r="F163"/>
  <c r="E163"/>
  <c r="I163" s="1"/>
  <c r="F1009"/>
  <c r="E1009"/>
  <c r="F1008"/>
  <c r="E1008"/>
  <c r="F1007"/>
  <c r="E1007"/>
  <c r="F162"/>
  <c r="E162"/>
  <c r="F1006"/>
  <c r="E1006"/>
  <c r="I1006" s="1"/>
  <c r="F161"/>
  <c r="E161"/>
  <c r="G161" s="1"/>
  <c r="F1005"/>
  <c r="E1005"/>
  <c r="F160"/>
  <c r="E160"/>
  <c r="I160" s="1"/>
  <c r="F1004"/>
  <c r="E1004"/>
  <c r="G1004" s="1"/>
  <c r="F159"/>
  <c r="E159"/>
  <c r="F1003"/>
  <c r="E1003"/>
  <c r="F1002"/>
  <c r="E1002"/>
  <c r="G1002" s="1"/>
  <c r="F158"/>
  <c r="E158"/>
  <c r="F157"/>
  <c r="E157"/>
  <c r="F1001"/>
  <c r="E1001"/>
  <c r="F156"/>
  <c r="E156"/>
  <c r="I156" s="1"/>
  <c r="F1000"/>
  <c r="E1000"/>
  <c r="I1000" s="1"/>
  <c r="E155"/>
  <c r="F154"/>
  <c r="E154"/>
  <c r="F999"/>
  <c r="E999"/>
  <c r="G999" s="1"/>
  <c r="F998"/>
  <c r="E998"/>
  <c r="I998" s="1"/>
  <c r="F997"/>
  <c r="E997"/>
  <c r="F153"/>
  <c r="E153"/>
  <c r="F996"/>
  <c r="E996"/>
  <c r="F152"/>
  <c r="E152"/>
  <c r="I152" s="1"/>
  <c r="F995"/>
  <c r="E995"/>
  <c r="I995" s="1"/>
  <c r="F994"/>
  <c r="E994"/>
  <c r="F151"/>
  <c r="E151"/>
  <c r="F993"/>
  <c r="E993"/>
  <c r="G993" s="1"/>
  <c r="F150"/>
  <c r="E150"/>
  <c r="H150" s="1"/>
  <c r="F992"/>
  <c r="E992"/>
  <c r="I992" s="1"/>
  <c r="F149"/>
  <c r="E149"/>
  <c r="F991"/>
  <c r="E991"/>
  <c r="F148"/>
  <c r="E148"/>
  <c r="H148" s="1"/>
  <c r="F990"/>
  <c r="E990"/>
  <c r="F989"/>
  <c r="E989"/>
  <c r="G989" s="1"/>
  <c r="F147"/>
  <c r="E147"/>
  <c r="I147" s="1"/>
  <c r="F988"/>
  <c r="E988"/>
  <c r="F146"/>
  <c r="E146"/>
  <c r="I146" s="1"/>
  <c r="F987"/>
  <c r="E987"/>
  <c r="F145"/>
  <c r="E145"/>
  <c r="F986"/>
  <c r="E986"/>
  <c r="E144"/>
  <c r="I144" s="1"/>
  <c r="F143"/>
  <c r="E143"/>
  <c r="I143" s="1"/>
  <c r="F985"/>
  <c r="E985"/>
  <c r="I985" s="1"/>
  <c r="F142"/>
  <c r="E142"/>
  <c r="F984"/>
  <c r="E984"/>
  <c r="F983"/>
  <c r="E983"/>
  <c r="G983" s="1"/>
  <c r="F982"/>
  <c r="E982"/>
  <c r="H982" s="1"/>
  <c r="F141"/>
  <c r="E141"/>
  <c r="I141" s="1"/>
  <c r="F981"/>
  <c r="E981"/>
  <c r="F140"/>
  <c r="E140"/>
  <c r="F980"/>
  <c r="E980"/>
  <c r="H980" s="1"/>
  <c r="F979"/>
  <c r="E979"/>
  <c r="F139"/>
  <c r="E139"/>
  <c r="G139" s="1"/>
  <c r="F138"/>
  <c r="E138"/>
  <c r="I138" s="1"/>
  <c r="F137"/>
  <c r="E137"/>
  <c r="F978"/>
  <c r="E978"/>
  <c r="I978" s="1"/>
  <c r="F136"/>
  <c r="E136"/>
  <c r="F135"/>
  <c r="E135"/>
  <c r="F977"/>
  <c r="E977"/>
  <c r="F134"/>
  <c r="E134"/>
  <c r="H134" s="1"/>
  <c r="F976"/>
  <c r="E976"/>
  <c r="F133"/>
  <c r="E133"/>
  <c r="G133" s="1"/>
  <c r="F975"/>
  <c r="E975"/>
  <c r="H975" s="1"/>
  <c r="F974"/>
  <c r="E974"/>
  <c r="I974" s="1"/>
  <c r="F132"/>
  <c r="E132"/>
  <c r="F973"/>
  <c r="E973"/>
  <c r="F131"/>
  <c r="E131"/>
  <c r="F972"/>
  <c r="E972"/>
  <c r="G972" s="1"/>
  <c r="F971"/>
  <c r="E971"/>
  <c r="F130"/>
  <c r="E130"/>
  <c r="F129"/>
  <c r="E129"/>
  <c r="F970"/>
  <c r="E970"/>
  <c r="F969"/>
  <c r="E969"/>
  <c r="I969" s="1"/>
  <c r="E128"/>
  <c r="H128" s="1"/>
  <c r="E127"/>
  <c r="H127" s="1"/>
  <c r="F968"/>
  <c r="E968"/>
  <c r="E126"/>
  <c r="H126" s="1"/>
  <c r="E967"/>
  <c r="E125"/>
  <c r="H125" s="1"/>
  <c r="F124"/>
  <c r="E124"/>
  <c r="F966"/>
  <c r="E966"/>
  <c r="G966" s="1"/>
  <c r="F123"/>
  <c r="E123"/>
  <c r="H123" s="1"/>
  <c r="F965"/>
  <c r="E965"/>
  <c r="F122"/>
  <c r="E122"/>
  <c r="G122" s="1"/>
  <c r="F964"/>
  <c r="E964"/>
  <c r="F121"/>
  <c r="E121"/>
  <c r="H121" s="1"/>
  <c r="F120"/>
  <c r="E120"/>
  <c r="G120" s="1"/>
  <c r="F119"/>
  <c r="E119"/>
  <c r="G119" s="1"/>
  <c r="F118"/>
  <c r="E118"/>
  <c r="I118" s="1"/>
  <c r="F117"/>
  <c r="E117"/>
  <c r="F963"/>
  <c r="E963"/>
  <c r="I963" s="1"/>
  <c r="F962"/>
  <c r="E962"/>
  <c r="F961"/>
  <c r="E961"/>
  <c r="F116"/>
  <c r="E116"/>
  <c r="I116" s="1"/>
  <c r="F960"/>
  <c r="E960"/>
  <c r="F115"/>
  <c r="E115"/>
  <c r="F959"/>
  <c r="E959"/>
  <c r="G959" s="1"/>
  <c r="F114"/>
  <c r="E114"/>
  <c r="H114" s="1"/>
  <c r="F958"/>
  <c r="E958"/>
  <c r="I958" s="1"/>
  <c r="F957"/>
  <c r="E957"/>
  <c r="F113"/>
  <c r="E113"/>
  <c r="F112"/>
  <c r="E112"/>
  <c r="H112" s="1"/>
  <c r="F956"/>
  <c r="E956"/>
  <c r="F111"/>
  <c r="E111"/>
  <c r="G111" s="1"/>
  <c r="F955"/>
  <c r="E955"/>
  <c r="I955" s="1"/>
  <c r="F110"/>
  <c r="E110"/>
  <c r="F954"/>
  <c r="E954"/>
  <c r="F953"/>
  <c r="E953"/>
  <c r="F109"/>
  <c r="E109"/>
  <c r="F952"/>
  <c r="E952"/>
  <c r="F951"/>
  <c r="E951"/>
  <c r="H951" s="1"/>
  <c r="F108"/>
  <c r="E108"/>
  <c r="F950"/>
  <c r="E950"/>
  <c r="G950" s="1"/>
  <c r="F107"/>
  <c r="E107"/>
  <c r="H107" s="1"/>
  <c r="F949"/>
  <c r="E949"/>
  <c r="I949" s="1"/>
  <c r="F948"/>
  <c r="E948"/>
  <c r="F106"/>
  <c r="E106"/>
  <c r="F105"/>
  <c r="E105"/>
  <c r="F947"/>
  <c r="E947"/>
  <c r="G947" s="1"/>
  <c r="E104"/>
  <c r="E103"/>
  <c r="H103" s="1"/>
  <c r="E102"/>
  <c r="E101"/>
  <c r="G101" s="1"/>
  <c r="E946"/>
  <c r="I946" s="1"/>
  <c r="F945"/>
  <c r="E945"/>
  <c r="F100"/>
  <c r="E100"/>
  <c r="H100" s="1"/>
  <c r="F944"/>
  <c r="E944"/>
  <c r="I944" s="1"/>
  <c r="E943"/>
  <c r="F942"/>
  <c r="E942"/>
  <c r="F99"/>
  <c r="E99"/>
  <c r="I99" s="1"/>
  <c r="F941"/>
  <c r="E941"/>
  <c r="I941" s="1"/>
  <c r="F940"/>
  <c r="E940"/>
  <c r="F98"/>
  <c r="E98"/>
  <c r="H98" s="1"/>
  <c r="F97"/>
  <c r="E97"/>
  <c r="F939"/>
  <c r="E939"/>
  <c r="F938"/>
  <c r="E938"/>
  <c r="I938" s="1"/>
  <c r="F937"/>
  <c r="E937"/>
  <c r="F96"/>
  <c r="E96"/>
  <c r="F936"/>
  <c r="E936"/>
  <c r="F95"/>
  <c r="E95"/>
  <c r="H95" s="1"/>
  <c r="F935"/>
  <c r="E935"/>
  <c r="E94"/>
  <c r="G94" s="1"/>
  <c r="E93"/>
  <c r="H93" s="1"/>
  <c r="F934"/>
  <c r="E934"/>
  <c r="G934" s="1"/>
  <c r="F92"/>
  <c r="E92"/>
  <c r="F933"/>
  <c r="E933"/>
  <c r="H933" s="1"/>
  <c r="F91"/>
  <c r="E91"/>
  <c r="F932"/>
  <c r="E932"/>
  <c r="G932" s="1"/>
  <c r="F931"/>
  <c r="E931"/>
  <c r="F90"/>
  <c r="E90"/>
  <c r="F89"/>
  <c r="E89"/>
  <c r="I89" s="1"/>
  <c r="F930"/>
  <c r="E930"/>
  <c r="F88"/>
  <c r="E88"/>
  <c r="G88" s="1"/>
  <c r="F929"/>
  <c r="E929"/>
  <c r="I929" s="1"/>
  <c r="F928"/>
  <c r="E928"/>
  <c r="H928" s="1"/>
  <c r="F87"/>
  <c r="E87"/>
  <c r="F927"/>
  <c r="E927"/>
  <c r="G927" s="1"/>
  <c r="F926"/>
  <c r="E926"/>
  <c r="H926" s="1"/>
  <c r="F925"/>
  <c r="E925"/>
  <c r="F86"/>
  <c r="E86"/>
  <c r="G86" s="1"/>
  <c r="F924"/>
  <c r="E924"/>
  <c r="F923"/>
  <c r="E923"/>
  <c r="H923" s="1"/>
  <c r="F85"/>
  <c r="E85"/>
  <c r="F922"/>
  <c r="E922"/>
  <c r="G922" s="1"/>
  <c r="F84"/>
  <c r="E84"/>
  <c r="I84" s="1"/>
  <c r="F921"/>
  <c r="E921"/>
  <c r="F920"/>
  <c r="E920"/>
  <c r="F83"/>
  <c r="E83"/>
  <c r="F919"/>
  <c r="E919"/>
  <c r="I919" s="1"/>
  <c r="F82"/>
  <c r="E82"/>
  <c r="I82" s="1"/>
  <c r="F918"/>
  <c r="E918"/>
  <c r="E81"/>
  <c r="I81" s="1"/>
  <c r="F917"/>
  <c r="E917"/>
  <c r="I917" s="1"/>
  <c r="F80"/>
  <c r="E80"/>
  <c r="H80" s="1"/>
  <c r="F916"/>
  <c r="E916"/>
  <c r="I916" s="1"/>
  <c r="F79"/>
  <c r="E79"/>
  <c r="G79" s="1"/>
  <c r="F78"/>
  <c r="E78"/>
  <c r="F915"/>
  <c r="E915"/>
  <c r="I915" s="1"/>
  <c r="F914"/>
  <c r="E914"/>
  <c r="G914" s="1"/>
  <c r="F77"/>
  <c r="E77"/>
  <c r="F913"/>
  <c r="E913"/>
  <c r="H913" s="1"/>
  <c r="F76"/>
  <c r="E76"/>
  <c r="G76" s="1"/>
  <c r="F912"/>
  <c r="E912"/>
  <c r="G912" s="1"/>
  <c r="F75"/>
  <c r="E75"/>
  <c r="I75" s="1"/>
  <c r="F911"/>
  <c r="E911"/>
  <c r="F910"/>
  <c r="E910"/>
  <c r="I910" s="1"/>
  <c r="F74"/>
  <c r="E74"/>
  <c r="F73"/>
  <c r="E73"/>
  <c r="G73" s="1"/>
  <c r="F72"/>
  <c r="E72"/>
  <c r="F909"/>
  <c r="E909"/>
  <c r="H909" s="1"/>
  <c r="F71"/>
  <c r="E71"/>
  <c r="I71" s="1"/>
  <c r="F908"/>
  <c r="E908"/>
  <c r="G908" s="1"/>
  <c r="F70"/>
  <c r="E70"/>
  <c r="F907"/>
  <c r="E907"/>
  <c r="I907" s="1"/>
  <c r="F69"/>
  <c r="E69"/>
  <c r="G69" s="1"/>
  <c r="F68"/>
  <c r="E68"/>
  <c r="F67"/>
  <c r="E67"/>
  <c r="F906"/>
  <c r="E906"/>
  <c r="G906" s="1"/>
  <c r="F66"/>
  <c r="E66"/>
  <c r="F65"/>
  <c r="E65"/>
  <c r="F905"/>
  <c r="E905"/>
  <c r="F64"/>
  <c r="E64"/>
  <c r="I64" s="1"/>
  <c r="F904"/>
  <c r="E904"/>
  <c r="I904" s="1"/>
  <c r="F903"/>
  <c r="E903"/>
  <c r="F63"/>
  <c r="E63"/>
  <c r="F902"/>
  <c r="E902"/>
  <c r="E62"/>
  <c r="F901"/>
  <c r="E901"/>
  <c r="E61"/>
  <c r="I61" s="1"/>
  <c r="F900"/>
  <c r="E900"/>
  <c r="I900" s="1"/>
  <c r="F899"/>
  <c r="E899"/>
  <c r="F60"/>
  <c r="E60"/>
  <c r="H60" s="1"/>
  <c r="F898"/>
  <c r="E898"/>
  <c r="F59"/>
  <c r="E59"/>
  <c r="G59" s="1"/>
  <c r="F897"/>
  <c r="E897"/>
  <c r="H897" s="1"/>
  <c r="F58"/>
  <c r="E58"/>
  <c r="I58" s="1"/>
  <c r="F57"/>
  <c r="E57"/>
  <c r="H57" s="1"/>
  <c r="F56"/>
  <c r="E56"/>
  <c r="F55"/>
  <c r="E55"/>
  <c r="F896"/>
  <c r="E896"/>
  <c r="G896" s="1"/>
  <c r="F54"/>
  <c r="E54"/>
  <c r="F895"/>
  <c r="E895"/>
  <c r="F53"/>
  <c r="E53"/>
  <c r="F52"/>
  <c r="E52"/>
  <c r="F894"/>
  <c r="E894"/>
  <c r="I894" s="1"/>
  <c r="E51"/>
  <c r="H51" s="1"/>
  <c r="F50"/>
  <c r="E50"/>
  <c r="G50" s="1"/>
  <c r="F49"/>
  <c r="E49"/>
  <c r="G49" s="1"/>
  <c r="F893"/>
  <c r="E893"/>
  <c r="I893" s="1"/>
  <c r="F892"/>
  <c r="E892"/>
  <c r="F891"/>
  <c r="E891"/>
  <c r="F48"/>
  <c r="E48"/>
  <c r="F890"/>
  <c r="E890"/>
  <c r="G890" s="1"/>
  <c r="F889"/>
  <c r="E889"/>
  <c r="I889" s="1"/>
  <c r="E47"/>
  <c r="F888"/>
  <c r="E888"/>
  <c r="F46"/>
  <c r="E46"/>
  <c r="I46" s="1"/>
  <c r="F887"/>
  <c r="E887"/>
  <c r="F45"/>
  <c r="E45"/>
  <c r="H45" s="1"/>
  <c r="F886"/>
  <c r="E886"/>
  <c r="G886" s="1"/>
  <c r="F44"/>
  <c r="E44"/>
  <c r="I44" s="1"/>
  <c r="F885"/>
  <c r="E885"/>
  <c r="F43"/>
  <c r="E43"/>
  <c r="F884"/>
  <c r="E884"/>
  <c r="F883"/>
  <c r="E883"/>
  <c r="H883" s="1"/>
  <c r="F882"/>
  <c r="E882"/>
  <c r="G882" s="1"/>
  <c r="F42"/>
  <c r="E42"/>
  <c r="G42" s="1"/>
  <c r="F881"/>
  <c r="E881"/>
  <c r="I881" s="1"/>
  <c r="F880"/>
  <c r="E880"/>
  <c r="F41"/>
  <c r="E41"/>
  <c r="I41" s="1"/>
  <c r="F40"/>
  <c r="E40"/>
  <c r="F879"/>
  <c r="E879"/>
  <c r="I879" s="1"/>
  <c r="F39"/>
  <c r="E39"/>
  <c r="I39" s="1"/>
  <c r="F878"/>
  <c r="E878"/>
  <c r="H878" s="1"/>
  <c r="F38"/>
  <c r="E38"/>
  <c r="I38" s="1"/>
  <c r="E877"/>
  <c r="G877" s="1"/>
  <c r="F876"/>
  <c r="E876"/>
  <c r="H876" s="1"/>
  <c r="F37"/>
  <c r="E37"/>
  <c r="F875"/>
  <c r="E875"/>
  <c r="G875" s="1"/>
  <c r="F874"/>
  <c r="E874"/>
  <c r="I874" s="1"/>
  <c r="F36"/>
  <c r="E36"/>
  <c r="F35"/>
  <c r="E35"/>
  <c r="F873"/>
  <c r="E873"/>
  <c r="G873" s="1"/>
  <c r="F34"/>
  <c r="E34"/>
  <c r="I34" s="1"/>
  <c r="F872"/>
  <c r="E872"/>
  <c r="I872" s="1"/>
  <c r="F33"/>
  <c r="E33"/>
  <c r="G33" s="1"/>
  <c r="F871"/>
  <c r="E871"/>
  <c r="F32"/>
  <c r="E32"/>
  <c r="H32" s="1"/>
  <c r="E31"/>
  <c r="I31" s="1"/>
  <c r="F870"/>
  <c r="E870"/>
  <c r="F30"/>
  <c r="E30"/>
  <c r="F869"/>
  <c r="E869"/>
  <c r="G869" s="1"/>
  <c r="F868"/>
  <c r="E868"/>
  <c r="F867"/>
  <c r="E867"/>
  <c r="F29"/>
  <c r="E29"/>
  <c r="F866"/>
  <c r="E866"/>
  <c r="I866" s="1"/>
  <c r="F865"/>
  <c r="E865"/>
  <c r="I865" s="1"/>
  <c r="F864"/>
  <c r="E864"/>
  <c r="F863"/>
  <c r="E863"/>
  <c r="E28"/>
  <c r="I28" s="1"/>
  <c r="F862"/>
  <c r="E862"/>
  <c r="I862" s="1"/>
  <c r="E27"/>
  <c r="E861"/>
  <c r="F26"/>
  <c r="E26"/>
  <c r="F860"/>
  <c r="E860"/>
  <c r="I860" s="1"/>
  <c r="F25"/>
  <c r="E25"/>
  <c r="F24"/>
  <c r="E24"/>
  <c r="G24" s="1"/>
  <c r="F859"/>
  <c r="E859"/>
  <c r="I859" s="1"/>
  <c r="F23"/>
  <c r="E23"/>
  <c r="H23" s="1"/>
  <c r="F858"/>
  <c r="E858"/>
  <c r="F857"/>
  <c r="E857"/>
  <c r="G857" s="1"/>
  <c r="F22"/>
  <c r="E22"/>
  <c r="H22" s="1"/>
  <c r="F856"/>
  <c r="E856"/>
  <c r="F21"/>
  <c r="E21"/>
  <c r="G21" s="1"/>
  <c r="F855"/>
  <c r="E855"/>
  <c r="F20"/>
  <c r="E20"/>
  <c r="H20" s="1"/>
  <c r="F854"/>
  <c r="E854"/>
  <c r="F19"/>
  <c r="E19"/>
  <c r="G19" s="1"/>
  <c r="F18"/>
  <c r="E18"/>
  <c r="I18" s="1"/>
  <c r="F17"/>
  <c r="E17"/>
  <c r="F853"/>
  <c r="E853"/>
  <c r="F852"/>
  <c r="E852"/>
  <c r="F16"/>
  <c r="E16"/>
  <c r="I16" s="1"/>
  <c r="F15"/>
  <c r="E15"/>
  <c r="I15" s="1"/>
  <c r="F851"/>
  <c r="E851"/>
  <c r="F850"/>
  <c r="E850"/>
  <c r="F14"/>
  <c r="E14"/>
  <c r="G14" s="1"/>
  <c r="F849"/>
  <c r="E849"/>
  <c r="H849" s="1"/>
  <c r="E13"/>
  <c r="I13" s="1"/>
  <c r="F12"/>
  <c r="E12"/>
  <c r="G12" s="1"/>
  <c r="F848"/>
  <c r="E848"/>
  <c r="I848" s="1"/>
  <c r="F11"/>
  <c r="E11"/>
  <c r="F847"/>
  <c r="E847"/>
  <c r="F10"/>
  <c r="E10"/>
  <c r="F846"/>
  <c r="E846"/>
  <c r="H846" s="1"/>
  <c r="F9"/>
  <c r="E9"/>
  <c r="G9" s="1"/>
  <c r="F845"/>
  <c r="E845"/>
  <c r="G845" s="1"/>
  <c r="F844"/>
  <c r="E844"/>
  <c r="I844" s="1"/>
  <c r="F8"/>
  <c r="E8"/>
  <c r="F843"/>
  <c r="E843"/>
  <c r="I843" s="1"/>
  <c r="F7"/>
  <c r="E7"/>
  <c r="F842"/>
  <c r="E842"/>
  <c r="G842" s="1"/>
  <c r="F6"/>
  <c r="E6"/>
  <c r="I6" s="1"/>
  <c r="F841"/>
  <c r="E841"/>
  <c r="H841" s="1"/>
  <c r="F840"/>
  <c r="E840"/>
  <c r="I840" s="1"/>
  <c r="F839"/>
  <c r="E839"/>
  <c r="G839" s="1"/>
  <c r="F5"/>
  <c r="E5"/>
  <c r="F838"/>
  <c r="E838"/>
  <c r="I838" s="1"/>
  <c r="F837"/>
  <c r="E837"/>
  <c r="F4"/>
  <c r="E4"/>
  <c r="E836"/>
  <c r="H836" s="1"/>
  <c r="E835"/>
  <c r="F834"/>
  <c r="E834"/>
  <c r="H834" s="1"/>
  <c r="F833"/>
  <c r="E833"/>
  <c r="F3"/>
  <c r="E3"/>
  <c r="G3" s="1"/>
  <c r="F832"/>
  <c r="E832"/>
  <c r="F2"/>
  <c r="E2"/>
  <c r="H2" s="1"/>
  <c r="F831"/>
  <c r="E831"/>
  <c r="A831"/>
  <c r="A2" s="1"/>
  <c r="A832" s="1"/>
  <c r="A3" s="1"/>
  <c r="A833" s="1"/>
  <c r="A834" s="1"/>
  <c r="A835" s="1"/>
  <c r="A836" s="1"/>
  <c r="F1"/>
  <c r="E1"/>
  <c r="G1" s="1"/>
  <c r="A1"/>
  <c r="F830"/>
  <c r="E830"/>
  <c r="F1657" i="18"/>
  <c r="E1657"/>
  <c r="F1656"/>
  <c r="E1656"/>
  <c r="I1656" s="1"/>
  <c r="E1655"/>
  <c r="H1655" s="1"/>
  <c r="E1654"/>
  <c r="H1654" s="1"/>
  <c r="F1653"/>
  <c r="E1653"/>
  <c r="H1653" s="1"/>
  <c r="F1652"/>
  <c r="E1652"/>
  <c r="F1651"/>
  <c r="E1651"/>
  <c r="F1650"/>
  <c r="E1650"/>
  <c r="I1650" s="1"/>
  <c r="F1649"/>
  <c r="E1649"/>
  <c r="I1649" s="1"/>
  <c r="F1648"/>
  <c r="E1648"/>
  <c r="F1647"/>
  <c r="E1647"/>
  <c r="I1647" s="1"/>
  <c r="F1646"/>
  <c r="E1646"/>
  <c r="H1646" s="1"/>
  <c r="F1645"/>
  <c r="E1645"/>
  <c r="F1644"/>
  <c r="E1644"/>
  <c r="F1643"/>
  <c r="E1643"/>
  <c r="F1642"/>
  <c r="E1642"/>
  <c r="I1642" s="1"/>
  <c r="F1641"/>
  <c r="E1641"/>
  <c r="I1641" s="1"/>
  <c r="F1640"/>
  <c r="E1640"/>
  <c r="F1639"/>
  <c r="E1639"/>
  <c r="F1638"/>
  <c r="E1638"/>
  <c r="F1637"/>
  <c r="E1637"/>
  <c r="F1636"/>
  <c r="E1636"/>
  <c r="G1636" s="1"/>
  <c r="F1635"/>
  <c r="E1635"/>
  <c r="F1634"/>
  <c r="E1634"/>
  <c r="F1633"/>
  <c r="E1633"/>
  <c r="I1633" s="1"/>
  <c r="F1632"/>
  <c r="E1632"/>
  <c r="F1631"/>
  <c r="E1631"/>
  <c r="F1630"/>
  <c r="E1630"/>
  <c r="I1630" s="1"/>
  <c r="F1629"/>
  <c r="E1629"/>
  <c r="F1628"/>
  <c r="E1628"/>
  <c r="I1628" s="1"/>
  <c r="F1627"/>
  <c r="E1627"/>
  <c r="F1626"/>
  <c r="E1626"/>
  <c r="F1625"/>
  <c r="E1625"/>
  <c r="I1625" s="1"/>
  <c r="F1624"/>
  <c r="E1624"/>
  <c r="F1623"/>
  <c r="E1623"/>
  <c r="I1623" s="1"/>
  <c r="F1622"/>
  <c r="E1622"/>
  <c r="F1621"/>
  <c r="E1621"/>
  <c r="H1621" s="1"/>
  <c r="E1620"/>
  <c r="E1619"/>
  <c r="H1619" s="1"/>
  <c r="E1618"/>
  <c r="E1617"/>
  <c r="F1616"/>
  <c r="E1616"/>
  <c r="F1615"/>
  <c r="E1615"/>
  <c r="I1615" s="1"/>
  <c r="F1614"/>
  <c r="E1614"/>
  <c r="E1613"/>
  <c r="H1613" s="1"/>
  <c r="F1612"/>
  <c r="E1612"/>
  <c r="I1612" s="1"/>
  <c r="F1611"/>
  <c r="E1611"/>
  <c r="F1610"/>
  <c r="E1610"/>
  <c r="H1610" s="1"/>
  <c r="F1609"/>
  <c r="E1609"/>
  <c r="H1609" s="1"/>
  <c r="F1608"/>
  <c r="E1608"/>
  <c r="F1607"/>
  <c r="E1607"/>
  <c r="I1607" s="1"/>
  <c r="F1606"/>
  <c r="E1606"/>
  <c r="F1605"/>
  <c r="E1605"/>
  <c r="F1604"/>
  <c r="E1604"/>
  <c r="I1604" s="1"/>
  <c r="F1603"/>
  <c r="E1603"/>
  <c r="F1602"/>
  <c r="E1602"/>
  <c r="F1601"/>
  <c r="E1601"/>
  <c r="I1601" s="1"/>
  <c r="F1600"/>
  <c r="E1600"/>
  <c r="H1600" s="1"/>
  <c r="F1599"/>
  <c r="E1599"/>
  <c r="I1599" s="1"/>
  <c r="F1598"/>
  <c r="E1598"/>
  <c r="F1597"/>
  <c r="E1597"/>
  <c r="F1596"/>
  <c r="E1596"/>
  <c r="I1596" s="1"/>
  <c r="F1595"/>
  <c r="E1595"/>
  <c r="F1594"/>
  <c r="E1594"/>
  <c r="F1593"/>
  <c r="E1593"/>
  <c r="G1593" s="1"/>
  <c r="F1592"/>
  <c r="E1592"/>
  <c r="H1592" s="1"/>
  <c r="F1591"/>
  <c r="E1591"/>
  <c r="F1590"/>
  <c r="E1590"/>
  <c r="F1589"/>
  <c r="E1589"/>
  <c r="F1588"/>
  <c r="E1588"/>
  <c r="F1587"/>
  <c r="E1587"/>
  <c r="F1586"/>
  <c r="E1586"/>
  <c r="F1585"/>
  <c r="E1585"/>
  <c r="F1584"/>
  <c r="E1584"/>
  <c r="H1584" s="1"/>
  <c r="F1583"/>
  <c r="E1583"/>
  <c r="F1582"/>
  <c r="E1582"/>
  <c r="F1581"/>
  <c r="E1581"/>
  <c r="F1580"/>
  <c r="E1580"/>
  <c r="F1579"/>
  <c r="E1579"/>
  <c r="I1579" s="1"/>
  <c r="F1578"/>
  <c r="E1578"/>
  <c r="F1577"/>
  <c r="E1577"/>
  <c r="H1577" s="1"/>
  <c r="F1576"/>
  <c r="E1576"/>
  <c r="H1576" s="1"/>
  <c r="F1575"/>
  <c r="E1575"/>
  <c r="H1575" s="1"/>
  <c r="E1574"/>
  <c r="G1574" s="1"/>
  <c r="F1573"/>
  <c r="E1573"/>
  <c r="F1572"/>
  <c r="E1572"/>
  <c r="I1572" s="1"/>
  <c r="F1571"/>
  <c r="E1571"/>
  <c r="F1570"/>
  <c r="E1570"/>
  <c r="H1570" s="1"/>
  <c r="F1569"/>
  <c r="E1569"/>
  <c r="F1568"/>
  <c r="E1568"/>
  <c r="H1568" s="1"/>
  <c r="F1567"/>
  <c r="E1567"/>
  <c r="I1567" s="1"/>
  <c r="F1566"/>
  <c r="E1566"/>
  <c r="F1565"/>
  <c r="E1565"/>
  <c r="F1564"/>
  <c r="E1564"/>
  <c r="I1564" s="1"/>
  <c r="F1563"/>
  <c r="E1563"/>
  <c r="E1562"/>
  <c r="H1562" s="1"/>
  <c r="F1561"/>
  <c r="E1561"/>
  <c r="I1561" s="1"/>
  <c r="F1560"/>
  <c r="E1560"/>
  <c r="H1560" s="1"/>
  <c r="F1559"/>
  <c r="E1559"/>
  <c r="F1558"/>
  <c r="E1558"/>
  <c r="I1558" s="1"/>
  <c r="F1557"/>
  <c r="E1557"/>
  <c r="H1557" s="1"/>
  <c r="F1556"/>
  <c r="E1556"/>
  <c r="F1555"/>
  <c r="E1555"/>
  <c r="F1554"/>
  <c r="E1554"/>
  <c r="F1553"/>
  <c r="E1553"/>
  <c r="F1552"/>
  <c r="E1552"/>
  <c r="F1551"/>
  <c r="E1551"/>
  <c r="F1550"/>
  <c r="E1550"/>
  <c r="H1550" s="1"/>
  <c r="F1549"/>
  <c r="E1549"/>
  <c r="H1549" s="1"/>
  <c r="F1548"/>
  <c r="E1548"/>
  <c r="F1547"/>
  <c r="E1547"/>
  <c r="F1546"/>
  <c r="E1546"/>
  <c r="F1545"/>
  <c r="E1545"/>
  <c r="I1545" s="1"/>
  <c r="F1544"/>
  <c r="E1544"/>
  <c r="F1543"/>
  <c r="E1543"/>
  <c r="H1543" s="1"/>
  <c r="F1542"/>
  <c r="E1542"/>
  <c r="F1541"/>
  <c r="E1541"/>
  <c r="H1541" s="1"/>
  <c r="F1540"/>
  <c r="E1540"/>
  <c r="I1540" s="1"/>
  <c r="F1539"/>
  <c r="E1539"/>
  <c r="F1538"/>
  <c r="E1538"/>
  <c r="F1537"/>
  <c r="E1537"/>
  <c r="I1537" s="1"/>
  <c r="F1536"/>
  <c r="E1536"/>
  <c r="F1535"/>
  <c r="E1535"/>
  <c r="F1534"/>
  <c r="E1534"/>
  <c r="I1534" s="1"/>
  <c r="F1533"/>
  <c r="E1533"/>
  <c r="H1533" s="1"/>
  <c r="F1532"/>
  <c r="E1532"/>
  <c r="I1532" s="1"/>
  <c r="F1531"/>
  <c r="E1531"/>
  <c r="I1531" s="1"/>
  <c r="F1530"/>
  <c r="E1530"/>
  <c r="F1529"/>
  <c r="E1529"/>
  <c r="I1529" s="1"/>
  <c r="F1528"/>
  <c r="E1528"/>
  <c r="F1527"/>
  <c r="E1527"/>
  <c r="F1526"/>
  <c r="E1526"/>
  <c r="H1526" s="1"/>
  <c r="F1525"/>
  <c r="E1525"/>
  <c r="H1525" s="1"/>
  <c r="F1524"/>
  <c r="E1524"/>
  <c r="E1523"/>
  <c r="H1523" s="1"/>
  <c r="F1522"/>
  <c r="E1522"/>
  <c r="H1522" s="1"/>
  <c r="F1521"/>
  <c r="E1521"/>
  <c r="F1520"/>
  <c r="E1520"/>
  <c r="F1519"/>
  <c r="E1519"/>
  <c r="F1518"/>
  <c r="E1518"/>
  <c r="I1518" s="1"/>
  <c r="F1517"/>
  <c r="E1517"/>
  <c r="H1517" s="1"/>
  <c r="F1516"/>
  <c r="E1516"/>
  <c r="H1516" s="1"/>
  <c r="F1515"/>
  <c r="E1515"/>
  <c r="E1514"/>
  <c r="H1514" s="1"/>
  <c r="F1513"/>
  <c r="E1513"/>
  <c r="F1512"/>
  <c r="E1512"/>
  <c r="F1511"/>
  <c r="E1511"/>
  <c r="H1511" s="1"/>
  <c r="F1510"/>
  <c r="E1510"/>
  <c r="F1509"/>
  <c r="E1509"/>
  <c r="I1509" s="1"/>
  <c r="F1508"/>
  <c r="E1508"/>
  <c r="F1507"/>
  <c r="E1507"/>
  <c r="F1506"/>
  <c r="E1506"/>
  <c r="F1505"/>
  <c r="E1505"/>
  <c r="H1505" s="1"/>
  <c r="F1504"/>
  <c r="E1504"/>
  <c r="F1503"/>
  <c r="E1503"/>
  <c r="H1503" s="1"/>
  <c r="F1502"/>
  <c r="E1502"/>
  <c r="F1501"/>
  <c r="E1501"/>
  <c r="E1500"/>
  <c r="E1499"/>
  <c r="I1499" s="1"/>
  <c r="F1498"/>
  <c r="E1498"/>
  <c r="F1497"/>
  <c r="E1497"/>
  <c r="H1497" s="1"/>
  <c r="F1496"/>
  <c r="E1496"/>
  <c r="G1496" s="1"/>
  <c r="F1495"/>
  <c r="E1495"/>
  <c r="H1495" s="1"/>
  <c r="F1494"/>
  <c r="E1494"/>
  <c r="I1494" s="1"/>
  <c r="F1493"/>
  <c r="E1493"/>
  <c r="F1492"/>
  <c r="E1492"/>
  <c r="F1491"/>
  <c r="E1491"/>
  <c r="I1491" s="1"/>
  <c r="F1490"/>
  <c r="E1490"/>
  <c r="H1490" s="1"/>
  <c r="F1489"/>
  <c r="E1489"/>
  <c r="F1488"/>
  <c r="E1488"/>
  <c r="I1488" s="1"/>
  <c r="F1487"/>
  <c r="E1487"/>
  <c r="H1487" s="1"/>
  <c r="F1486"/>
  <c r="E1486"/>
  <c r="I1486" s="1"/>
  <c r="F1485"/>
  <c r="E1485"/>
  <c r="F1484"/>
  <c r="E1484"/>
  <c r="F1483"/>
  <c r="E1483"/>
  <c r="F1482"/>
  <c r="E1482"/>
  <c r="F1481"/>
  <c r="E1481"/>
  <c r="I1481" s="1"/>
  <c r="F1480"/>
  <c r="E1480"/>
  <c r="F1479"/>
  <c r="E1479"/>
  <c r="F1478"/>
  <c r="E1478"/>
  <c r="G1478" s="1"/>
  <c r="F1477"/>
  <c r="E1477"/>
  <c r="I1477" s="1"/>
  <c r="E1476"/>
  <c r="I1476" s="1"/>
  <c r="F1475"/>
  <c r="E1475"/>
  <c r="F1474"/>
  <c r="E1474"/>
  <c r="H1474" s="1"/>
  <c r="F1473"/>
  <c r="E1473"/>
  <c r="F1472"/>
  <c r="E1472"/>
  <c r="F1471"/>
  <c r="E1471"/>
  <c r="F1470"/>
  <c r="E1470"/>
  <c r="H1470" s="1"/>
  <c r="F1469"/>
  <c r="E1469"/>
  <c r="F1468"/>
  <c r="E1468"/>
  <c r="G1468" s="1"/>
  <c r="F1467"/>
  <c r="E1467"/>
  <c r="F1466"/>
  <c r="E1466"/>
  <c r="F1465"/>
  <c r="E1465"/>
  <c r="E1464"/>
  <c r="F1463"/>
  <c r="E1463"/>
  <c r="F1462"/>
  <c r="E1462"/>
  <c r="F1461"/>
  <c r="E1461"/>
  <c r="F1460"/>
  <c r="E1460"/>
  <c r="F1459"/>
  <c r="E1459"/>
  <c r="F1458"/>
  <c r="E1458"/>
  <c r="F1457"/>
  <c r="E1457"/>
  <c r="F1456"/>
  <c r="E1456"/>
  <c r="G1456" s="1"/>
  <c r="F1455"/>
  <c r="E1455"/>
  <c r="H1455" s="1"/>
  <c r="F1454"/>
  <c r="E1454"/>
  <c r="E1453"/>
  <c r="I1453" s="1"/>
  <c r="F1452"/>
  <c r="E1452"/>
  <c r="H1452" s="1"/>
  <c r="F1451"/>
  <c r="E1451"/>
  <c r="I1451" s="1"/>
  <c r="F1450"/>
  <c r="E1450"/>
  <c r="H1450" s="1"/>
  <c r="F1449"/>
  <c r="E1449"/>
  <c r="G1449" s="1"/>
  <c r="F1448"/>
  <c r="E1448"/>
  <c r="F1446"/>
  <c r="E1446"/>
  <c r="F1445"/>
  <c r="E1445"/>
  <c r="F1444"/>
  <c r="E1444"/>
  <c r="I1444" s="1"/>
  <c r="F1443"/>
  <c r="E1443"/>
  <c r="F1442"/>
  <c r="E1442"/>
  <c r="H1442" s="1"/>
  <c r="F1441"/>
  <c r="E1441"/>
  <c r="F1440"/>
  <c r="E1440"/>
  <c r="I1440" s="1"/>
  <c r="F1439"/>
  <c r="E1439"/>
  <c r="H1439" s="1"/>
  <c r="F1438"/>
  <c r="E1438"/>
  <c r="G1438" s="1"/>
  <c r="F1437"/>
  <c r="E1437"/>
  <c r="F1436"/>
  <c r="E1436"/>
  <c r="F1435"/>
  <c r="E1435"/>
  <c r="H1435" s="1"/>
  <c r="F1434"/>
  <c r="E1434"/>
  <c r="H1434" s="1"/>
  <c r="F1433"/>
  <c r="E1433"/>
  <c r="F1432"/>
  <c r="E1432"/>
  <c r="I1432" s="1"/>
  <c r="F1431"/>
  <c r="E1431"/>
  <c r="H1431" s="1"/>
  <c r="F1430"/>
  <c r="E1430"/>
  <c r="G1430" s="1"/>
  <c r="F1429"/>
  <c r="E1429"/>
  <c r="I1429" s="1"/>
  <c r="F1428"/>
  <c r="E1428"/>
  <c r="F1427"/>
  <c r="E1427"/>
  <c r="F1426"/>
  <c r="E1426"/>
  <c r="F1425"/>
  <c r="E1425"/>
  <c r="F1424"/>
  <c r="E1424"/>
  <c r="F1423"/>
  <c r="E1423"/>
  <c r="H1423" s="1"/>
  <c r="F1422"/>
  <c r="E1422"/>
  <c r="F1421"/>
  <c r="E1421"/>
  <c r="I1421" s="1"/>
  <c r="F1420"/>
  <c r="E1420"/>
  <c r="F1419"/>
  <c r="E1419"/>
  <c r="H1419" s="1"/>
  <c r="F1418"/>
  <c r="E1418"/>
  <c r="F1417"/>
  <c r="E1417"/>
  <c r="F1416"/>
  <c r="E1416"/>
  <c r="F1415"/>
  <c r="E1415"/>
  <c r="E1414"/>
  <c r="F1413"/>
  <c r="E1413"/>
  <c r="F1412"/>
  <c r="E1412"/>
  <c r="F1411"/>
  <c r="E1411"/>
  <c r="G1411" s="1"/>
  <c r="F1410"/>
  <c r="E1410"/>
  <c r="I1410" s="1"/>
  <c r="F1409"/>
  <c r="E1409"/>
  <c r="F1408"/>
  <c r="E1408"/>
  <c r="F1407"/>
  <c r="E1407"/>
  <c r="F1406"/>
  <c r="E1406"/>
  <c r="F1405"/>
  <c r="E1405"/>
  <c r="E1404"/>
  <c r="G1404" s="1"/>
  <c r="E1403"/>
  <c r="F1402"/>
  <c r="E1402"/>
  <c r="G1402" s="1"/>
  <c r="F1401"/>
  <c r="E1401"/>
  <c r="F1400"/>
  <c r="E1400"/>
  <c r="F1399"/>
  <c r="E1399"/>
  <c r="F1398"/>
  <c r="E1398"/>
  <c r="H1398" s="1"/>
  <c r="F1397"/>
  <c r="E1397"/>
  <c r="F1396"/>
  <c r="E1396"/>
  <c r="F1395"/>
  <c r="E1395"/>
  <c r="I1395" s="1"/>
  <c r="F1394"/>
  <c r="E1394"/>
  <c r="I1394" s="1"/>
  <c r="F1393"/>
  <c r="E1393"/>
  <c r="G1393" s="1"/>
  <c r="F1392"/>
  <c r="E1392"/>
  <c r="I1392" s="1"/>
  <c r="E1391"/>
  <c r="I1391" s="1"/>
  <c r="E1390"/>
  <c r="E1389"/>
  <c r="E1388"/>
  <c r="G1388" s="1"/>
  <c r="F1387"/>
  <c r="E1387"/>
  <c r="F1386"/>
  <c r="E1386"/>
  <c r="F1385"/>
  <c r="E1385"/>
  <c r="E1384"/>
  <c r="I1384" s="1"/>
  <c r="F1383"/>
  <c r="E1383"/>
  <c r="F1382"/>
  <c r="E1382"/>
  <c r="I1382" s="1"/>
  <c r="F1381"/>
  <c r="E1381"/>
  <c r="F1380"/>
  <c r="E1380"/>
  <c r="H1380" s="1"/>
  <c r="F1379"/>
  <c r="E1379"/>
  <c r="F1378"/>
  <c r="E1378"/>
  <c r="F1377"/>
  <c r="E1377"/>
  <c r="H1377" s="1"/>
  <c r="F1376"/>
  <c r="E1376"/>
  <c r="F1375"/>
  <c r="E1375"/>
  <c r="I1375" s="1"/>
  <c r="F1374"/>
  <c r="E1374"/>
  <c r="H1374" s="1"/>
  <c r="F1373"/>
  <c r="E1373"/>
  <c r="F1372"/>
  <c r="E1372"/>
  <c r="H1372" s="1"/>
  <c r="F1371"/>
  <c r="E1371"/>
  <c r="F1370"/>
  <c r="E1370"/>
  <c r="F1369"/>
  <c r="E1369"/>
  <c r="H1369" s="1"/>
  <c r="F1368"/>
  <c r="E1368"/>
  <c r="F1367"/>
  <c r="E1367"/>
  <c r="F1366"/>
  <c r="E1366"/>
  <c r="F1365"/>
  <c r="E1365"/>
  <c r="F1364"/>
  <c r="E1364"/>
  <c r="H1364" s="1"/>
  <c r="F1363"/>
  <c r="E1363"/>
  <c r="F1362"/>
  <c r="E1362"/>
  <c r="I1362" s="1"/>
  <c r="F1361"/>
  <c r="E1361"/>
  <c r="F1360"/>
  <c r="E1360"/>
  <c r="F1359"/>
  <c r="E1359"/>
  <c r="F1358"/>
  <c r="E1358"/>
  <c r="F1357"/>
  <c r="E1357"/>
  <c r="F1356"/>
  <c r="E1356"/>
  <c r="H1356" s="1"/>
  <c r="F1355"/>
  <c r="E1355"/>
  <c r="F1354"/>
  <c r="E1354"/>
  <c r="I1354" s="1"/>
  <c r="F1353"/>
  <c r="E1353"/>
  <c r="F1352"/>
  <c r="E1352"/>
  <c r="G1352" s="1"/>
  <c r="F1351"/>
  <c r="E1351"/>
  <c r="F1350"/>
  <c r="E1350"/>
  <c r="F1349"/>
  <c r="E1349"/>
  <c r="F1348"/>
  <c r="E1348"/>
  <c r="H1348" s="1"/>
  <c r="F1347"/>
  <c r="E1347"/>
  <c r="F1346"/>
  <c r="E1346"/>
  <c r="F1345"/>
  <c r="E1345"/>
  <c r="F1344"/>
  <c r="E1344"/>
  <c r="F1343"/>
  <c r="E1343"/>
  <c r="I1343" s="1"/>
  <c r="F1342"/>
  <c r="E1342"/>
  <c r="I1342" s="1"/>
  <c r="F1341"/>
  <c r="E1341"/>
  <c r="F1340"/>
  <c r="E1340"/>
  <c r="H1340" s="1"/>
  <c r="F1339"/>
  <c r="E1339"/>
  <c r="F1338"/>
  <c r="E1338"/>
  <c r="F1337"/>
  <c r="E1337"/>
  <c r="I1337" s="1"/>
  <c r="F1336"/>
  <c r="E1336"/>
  <c r="F1335"/>
  <c r="E1335"/>
  <c r="F1334"/>
  <c r="E1334"/>
  <c r="G1334" s="1"/>
  <c r="F1333"/>
  <c r="E1333"/>
  <c r="F1332"/>
  <c r="E1332"/>
  <c r="H1332" s="1"/>
  <c r="F1331"/>
  <c r="E1331"/>
  <c r="F1330"/>
  <c r="E1330"/>
  <c r="I1330" s="1"/>
  <c r="F1329"/>
  <c r="E1329"/>
  <c r="F1328"/>
  <c r="E1328"/>
  <c r="G1328" s="1"/>
  <c r="F1327"/>
  <c r="E1327"/>
  <c r="F1326"/>
  <c r="E1326"/>
  <c r="H1326" s="1"/>
  <c r="F1325"/>
  <c r="E1325"/>
  <c r="G1325" s="1"/>
  <c r="F1324"/>
  <c r="E1324"/>
  <c r="H1324" s="1"/>
  <c r="F1323"/>
  <c r="E1323"/>
  <c r="F1322"/>
  <c r="E1322"/>
  <c r="I1322" s="1"/>
  <c r="F1321"/>
  <c r="E1321"/>
  <c r="H1321" s="1"/>
  <c r="F1320"/>
  <c r="E1320"/>
  <c r="G1320" s="1"/>
  <c r="F1319"/>
  <c r="E1319"/>
  <c r="I1319" s="1"/>
  <c r="F1318"/>
  <c r="E1318"/>
  <c r="F1317"/>
  <c r="E1317"/>
  <c r="F1316"/>
  <c r="E1316"/>
  <c r="H1316" s="1"/>
  <c r="F1315"/>
  <c r="E1315"/>
  <c r="F1314"/>
  <c r="E1314"/>
  <c r="F1313"/>
  <c r="E1313"/>
  <c r="I1313" s="1"/>
  <c r="F1312"/>
  <c r="E1312"/>
  <c r="F1311"/>
  <c r="E1311"/>
  <c r="I1311" s="1"/>
  <c r="F1310"/>
  <c r="E1310"/>
  <c r="G1310" s="1"/>
  <c r="F1309"/>
  <c r="E1309"/>
  <c r="F1308"/>
  <c r="E1308"/>
  <c r="H1308" s="1"/>
  <c r="F1307"/>
  <c r="E1307"/>
  <c r="F1306"/>
  <c r="E1306"/>
  <c r="F1305"/>
  <c r="E1305"/>
  <c r="F1304"/>
  <c r="E1304"/>
  <c r="F1303"/>
  <c r="E1303"/>
  <c r="F1302"/>
  <c r="E1302"/>
  <c r="F1301"/>
  <c r="E1301"/>
  <c r="F1300"/>
  <c r="E1300"/>
  <c r="H1300" s="1"/>
  <c r="F1299"/>
  <c r="E1299"/>
  <c r="F1298"/>
  <c r="E1298"/>
  <c r="I1298" s="1"/>
  <c r="F1297"/>
  <c r="E1297"/>
  <c r="F1296"/>
  <c r="E1296"/>
  <c r="F1295"/>
  <c r="E1295"/>
  <c r="F1294"/>
  <c r="E1294"/>
  <c r="F1293"/>
  <c r="E1293"/>
  <c r="F1292"/>
  <c r="E1292"/>
  <c r="H1292" s="1"/>
  <c r="F1291"/>
  <c r="E1291"/>
  <c r="F1290"/>
  <c r="E1290"/>
  <c r="I1290" s="1"/>
  <c r="F1289"/>
  <c r="E1289"/>
  <c r="H1289" s="1"/>
  <c r="F1288"/>
  <c r="E1288"/>
  <c r="G1288" s="1"/>
  <c r="F1287"/>
  <c r="E1287"/>
  <c r="E1286"/>
  <c r="E1285"/>
  <c r="G1285" s="1"/>
  <c r="E1284"/>
  <c r="E1283"/>
  <c r="E1282"/>
  <c r="E1281"/>
  <c r="G1281" s="1"/>
  <c r="F1280"/>
  <c r="E1280"/>
  <c r="F1279"/>
  <c r="E1279"/>
  <c r="F1278"/>
  <c r="E1278"/>
  <c r="E1277"/>
  <c r="F1276"/>
  <c r="E1276"/>
  <c r="F1275"/>
  <c r="E1275"/>
  <c r="G1275" s="1"/>
  <c r="F1274"/>
  <c r="E1274"/>
  <c r="I1274" s="1"/>
  <c r="E1273"/>
  <c r="E1272"/>
  <c r="G1272" s="1"/>
  <c r="E1271"/>
  <c r="H1271" s="1"/>
  <c r="E1270"/>
  <c r="E1269"/>
  <c r="H1269" s="1"/>
  <c r="E1268"/>
  <c r="G1268" s="1"/>
  <c r="E1267"/>
  <c r="E1266"/>
  <c r="G1266" s="1"/>
  <c r="F1265"/>
  <c r="E1265"/>
  <c r="G1265" s="1"/>
  <c r="F1264"/>
  <c r="E1264"/>
  <c r="I1264" s="1"/>
  <c r="F1263"/>
  <c r="E1263"/>
  <c r="I1263" s="1"/>
  <c r="F1262"/>
  <c r="E1262"/>
  <c r="F1261"/>
  <c r="E1261"/>
  <c r="I1261" s="1"/>
  <c r="F1260"/>
  <c r="E1260"/>
  <c r="F1259"/>
  <c r="E1259"/>
  <c r="E1258"/>
  <c r="F1257"/>
  <c r="E1257"/>
  <c r="E1256"/>
  <c r="G1256" s="1"/>
  <c r="F1255"/>
  <c r="E1255"/>
  <c r="I1255" s="1"/>
  <c r="F1254"/>
  <c r="E1254"/>
  <c r="F1253"/>
  <c r="E1253"/>
  <c r="I1253" s="1"/>
  <c r="F1252"/>
  <c r="E1252"/>
  <c r="E1251"/>
  <c r="G1251" s="1"/>
  <c r="E1250"/>
  <c r="F1249"/>
  <c r="E1249"/>
  <c r="F1248"/>
  <c r="E1248"/>
  <c r="I1248" s="1"/>
  <c r="F1247"/>
  <c r="E1247"/>
  <c r="F1246"/>
  <c r="E1246"/>
  <c r="G1246" s="1"/>
  <c r="F1245"/>
  <c r="E1245"/>
  <c r="I1245" s="1"/>
  <c r="F1244"/>
  <c r="E1244"/>
  <c r="F1243"/>
  <c r="E1243"/>
  <c r="F1242"/>
  <c r="E1242"/>
  <c r="I1242" s="1"/>
  <c r="F1241"/>
  <c r="E1241"/>
  <c r="F1240"/>
  <c r="E1240"/>
  <c r="F1239"/>
  <c r="E1239"/>
  <c r="F1237"/>
  <c r="E1237"/>
  <c r="F1236"/>
  <c r="E1236"/>
  <c r="I1236" s="1"/>
  <c r="F1235"/>
  <c r="E1235"/>
  <c r="F1234"/>
  <c r="E1234"/>
  <c r="I1234" s="1"/>
  <c r="F1233"/>
  <c r="E1233"/>
  <c r="H1233" s="1"/>
  <c r="F1232"/>
  <c r="E1232"/>
  <c r="G1232" s="1"/>
  <c r="F1231"/>
  <c r="E1231"/>
  <c r="I1231" s="1"/>
  <c r="F1230"/>
  <c r="E1230"/>
  <c r="H1230" s="1"/>
  <c r="E1229"/>
  <c r="I1229" s="1"/>
  <c r="F1228"/>
  <c r="E1228"/>
  <c r="I1228" s="1"/>
  <c r="F1227"/>
  <c r="E1227"/>
  <c r="F1226"/>
  <c r="E1226"/>
  <c r="F1225"/>
  <c r="E1225"/>
  <c r="F1224"/>
  <c r="E1224"/>
  <c r="F1223"/>
  <c r="E1223"/>
  <c r="F1222"/>
  <c r="E1222"/>
  <c r="F1221"/>
  <c r="E1221"/>
  <c r="F1220"/>
  <c r="E1220"/>
  <c r="I1220" s="1"/>
  <c r="F1219"/>
  <c r="E1219"/>
  <c r="F1218"/>
  <c r="E1218"/>
  <c r="E1217"/>
  <c r="F1216"/>
  <c r="E1216"/>
  <c r="F1215"/>
  <c r="E1215"/>
  <c r="F1214"/>
  <c r="E1214"/>
  <c r="G1214" s="1"/>
  <c r="F1213"/>
  <c r="E1213"/>
  <c r="I1213" s="1"/>
  <c r="F1212"/>
  <c r="E1212"/>
  <c r="G1212" s="1"/>
  <c r="F1211"/>
  <c r="E1211"/>
  <c r="I1211" s="1"/>
  <c r="F1210"/>
  <c r="E1210"/>
  <c r="I1210" s="1"/>
  <c r="F1209"/>
  <c r="E1209"/>
  <c r="F1208"/>
  <c r="E1208"/>
  <c r="F1207"/>
  <c r="E1207"/>
  <c r="H1207" s="1"/>
  <c r="F1206"/>
  <c r="E1206"/>
  <c r="E1205"/>
  <c r="I1205" s="1"/>
  <c r="F1204"/>
  <c r="E1204"/>
  <c r="F1203"/>
  <c r="E1203"/>
  <c r="F1202"/>
  <c r="E1202"/>
  <c r="I1202" s="1"/>
  <c r="F1201"/>
  <c r="E1201"/>
  <c r="H1201" s="1"/>
  <c r="F1200"/>
  <c r="E1200"/>
  <c r="F1199"/>
  <c r="E1199"/>
  <c r="F1198"/>
  <c r="E1198"/>
  <c r="F1197"/>
  <c r="E1197"/>
  <c r="F1196"/>
  <c r="E1196"/>
  <c r="F1195"/>
  <c r="E1195"/>
  <c r="F1194"/>
  <c r="E1194"/>
  <c r="I1194" s="1"/>
  <c r="F1193"/>
  <c r="E1193"/>
  <c r="I1193" s="1"/>
  <c r="F1192"/>
  <c r="E1192"/>
  <c r="E1191"/>
  <c r="E1190"/>
  <c r="F1189"/>
  <c r="E1189"/>
  <c r="I1189" s="1"/>
  <c r="F1188"/>
  <c r="E1188"/>
  <c r="E1187"/>
  <c r="G1187" s="1"/>
  <c r="F1186"/>
  <c r="E1186"/>
  <c r="I1186" s="1"/>
  <c r="F1185"/>
  <c r="E1185"/>
  <c r="F1184"/>
  <c r="E1184"/>
  <c r="F1183"/>
  <c r="E1183"/>
  <c r="F1182"/>
  <c r="E1182"/>
  <c r="E1181"/>
  <c r="I1181" s="1"/>
  <c r="F1180"/>
  <c r="E1180"/>
  <c r="F1179"/>
  <c r="E1179"/>
  <c r="F1178"/>
  <c r="E1178"/>
  <c r="I1178" s="1"/>
  <c r="E1177"/>
  <c r="E1176"/>
  <c r="G1176" s="1"/>
  <c r="E1175"/>
  <c r="G1175" s="1"/>
  <c r="E1174"/>
  <c r="G1174" s="1"/>
  <c r="F1173"/>
  <c r="E1173"/>
  <c r="F1172"/>
  <c r="E1172"/>
  <c r="F1171"/>
  <c r="E1171"/>
  <c r="F1170"/>
  <c r="E1170"/>
  <c r="I1170" s="1"/>
  <c r="E1169"/>
  <c r="H1169" s="1"/>
  <c r="E1168"/>
  <c r="G1168" s="1"/>
  <c r="F1167"/>
  <c r="E1167"/>
  <c r="G1167" s="1"/>
  <c r="F1166"/>
  <c r="E1166"/>
  <c r="I1166" s="1"/>
  <c r="F1165"/>
  <c r="E1165"/>
  <c r="I1165" s="1"/>
  <c r="F1164"/>
  <c r="E1164"/>
  <c r="F1163"/>
  <c r="E1163"/>
  <c r="F1162"/>
  <c r="E1162"/>
  <c r="F1161"/>
  <c r="E1161"/>
  <c r="G1161" s="1"/>
  <c r="F1160"/>
  <c r="E1160"/>
  <c r="I1160" s="1"/>
  <c r="F1159"/>
  <c r="E1159"/>
  <c r="G1159" s="1"/>
  <c r="F1158"/>
  <c r="E1158"/>
  <c r="I1158" s="1"/>
  <c r="F1157"/>
  <c r="E1157"/>
  <c r="I1157" s="1"/>
  <c r="F1156"/>
  <c r="E1156"/>
  <c r="F1155"/>
  <c r="E1155"/>
  <c r="F1154"/>
  <c r="E1154"/>
  <c r="F1153"/>
  <c r="E1153"/>
  <c r="F1152"/>
  <c r="E1152"/>
  <c r="I1152" s="1"/>
  <c r="F1151"/>
  <c r="E1151"/>
  <c r="F1150"/>
  <c r="E1150"/>
  <c r="F1149"/>
  <c r="E1149"/>
  <c r="I1149" s="1"/>
  <c r="E1148"/>
  <c r="I1148" s="1"/>
  <c r="F1147"/>
  <c r="E1147"/>
  <c r="F1146"/>
  <c r="E1146"/>
  <c r="F1145"/>
  <c r="E1145"/>
  <c r="F1144"/>
  <c r="E1144"/>
  <c r="E1143"/>
  <c r="G1143" s="1"/>
  <c r="F1142"/>
  <c r="E1142"/>
  <c r="F1141"/>
  <c r="E1141"/>
  <c r="F1140"/>
  <c r="E1140"/>
  <c r="F1139"/>
  <c r="E1139"/>
  <c r="I1139" s="1"/>
  <c r="E1138"/>
  <c r="I1138" s="1"/>
  <c r="E1137"/>
  <c r="I1137" s="1"/>
  <c r="F1136"/>
  <c r="E1136"/>
  <c r="F1135"/>
  <c r="E1135"/>
  <c r="I1135" s="1"/>
  <c r="F1134"/>
  <c r="E1134"/>
  <c r="F1133"/>
  <c r="E1133"/>
  <c r="G1133" s="1"/>
  <c r="F1132"/>
  <c r="E1132"/>
  <c r="F1131"/>
  <c r="E1131"/>
  <c r="E1130"/>
  <c r="F1129"/>
  <c r="E1129"/>
  <c r="I1129" s="1"/>
  <c r="F1128"/>
  <c r="E1128"/>
  <c r="F1127"/>
  <c r="E1127"/>
  <c r="F1126"/>
  <c r="E1126"/>
  <c r="F1125"/>
  <c r="E1125"/>
  <c r="F1124"/>
  <c r="E1124"/>
  <c r="E1123"/>
  <c r="I1123" s="1"/>
  <c r="F1122"/>
  <c r="E1122"/>
  <c r="F1121"/>
  <c r="E1121"/>
  <c r="F1120"/>
  <c r="E1120"/>
  <c r="F1119"/>
  <c r="E1119"/>
  <c r="I1119" s="1"/>
  <c r="F1118"/>
  <c r="E1118"/>
  <c r="F1117"/>
  <c r="E1117"/>
  <c r="I1117" s="1"/>
  <c r="F1116"/>
  <c r="E1116"/>
  <c r="H1116" s="1"/>
  <c r="F1115"/>
  <c r="E1115"/>
  <c r="G1115" s="1"/>
  <c r="F1114"/>
  <c r="E1114"/>
  <c r="F1113"/>
  <c r="E1113"/>
  <c r="F1112"/>
  <c r="E1112"/>
  <c r="E1111"/>
  <c r="G1111" s="1"/>
  <c r="F1110"/>
  <c r="E1110"/>
  <c r="F1109"/>
  <c r="E1109"/>
  <c r="F1108"/>
  <c r="E1108"/>
  <c r="I1108" s="1"/>
  <c r="F1107"/>
  <c r="E1107"/>
  <c r="E1106"/>
  <c r="H1106" s="1"/>
  <c r="E1105"/>
  <c r="F1104"/>
  <c r="E1104"/>
  <c r="I1104" s="1"/>
  <c r="F1103"/>
  <c r="E1103"/>
  <c r="F1102"/>
  <c r="E1102"/>
  <c r="G1102" s="1"/>
  <c r="F1101"/>
  <c r="E1101"/>
  <c r="F1100"/>
  <c r="E1100"/>
  <c r="F1099"/>
  <c r="E1099"/>
  <c r="F1098"/>
  <c r="E1098"/>
  <c r="I1098" s="1"/>
  <c r="F1097"/>
  <c r="E1097"/>
  <c r="F1096"/>
  <c r="E1096"/>
  <c r="I1096" s="1"/>
  <c r="F1095"/>
  <c r="E1095"/>
  <c r="F1094"/>
  <c r="E1094"/>
  <c r="G1094" s="1"/>
  <c r="E1093"/>
  <c r="I1093" s="1"/>
  <c r="F1092"/>
  <c r="E1092"/>
  <c r="F1091"/>
  <c r="E1091"/>
  <c r="F1090"/>
  <c r="E1090"/>
  <c r="I1090" s="1"/>
  <c r="F1089"/>
  <c r="E1089"/>
  <c r="I1089" s="1"/>
  <c r="F1088"/>
  <c r="E1088"/>
  <c r="H1088" s="1"/>
  <c r="F1087"/>
  <c r="E1087"/>
  <c r="F1086"/>
  <c r="E1086"/>
  <c r="F1085"/>
  <c r="E1085"/>
  <c r="F1084"/>
  <c r="E1084"/>
  <c r="G1084" s="1"/>
  <c r="F1083"/>
  <c r="E1083"/>
  <c r="F1082"/>
  <c r="E1082"/>
  <c r="I1082" s="1"/>
  <c r="F1081"/>
  <c r="E1081"/>
  <c r="I1081" s="1"/>
  <c r="F1080"/>
  <c r="E1080"/>
  <c r="H1080" s="1"/>
  <c r="F1079"/>
  <c r="E1079"/>
  <c r="F1078"/>
  <c r="E1078"/>
  <c r="F1077"/>
  <c r="E1077"/>
  <c r="F1076"/>
  <c r="E1076"/>
  <c r="I1076" s="1"/>
  <c r="F1075"/>
  <c r="E1075"/>
  <c r="F1074"/>
  <c r="E1074"/>
  <c r="I1074" s="1"/>
  <c r="F1073"/>
  <c r="E1073"/>
  <c r="I1073" s="1"/>
  <c r="E1072"/>
  <c r="I1072" s="1"/>
  <c r="F1071"/>
  <c r="E1071"/>
  <c r="F1070"/>
  <c r="E1070"/>
  <c r="F1069"/>
  <c r="E1069"/>
  <c r="F1068"/>
  <c r="E1068"/>
  <c r="F1067"/>
  <c r="E1067"/>
  <c r="I1067" s="1"/>
  <c r="F1066"/>
  <c r="E1066"/>
  <c r="F1065"/>
  <c r="E1065"/>
  <c r="F1064"/>
  <c r="E1064"/>
  <c r="I1064" s="1"/>
  <c r="F1063"/>
  <c r="E1063"/>
  <c r="F1062"/>
  <c r="E1062"/>
  <c r="F1061"/>
  <c r="E1061"/>
  <c r="F1060"/>
  <c r="E1060"/>
  <c r="F1059"/>
  <c r="E1059"/>
  <c r="F1058"/>
  <c r="E1058"/>
  <c r="G1058" s="1"/>
  <c r="F1057"/>
  <c r="E1057"/>
  <c r="I1057" s="1"/>
  <c r="F1056"/>
  <c r="E1056"/>
  <c r="I1056" s="1"/>
  <c r="F1055"/>
  <c r="E1055"/>
  <c r="F1054"/>
  <c r="E1054"/>
  <c r="I1054" s="1"/>
  <c r="F1053"/>
  <c r="E1053"/>
  <c r="I1053" s="1"/>
  <c r="F1052"/>
  <c r="E1052"/>
  <c r="G1052" s="1"/>
  <c r="F1051"/>
  <c r="E1051"/>
  <c r="F1050"/>
  <c r="E1050"/>
  <c r="G1050" s="1"/>
  <c r="F1049"/>
  <c r="E1049"/>
  <c r="I1049" s="1"/>
  <c r="F1048"/>
  <c r="E1048"/>
  <c r="I1048" s="1"/>
  <c r="F1047"/>
  <c r="E1047"/>
  <c r="F1046"/>
  <c r="E1046"/>
  <c r="I1046" s="1"/>
  <c r="F1045"/>
  <c r="E1045"/>
  <c r="G1045" s="1"/>
  <c r="F1044"/>
  <c r="E1044"/>
  <c r="G1044" s="1"/>
  <c r="F1043"/>
  <c r="E1043"/>
  <c r="I1043" s="1"/>
  <c r="F1042"/>
  <c r="E1042"/>
  <c r="I1042" s="1"/>
  <c r="E1041"/>
  <c r="I1041" s="1"/>
  <c r="F1040"/>
  <c r="E1040"/>
  <c r="I1040" s="1"/>
  <c r="F1039"/>
  <c r="E1039"/>
  <c r="F1038"/>
  <c r="E1038"/>
  <c r="F1036"/>
  <c r="E1036"/>
  <c r="G1036" s="1"/>
  <c r="F1035"/>
  <c r="E1035"/>
  <c r="F1034"/>
  <c r="E1034"/>
  <c r="I1034" s="1"/>
  <c r="F1033"/>
  <c r="E1033"/>
  <c r="I1033" s="1"/>
  <c r="F1032"/>
  <c r="E1032"/>
  <c r="F1031"/>
  <c r="E1031"/>
  <c r="I1031" s="1"/>
  <c r="F1030"/>
  <c r="E1030"/>
  <c r="F1029"/>
  <c r="E1029"/>
  <c r="F1028"/>
  <c r="E1028"/>
  <c r="F1027"/>
  <c r="E1027"/>
  <c r="F1026"/>
  <c r="E1026"/>
  <c r="I1026" s="1"/>
  <c r="F1025"/>
  <c r="E1025"/>
  <c r="I1025" s="1"/>
  <c r="F1024"/>
  <c r="E1024"/>
  <c r="H1024" s="1"/>
  <c r="F1023"/>
  <c r="E1023"/>
  <c r="I1023" s="1"/>
  <c r="F1022"/>
  <c r="E1022"/>
  <c r="F1021"/>
  <c r="E1021"/>
  <c r="F1020"/>
  <c r="E1020"/>
  <c r="F1019"/>
  <c r="E1019"/>
  <c r="F1018"/>
  <c r="E1018"/>
  <c r="I1018" s="1"/>
  <c r="F1017"/>
  <c r="E1017"/>
  <c r="F1016"/>
  <c r="E1016"/>
  <c r="I1016" s="1"/>
  <c r="F1015"/>
  <c r="E1015"/>
  <c r="F1014"/>
  <c r="E1014"/>
  <c r="F1013"/>
  <c r="E1013"/>
  <c r="G1013" s="1"/>
  <c r="F1012"/>
  <c r="E1012"/>
  <c r="F1011"/>
  <c r="E1011"/>
  <c r="F1010"/>
  <c r="E1010"/>
  <c r="F1009"/>
  <c r="E1009"/>
  <c r="H1009" s="1"/>
  <c r="F1008"/>
  <c r="E1008"/>
  <c r="I1008" s="1"/>
  <c r="F1007"/>
  <c r="E1007"/>
  <c r="G1007" s="1"/>
  <c r="F1006"/>
  <c r="E1006"/>
  <c r="F1005"/>
  <c r="E1005"/>
  <c r="F1004"/>
  <c r="E1004"/>
  <c r="F1003"/>
  <c r="E1003"/>
  <c r="F1002"/>
  <c r="E1002"/>
  <c r="F1001"/>
  <c r="E1001"/>
  <c r="I1001" s="1"/>
  <c r="F1000"/>
  <c r="E1000"/>
  <c r="F999"/>
  <c r="E999"/>
  <c r="F998"/>
  <c r="E998"/>
  <c r="G998" s="1"/>
  <c r="F997"/>
  <c r="E997"/>
  <c r="F996"/>
  <c r="E996"/>
  <c r="F995"/>
  <c r="E995"/>
  <c r="F994"/>
  <c r="E994"/>
  <c r="F993"/>
  <c r="E993"/>
  <c r="H993" s="1"/>
  <c r="F992"/>
  <c r="E992"/>
  <c r="F991"/>
  <c r="E991"/>
  <c r="G991" s="1"/>
  <c r="F990"/>
  <c r="E990"/>
  <c r="I990" s="1"/>
  <c r="F989"/>
  <c r="E989"/>
  <c r="F988"/>
  <c r="E988"/>
  <c r="I988" s="1"/>
  <c r="F987"/>
  <c r="E987"/>
  <c r="F986"/>
  <c r="E986"/>
  <c r="F985"/>
  <c r="E985"/>
  <c r="I985" s="1"/>
  <c r="F984"/>
  <c r="E984"/>
  <c r="F983"/>
  <c r="E983"/>
  <c r="F982"/>
  <c r="E982"/>
  <c r="G982" s="1"/>
  <c r="F981"/>
  <c r="E981"/>
  <c r="I981" s="1"/>
  <c r="F980"/>
  <c r="E980"/>
  <c r="I980" s="1"/>
  <c r="F979"/>
  <c r="E979"/>
  <c r="F978"/>
  <c r="E978"/>
  <c r="F977"/>
  <c r="E977"/>
  <c r="H977" s="1"/>
  <c r="F976"/>
  <c r="E976"/>
  <c r="F975"/>
  <c r="E975"/>
  <c r="F974"/>
  <c r="E974"/>
  <c r="I974" s="1"/>
  <c r="F973"/>
  <c r="E973"/>
  <c r="F972"/>
  <c r="E972"/>
  <c r="E971"/>
  <c r="E970"/>
  <c r="F969"/>
  <c r="E969"/>
  <c r="G969" s="1"/>
  <c r="F968"/>
  <c r="E968"/>
  <c r="I968" s="1"/>
  <c r="F967"/>
  <c r="E967"/>
  <c r="F966"/>
  <c r="E966"/>
  <c r="E965"/>
  <c r="F964"/>
  <c r="E964"/>
  <c r="F963"/>
  <c r="E963"/>
  <c r="H963" s="1"/>
  <c r="F962"/>
  <c r="E962"/>
  <c r="F961"/>
  <c r="E961"/>
  <c r="I961" s="1"/>
  <c r="F960"/>
  <c r="E960"/>
  <c r="I960" s="1"/>
  <c r="F959"/>
  <c r="E959"/>
  <c r="E958"/>
  <c r="F957"/>
  <c r="E957"/>
  <c r="I957" s="1"/>
  <c r="E956"/>
  <c r="F955"/>
  <c r="E955"/>
  <c r="I955" s="1"/>
  <c r="F954"/>
  <c r="E954"/>
  <c r="F953"/>
  <c r="E953"/>
  <c r="F952"/>
  <c r="E952"/>
  <c r="F951"/>
  <c r="E951"/>
  <c r="H951" s="1"/>
  <c r="F950"/>
  <c r="E950"/>
  <c r="G950" s="1"/>
  <c r="F949"/>
  <c r="E949"/>
  <c r="I949" s="1"/>
  <c r="F948"/>
  <c r="E948"/>
  <c r="F947"/>
  <c r="E947"/>
  <c r="I947" s="1"/>
  <c r="F946"/>
  <c r="E946"/>
  <c r="I946" s="1"/>
  <c r="F945"/>
  <c r="E945"/>
  <c r="F944"/>
  <c r="E944"/>
  <c r="E943"/>
  <c r="E942"/>
  <c r="I942" s="1"/>
  <c r="F941"/>
  <c r="E941"/>
  <c r="I941" s="1"/>
  <c r="F940"/>
  <c r="E940"/>
  <c r="G940" s="1"/>
  <c r="F939"/>
  <c r="E939"/>
  <c r="I939" s="1"/>
  <c r="F938"/>
  <c r="E938"/>
  <c r="F937"/>
  <c r="E937"/>
  <c r="F936"/>
  <c r="E936"/>
  <c r="E935"/>
  <c r="F934"/>
  <c r="E934"/>
  <c r="F933"/>
  <c r="E933"/>
  <c r="G933" s="1"/>
  <c r="F932"/>
  <c r="E932"/>
  <c r="I932" s="1"/>
  <c r="F931"/>
  <c r="E931"/>
  <c r="F930"/>
  <c r="E930"/>
  <c r="F929"/>
  <c r="E929"/>
  <c r="F928"/>
  <c r="E928"/>
  <c r="F927"/>
  <c r="E927"/>
  <c r="F926"/>
  <c r="E926"/>
  <c r="F925"/>
  <c r="E925"/>
  <c r="G925" s="1"/>
  <c r="F924"/>
  <c r="E924"/>
  <c r="I924" s="1"/>
  <c r="F923"/>
  <c r="E923"/>
  <c r="F922"/>
  <c r="E922"/>
  <c r="F921"/>
  <c r="E921"/>
  <c r="I921" s="1"/>
  <c r="F920"/>
  <c r="E920"/>
  <c r="F919"/>
  <c r="E919"/>
  <c r="F918"/>
  <c r="E918"/>
  <c r="I918" s="1"/>
  <c r="F917"/>
  <c r="E917"/>
  <c r="F916"/>
  <c r="E916"/>
  <c r="I916" s="1"/>
  <c r="F915"/>
  <c r="E915"/>
  <c r="G915" s="1"/>
  <c r="F914"/>
  <c r="E914"/>
  <c r="F913"/>
  <c r="E913"/>
  <c r="I913" s="1"/>
  <c r="F912"/>
  <c r="E912"/>
  <c r="F911"/>
  <c r="E911"/>
  <c r="I911" s="1"/>
  <c r="F910"/>
  <c r="E910"/>
  <c r="I910" s="1"/>
  <c r="F909"/>
  <c r="E909"/>
  <c r="G909" s="1"/>
  <c r="F908"/>
  <c r="E908"/>
  <c r="F907"/>
  <c r="E907"/>
  <c r="F906"/>
  <c r="E906"/>
  <c r="F905"/>
  <c r="E905"/>
  <c r="F904"/>
  <c r="E904"/>
  <c r="F903"/>
  <c r="E903"/>
  <c r="I903" s="1"/>
  <c r="F902"/>
  <c r="E902"/>
  <c r="F901"/>
  <c r="E901"/>
  <c r="G901" s="1"/>
  <c r="F900"/>
  <c r="E900"/>
  <c r="I900" s="1"/>
  <c r="F899"/>
  <c r="E899"/>
  <c r="F898"/>
  <c r="E898"/>
  <c r="F897"/>
  <c r="E897"/>
  <c r="F896"/>
  <c r="E896"/>
  <c r="F895"/>
  <c r="E895"/>
  <c r="F894"/>
  <c r="E894"/>
  <c r="G894" s="1"/>
  <c r="F893"/>
  <c r="E893"/>
  <c r="G893" s="1"/>
  <c r="F892"/>
  <c r="E892"/>
  <c r="F891"/>
  <c r="E891"/>
  <c r="H891" s="1"/>
  <c r="F890"/>
  <c r="E890"/>
  <c r="F889"/>
  <c r="E889"/>
  <c r="F888"/>
  <c r="E888"/>
  <c r="I888" s="1"/>
  <c r="F887"/>
  <c r="E887"/>
  <c r="H887" s="1"/>
  <c r="F886"/>
  <c r="E886"/>
  <c r="G886" s="1"/>
  <c r="F885"/>
  <c r="E885"/>
  <c r="F884"/>
  <c r="E884"/>
  <c r="F883"/>
  <c r="E883"/>
  <c r="F882"/>
  <c r="E882"/>
  <c r="F881"/>
  <c r="E881"/>
  <c r="F880"/>
  <c r="E880"/>
  <c r="I880" s="1"/>
  <c r="F879"/>
  <c r="E879"/>
  <c r="G879" s="1"/>
  <c r="F878"/>
  <c r="E878"/>
  <c r="G878" s="1"/>
  <c r="F877"/>
  <c r="E877"/>
  <c r="I877" s="1"/>
  <c r="F876"/>
  <c r="E876"/>
  <c r="G876" s="1"/>
  <c r="F875"/>
  <c r="E875"/>
  <c r="I875" s="1"/>
  <c r="F874"/>
  <c r="E874"/>
  <c r="F873"/>
  <c r="E873"/>
  <c r="F872"/>
  <c r="E872"/>
  <c r="F871"/>
  <c r="E871"/>
  <c r="G871" s="1"/>
  <c r="F870"/>
  <c r="E870"/>
  <c r="G870" s="1"/>
  <c r="F869"/>
  <c r="E869"/>
  <c r="I869" s="1"/>
  <c r="E868"/>
  <c r="I868" s="1"/>
  <c r="F867"/>
  <c r="E867"/>
  <c r="F866"/>
  <c r="E866"/>
  <c r="I866" s="1"/>
  <c r="F865"/>
  <c r="E865"/>
  <c r="F864"/>
  <c r="E864"/>
  <c r="E863"/>
  <c r="G863" s="1"/>
  <c r="E862"/>
  <c r="H862" s="1"/>
  <c r="F861"/>
  <c r="E861"/>
  <c r="G861" s="1"/>
  <c r="F860"/>
  <c r="E860"/>
  <c r="I860" s="1"/>
  <c r="F859"/>
  <c r="E859"/>
  <c r="F858"/>
  <c r="E858"/>
  <c r="G858" s="1"/>
  <c r="F857"/>
  <c r="E857"/>
  <c r="F856"/>
  <c r="E856"/>
  <c r="F855"/>
  <c r="E855"/>
  <c r="F854"/>
  <c r="E854"/>
  <c r="F853"/>
  <c r="E853"/>
  <c r="G853" s="1"/>
  <c r="F852"/>
  <c r="E852"/>
  <c r="I852" s="1"/>
  <c r="F851"/>
  <c r="E851"/>
  <c r="F850"/>
  <c r="E850"/>
  <c r="H850" s="1"/>
  <c r="F849"/>
  <c r="E849"/>
  <c r="F848"/>
  <c r="E848"/>
  <c r="F847"/>
  <c r="E847"/>
  <c r="F846"/>
  <c r="E846"/>
  <c r="H846" s="1"/>
  <c r="F845"/>
  <c r="E845"/>
  <c r="G845" s="1"/>
  <c r="F844"/>
  <c r="E844"/>
  <c r="I844" s="1"/>
  <c r="F843"/>
  <c r="E843"/>
  <c r="H843" s="1"/>
  <c r="F842"/>
  <c r="E842"/>
  <c r="G842" s="1"/>
  <c r="F841"/>
  <c r="E841"/>
  <c r="E840"/>
  <c r="F839"/>
  <c r="E839"/>
  <c r="G839" s="1"/>
  <c r="E838"/>
  <c r="G838" s="1"/>
  <c r="F837"/>
  <c r="E837"/>
  <c r="F836"/>
  <c r="E836"/>
  <c r="F835"/>
  <c r="E835"/>
  <c r="G835" s="1"/>
  <c r="F834"/>
  <c r="E834"/>
  <c r="I834" s="1"/>
  <c r="E833"/>
  <c r="F832"/>
  <c r="E832"/>
  <c r="G832" s="1"/>
  <c r="F831"/>
  <c r="E831"/>
  <c r="I831" s="1"/>
  <c r="F830"/>
  <c r="E830"/>
  <c r="H830" s="1"/>
  <c r="F829"/>
  <c r="E829"/>
  <c r="G829" s="1"/>
  <c r="F828"/>
  <c r="E828"/>
  <c r="E827"/>
  <c r="E826"/>
  <c r="H826" s="1"/>
  <c r="E825"/>
  <c r="E824"/>
  <c r="E823"/>
  <c r="E822"/>
  <c r="I822" s="1"/>
  <c r="F821"/>
  <c r="E821"/>
  <c r="F820"/>
  <c r="E820"/>
  <c r="F819"/>
  <c r="E819"/>
  <c r="E818"/>
  <c r="G818" s="1"/>
  <c r="E817"/>
  <c r="E816"/>
  <c r="G816" s="1"/>
  <c r="F815"/>
  <c r="E815"/>
  <c r="F814"/>
  <c r="E814"/>
  <c r="F813"/>
  <c r="E813"/>
  <c r="G813" s="1"/>
  <c r="F812"/>
  <c r="E812"/>
  <c r="I812" s="1"/>
  <c r="F811"/>
  <c r="E811"/>
  <c r="F810"/>
  <c r="E810"/>
  <c r="F809"/>
  <c r="E809"/>
  <c r="F808"/>
  <c r="E808"/>
  <c r="F807"/>
  <c r="E807"/>
  <c r="E806"/>
  <c r="H806" s="1"/>
  <c r="E805"/>
  <c r="I805" s="1"/>
  <c r="E804"/>
  <c r="E803"/>
  <c r="I803" s="1"/>
  <c r="E802"/>
  <c r="E801"/>
  <c r="I801" s="1"/>
  <c r="F800"/>
  <c r="E800"/>
  <c r="F799"/>
  <c r="E799"/>
  <c r="G799" s="1"/>
  <c r="F798"/>
  <c r="E798"/>
  <c r="I798" s="1"/>
  <c r="F797"/>
  <c r="E797"/>
  <c r="F796"/>
  <c r="E796"/>
  <c r="F795"/>
  <c r="E795"/>
  <c r="F794"/>
  <c r="E794"/>
  <c r="F793"/>
  <c r="E793"/>
  <c r="F792"/>
  <c r="E792"/>
  <c r="F791"/>
  <c r="E791"/>
  <c r="G791" s="1"/>
  <c r="F790"/>
  <c r="E790"/>
  <c r="I790" s="1"/>
  <c r="F789"/>
  <c r="E789"/>
  <c r="I789" s="1"/>
  <c r="F788"/>
  <c r="E788"/>
  <c r="F787"/>
  <c r="E787"/>
  <c r="F786"/>
  <c r="E786"/>
  <c r="F785"/>
  <c r="E785"/>
  <c r="F784"/>
  <c r="E784"/>
  <c r="F783"/>
  <c r="E783"/>
  <c r="G783" s="1"/>
  <c r="F782"/>
  <c r="E782"/>
  <c r="I782" s="1"/>
  <c r="F781"/>
  <c r="E781"/>
  <c r="E780"/>
  <c r="G780" s="1"/>
  <c r="E779"/>
  <c r="I779" s="1"/>
  <c r="E778"/>
  <c r="H778" s="1"/>
  <c r="F777"/>
  <c r="E777"/>
  <c r="F776"/>
  <c r="E776"/>
  <c r="F775"/>
  <c r="E775"/>
  <c r="I775" s="1"/>
  <c r="F774"/>
  <c r="E774"/>
  <c r="G774" s="1"/>
  <c r="F773"/>
  <c r="E773"/>
  <c r="I773" s="1"/>
  <c r="F772"/>
  <c r="E772"/>
  <c r="F771"/>
  <c r="E771"/>
  <c r="H771" s="1"/>
  <c r="F770"/>
  <c r="E770"/>
  <c r="F769"/>
  <c r="E769"/>
  <c r="F768"/>
  <c r="E768"/>
  <c r="F767"/>
  <c r="E767"/>
  <c r="F766"/>
  <c r="E766"/>
  <c r="F765"/>
  <c r="E765"/>
  <c r="I765" s="1"/>
  <c r="F764"/>
  <c r="E764"/>
  <c r="F763"/>
  <c r="E763"/>
  <c r="H763" s="1"/>
  <c r="F762"/>
  <c r="E762"/>
  <c r="F761"/>
  <c r="E761"/>
  <c r="E760"/>
  <c r="H760" s="1"/>
  <c r="E759"/>
  <c r="G759" s="1"/>
  <c r="E758"/>
  <c r="H758" s="1"/>
  <c r="F757"/>
  <c r="E757"/>
  <c r="G757" s="1"/>
  <c r="F756"/>
  <c r="E756"/>
  <c r="I756" s="1"/>
  <c r="F755"/>
  <c r="E755"/>
  <c r="F754"/>
  <c r="E754"/>
  <c r="F753"/>
  <c r="E753"/>
  <c r="F752"/>
  <c r="E752"/>
  <c r="F751"/>
  <c r="E751"/>
  <c r="F750"/>
  <c r="E750"/>
  <c r="I750" s="1"/>
  <c r="F749"/>
  <c r="E749"/>
  <c r="G749" s="1"/>
  <c r="F748"/>
  <c r="E748"/>
  <c r="I748" s="1"/>
  <c r="F747"/>
  <c r="E747"/>
  <c r="F746"/>
  <c r="E746"/>
  <c r="F745"/>
  <c r="E745"/>
  <c r="F744"/>
  <c r="E744"/>
  <c r="F743"/>
  <c r="E743"/>
  <c r="F742"/>
  <c r="E742"/>
  <c r="H742" s="1"/>
  <c r="F741"/>
  <c r="E741"/>
  <c r="G741" s="1"/>
  <c r="F740"/>
  <c r="E740"/>
  <c r="I740" s="1"/>
  <c r="F739"/>
  <c r="E739"/>
  <c r="F738"/>
  <c r="E738"/>
  <c r="F737"/>
  <c r="E737"/>
  <c r="F736"/>
  <c r="E736"/>
  <c r="F735"/>
  <c r="E735"/>
  <c r="F734"/>
  <c r="E734"/>
  <c r="F733"/>
  <c r="E733"/>
  <c r="G733" s="1"/>
  <c r="F732"/>
  <c r="E732"/>
  <c r="I732" s="1"/>
  <c r="F731"/>
  <c r="E731"/>
  <c r="F730"/>
  <c r="E730"/>
  <c r="H730" s="1"/>
  <c r="F729"/>
  <c r="E729"/>
  <c r="F728"/>
  <c r="E728"/>
  <c r="F727"/>
  <c r="E727"/>
  <c r="F726"/>
  <c r="E726"/>
  <c r="I726" s="1"/>
  <c r="F725"/>
  <c r="E725"/>
  <c r="G725" s="1"/>
  <c r="F724"/>
  <c r="E724"/>
  <c r="I724" s="1"/>
  <c r="F723"/>
  <c r="E723"/>
  <c r="F722"/>
  <c r="E722"/>
  <c r="F721"/>
  <c r="E721"/>
  <c r="F720"/>
  <c r="E720"/>
  <c r="F719"/>
  <c r="E719"/>
  <c r="E718"/>
  <c r="F717"/>
  <c r="E717"/>
  <c r="I717" s="1"/>
  <c r="F716"/>
  <c r="E716"/>
  <c r="F715"/>
  <c r="E715"/>
  <c r="F714"/>
  <c r="E714"/>
  <c r="F713"/>
  <c r="E713"/>
  <c r="F712"/>
  <c r="E712"/>
  <c r="I712" s="1"/>
  <c r="F711"/>
  <c r="E711"/>
  <c r="F710"/>
  <c r="E710"/>
  <c r="G710" s="1"/>
  <c r="F709"/>
  <c r="E709"/>
  <c r="F708"/>
  <c r="E708"/>
  <c r="G708" s="1"/>
  <c r="F707"/>
  <c r="E707"/>
  <c r="F706"/>
  <c r="E706"/>
  <c r="I706" s="1"/>
  <c r="F705"/>
  <c r="E705"/>
  <c r="G705" s="1"/>
  <c r="F704"/>
  <c r="E704"/>
  <c r="I704" s="1"/>
  <c r="F703"/>
  <c r="E703"/>
  <c r="F702"/>
  <c r="E702"/>
  <c r="F701"/>
  <c r="E701"/>
  <c r="F700"/>
  <c r="E700"/>
  <c r="H700" s="1"/>
  <c r="F699"/>
  <c r="E699"/>
  <c r="F698"/>
  <c r="E698"/>
  <c r="F697"/>
  <c r="E697"/>
  <c r="E696"/>
  <c r="H696" s="1"/>
  <c r="F695"/>
  <c r="E695"/>
  <c r="H695" s="1"/>
  <c r="F694"/>
  <c r="E694"/>
  <c r="F693"/>
  <c r="E693"/>
  <c r="H693" s="1"/>
  <c r="F692"/>
  <c r="E692"/>
  <c r="G692" s="1"/>
  <c r="F691"/>
  <c r="E691"/>
  <c r="G691" s="1"/>
  <c r="F690"/>
  <c r="E690"/>
  <c r="I690" s="1"/>
  <c r="F689"/>
  <c r="E689"/>
  <c r="F688"/>
  <c r="E688"/>
  <c r="F687"/>
  <c r="E687"/>
  <c r="F686"/>
  <c r="E686"/>
  <c r="G686" s="1"/>
  <c r="F685"/>
  <c r="E685"/>
  <c r="F684"/>
  <c r="E684"/>
  <c r="F683"/>
  <c r="E683"/>
  <c r="I683" s="1"/>
  <c r="F682"/>
  <c r="E682"/>
  <c r="G682" s="1"/>
  <c r="F681"/>
  <c r="E681"/>
  <c r="F680"/>
  <c r="E680"/>
  <c r="I680" s="1"/>
  <c r="F679"/>
  <c r="E679"/>
  <c r="G679" s="1"/>
  <c r="E678"/>
  <c r="F677"/>
  <c r="E677"/>
  <c r="E676"/>
  <c r="E675"/>
  <c r="F674"/>
  <c r="E674"/>
  <c r="F673"/>
  <c r="E673"/>
  <c r="F672"/>
  <c r="E672"/>
  <c r="F671"/>
  <c r="E671"/>
  <c r="F670"/>
  <c r="E670"/>
  <c r="F669"/>
  <c r="E669"/>
  <c r="G669" s="1"/>
  <c r="F668"/>
  <c r="E668"/>
  <c r="F667"/>
  <c r="E667"/>
  <c r="I667" s="1"/>
  <c r="F666"/>
  <c r="E666"/>
  <c r="F665"/>
  <c r="E665"/>
  <c r="F664"/>
  <c r="E664"/>
  <c r="F663"/>
  <c r="E663"/>
  <c r="G663" s="1"/>
  <c r="F662"/>
  <c r="E662"/>
  <c r="F661"/>
  <c r="E661"/>
  <c r="F660"/>
  <c r="E660"/>
  <c r="E659"/>
  <c r="G659" s="1"/>
  <c r="F658"/>
  <c r="E658"/>
  <c r="I658" s="1"/>
  <c r="F657"/>
  <c r="E657"/>
  <c r="F656"/>
  <c r="E656"/>
  <c r="F655"/>
  <c r="E655"/>
  <c r="I655" s="1"/>
  <c r="E654"/>
  <c r="G654" s="1"/>
  <c r="F653"/>
  <c r="E653"/>
  <c r="F652"/>
  <c r="E652"/>
  <c r="G652" s="1"/>
  <c r="F651"/>
  <c r="E651"/>
  <c r="I651" s="1"/>
  <c r="F650"/>
  <c r="E650"/>
  <c r="F649"/>
  <c r="E649"/>
  <c r="F648"/>
  <c r="E648"/>
  <c r="F647"/>
  <c r="E647"/>
  <c r="F646"/>
  <c r="E646"/>
  <c r="F645"/>
  <c r="E645"/>
  <c r="F644"/>
  <c r="E644"/>
  <c r="F643"/>
  <c r="E643"/>
  <c r="G643" s="1"/>
  <c r="F642"/>
  <c r="E642"/>
  <c r="H642" s="1"/>
  <c r="F641"/>
  <c r="E641"/>
  <c r="I641" s="1"/>
  <c r="F640"/>
  <c r="E640"/>
  <c r="H640" s="1"/>
  <c r="F639"/>
  <c r="E639"/>
  <c r="F638"/>
  <c r="E638"/>
  <c r="F637"/>
  <c r="E637"/>
  <c r="G637" s="1"/>
  <c r="F636"/>
  <c r="E636"/>
  <c r="F635"/>
  <c r="E635"/>
  <c r="F634"/>
  <c r="E634"/>
  <c r="F633"/>
  <c r="E633"/>
  <c r="I633" s="1"/>
  <c r="F632"/>
  <c r="E632"/>
  <c r="I632" s="1"/>
  <c r="F631"/>
  <c r="E631"/>
  <c r="F630"/>
  <c r="E630"/>
  <c r="F629"/>
  <c r="E629"/>
  <c r="F628"/>
  <c r="E628"/>
  <c r="I628" s="1"/>
  <c r="E627"/>
  <c r="E626"/>
  <c r="G626" s="1"/>
  <c r="E625"/>
  <c r="H625" s="1"/>
  <c r="F624"/>
  <c r="E624"/>
  <c r="F623"/>
  <c r="E623"/>
  <c r="F622"/>
  <c r="E622"/>
  <c r="F621"/>
  <c r="E621"/>
  <c r="H621" s="1"/>
  <c r="F620"/>
  <c r="E620"/>
  <c r="G620" s="1"/>
  <c r="F619"/>
  <c r="E619"/>
  <c r="G619" s="1"/>
  <c r="F618"/>
  <c r="E618"/>
  <c r="I618" s="1"/>
  <c r="F617"/>
  <c r="E617"/>
  <c r="F616"/>
  <c r="E616"/>
  <c r="F615"/>
  <c r="E615"/>
  <c r="F614"/>
  <c r="E614"/>
  <c r="F613"/>
  <c r="E613"/>
  <c r="I613" s="1"/>
  <c r="F612"/>
  <c r="E612"/>
  <c r="G612" s="1"/>
  <c r="F611"/>
  <c r="E611"/>
  <c r="F610"/>
  <c r="E610"/>
  <c r="G610" s="1"/>
  <c r="F609"/>
  <c r="E609"/>
  <c r="I609" s="1"/>
  <c r="F608"/>
  <c r="E608"/>
  <c r="F607"/>
  <c r="E607"/>
  <c r="E606"/>
  <c r="G606" s="1"/>
  <c r="F605"/>
  <c r="E605"/>
  <c r="I605" s="1"/>
  <c r="F604"/>
  <c r="E604"/>
  <c r="F603"/>
  <c r="E603"/>
  <c r="E602"/>
  <c r="F601"/>
  <c r="E601"/>
  <c r="I601" s="1"/>
  <c r="F600"/>
  <c r="E600"/>
  <c r="G600" s="1"/>
  <c r="F599"/>
  <c r="E599"/>
  <c r="I599" s="1"/>
  <c r="F598"/>
  <c r="E598"/>
  <c r="G598" s="1"/>
  <c r="F597"/>
  <c r="E597"/>
  <c r="F596"/>
  <c r="E596"/>
  <c r="F595"/>
  <c r="E595"/>
  <c r="I595" s="1"/>
  <c r="F594"/>
  <c r="E594"/>
  <c r="G594" s="1"/>
  <c r="F593"/>
  <c r="E593"/>
  <c r="I593" s="1"/>
  <c r="F592"/>
  <c r="E592"/>
  <c r="G592" s="1"/>
  <c r="F591"/>
  <c r="E591"/>
  <c r="I591" s="1"/>
  <c r="F590"/>
  <c r="E590"/>
  <c r="F589"/>
  <c r="E589"/>
  <c r="F588"/>
  <c r="E588"/>
  <c r="F587"/>
  <c r="E587"/>
  <c r="I587" s="1"/>
  <c r="F586"/>
  <c r="E586"/>
  <c r="G586" s="1"/>
  <c r="F585"/>
  <c r="E585"/>
  <c r="F584"/>
  <c r="E584"/>
  <c r="G584" s="1"/>
  <c r="F583"/>
  <c r="E583"/>
  <c r="F582"/>
  <c r="E582"/>
  <c r="H582" s="1"/>
  <c r="F581"/>
  <c r="E581"/>
  <c r="H581" s="1"/>
  <c r="F580"/>
  <c r="E580"/>
  <c r="F579"/>
  <c r="E579"/>
  <c r="G579" s="1"/>
  <c r="F578"/>
  <c r="E578"/>
  <c r="I578" s="1"/>
  <c r="F577"/>
  <c r="E577"/>
  <c r="G577" s="1"/>
  <c r="F576"/>
  <c r="E576"/>
  <c r="I576" s="1"/>
  <c r="F575"/>
  <c r="E575"/>
  <c r="F574"/>
  <c r="E574"/>
  <c r="F573"/>
  <c r="E573"/>
  <c r="H573" s="1"/>
  <c r="F572"/>
  <c r="E572"/>
  <c r="I572" s="1"/>
  <c r="F571"/>
  <c r="E571"/>
  <c r="G571" s="1"/>
  <c r="F570"/>
  <c r="E570"/>
  <c r="I570" s="1"/>
  <c r="F569"/>
  <c r="E569"/>
  <c r="G569" s="1"/>
  <c r="F568"/>
  <c r="E568"/>
  <c r="I568" s="1"/>
  <c r="F567"/>
  <c r="E567"/>
  <c r="F566"/>
  <c r="E566"/>
  <c r="F565"/>
  <c r="E565"/>
  <c r="H565" s="1"/>
  <c r="F564"/>
  <c r="E564"/>
  <c r="I564" s="1"/>
  <c r="F563"/>
  <c r="E563"/>
  <c r="G563" s="1"/>
  <c r="F562"/>
  <c r="E562"/>
  <c r="I562" s="1"/>
  <c r="F561"/>
  <c r="E561"/>
  <c r="G561" s="1"/>
  <c r="F560"/>
  <c r="E560"/>
  <c r="I560" s="1"/>
  <c r="F559"/>
  <c r="E559"/>
  <c r="F558"/>
  <c r="E558"/>
  <c r="H558" s="1"/>
  <c r="F557"/>
  <c r="E557"/>
  <c r="F556"/>
  <c r="E556"/>
  <c r="F555"/>
  <c r="E555"/>
  <c r="G555" s="1"/>
  <c r="F554"/>
  <c r="E554"/>
  <c r="H554" s="1"/>
  <c r="F553"/>
  <c r="E553"/>
  <c r="G553" s="1"/>
  <c r="F552"/>
  <c r="E552"/>
  <c r="I552" s="1"/>
  <c r="F551"/>
  <c r="E551"/>
  <c r="F550"/>
  <c r="E550"/>
  <c r="H550" s="1"/>
  <c r="F549"/>
  <c r="E549"/>
  <c r="F548"/>
  <c r="E548"/>
  <c r="I548" s="1"/>
  <c r="E547"/>
  <c r="G547" s="1"/>
  <c r="F546"/>
  <c r="E546"/>
  <c r="F545"/>
  <c r="E545"/>
  <c r="F544"/>
  <c r="E544"/>
  <c r="G544" s="1"/>
  <c r="F543"/>
  <c r="E543"/>
  <c r="F542"/>
  <c r="E542"/>
  <c r="G542" s="1"/>
  <c r="F541"/>
  <c r="E541"/>
  <c r="I541" s="1"/>
  <c r="F540"/>
  <c r="E540"/>
  <c r="F539"/>
  <c r="E539"/>
  <c r="F538"/>
  <c r="E538"/>
  <c r="F537"/>
  <c r="E537"/>
  <c r="F536"/>
  <c r="E536"/>
  <c r="G536" s="1"/>
  <c r="F535"/>
  <c r="E535"/>
  <c r="F534"/>
  <c r="E534"/>
  <c r="G534" s="1"/>
  <c r="F533"/>
  <c r="E533"/>
  <c r="I533" s="1"/>
  <c r="F532"/>
  <c r="E532"/>
  <c r="F531"/>
  <c r="E531"/>
  <c r="E530"/>
  <c r="F529"/>
  <c r="E529"/>
  <c r="G529" s="1"/>
  <c r="F528"/>
  <c r="E528"/>
  <c r="H528" s="1"/>
  <c r="F527"/>
  <c r="E527"/>
  <c r="G527" s="1"/>
  <c r="F526"/>
  <c r="E526"/>
  <c r="I526" s="1"/>
  <c r="F525"/>
  <c r="E525"/>
  <c r="F524"/>
  <c r="E524"/>
  <c r="F523"/>
  <c r="E523"/>
  <c r="F522"/>
  <c r="E522"/>
  <c r="E521"/>
  <c r="I521" s="1"/>
  <c r="E520"/>
  <c r="F519"/>
  <c r="E519"/>
  <c r="G519" s="1"/>
  <c r="F518"/>
  <c r="E518"/>
  <c r="F517"/>
  <c r="E517"/>
  <c r="G517" s="1"/>
  <c r="F516"/>
  <c r="E516"/>
  <c r="I516" s="1"/>
  <c r="F515"/>
  <c r="E515"/>
  <c r="G515" s="1"/>
  <c r="F514"/>
  <c r="E514"/>
  <c r="E513"/>
  <c r="G513" s="1"/>
  <c r="F512"/>
  <c r="E512"/>
  <c r="I512" s="1"/>
  <c r="F511"/>
  <c r="E511"/>
  <c r="H511" s="1"/>
  <c r="F510"/>
  <c r="E510"/>
  <c r="F509"/>
  <c r="E509"/>
  <c r="F508"/>
  <c r="E508"/>
  <c r="G508" s="1"/>
  <c r="E507"/>
  <c r="G507" s="1"/>
  <c r="F506"/>
  <c r="E506"/>
  <c r="F505"/>
  <c r="E505"/>
  <c r="G505" s="1"/>
  <c r="F504"/>
  <c r="E504"/>
  <c r="F503"/>
  <c r="E503"/>
  <c r="G503" s="1"/>
  <c r="F502"/>
  <c r="E502"/>
  <c r="I502" s="1"/>
  <c r="F501"/>
  <c r="E501"/>
  <c r="F500"/>
  <c r="E500"/>
  <c r="F499"/>
  <c r="E499"/>
  <c r="F498"/>
  <c r="E498"/>
  <c r="F497"/>
  <c r="E497"/>
  <c r="G497" s="1"/>
  <c r="F496"/>
  <c r="E496"/>
  <c r="F495"/>
  <c r="E495"/>
  <c r="G495" s="1"/>
  <c r="F494"/>
  <c r="E494"/>
  <c r="I494" s="1"/>
  <c r="F493"/>
  <c r="E493"/>
  <c r="I493" s="1"/>
  <c r="F492"/>
  <c r="E492"/>
  <c r="F491"/>
  <c r="E491"/>
  <c r="F490"/>
  <c r="E490"/>
  <c r="F489"/>
  <c r="E489"/>
  <c r="G489" s="1"/>
  <c r="F488"/>
  <c r="E488"/>
  <c r="F487"/>
  <c r="E487"/>
  <c r="G487" s="1"/>
  <c r="F486"/>
  <c r="E486"/>
  <c r="I486" s="1"/>
  <c r="F485"/>
  <c r="E485"/>
  <c r="F484"/>
  <c r="E484"/>
  <c r="F483"/>
  <c r="E483"/>
  <c r="F482"/>
  <c r="E482"/>
  <c r="F481"/>
  <c r="E481"/>
  <c r="G481" s="1"/>
  <c r="F480"/>
  <c r="E480"/>
  <c r="I480" s="1"/>
  <c r="F479"/>
  <c r="E479"/>
  <c r="G479" s="1"/>
  <c r="F478"/>
  <c r="E478"/>
  <c r="I478" s="1"/>
  <c r="F477"/>
  <c r="E477"/>
  <c r="F476"/>
  <c r="E476"/>
  <c r="F475"/>
  <c r="E475"/>
  <c r="F474"/>
  <c r="E474"/>
  <c r="F473"/>
  <c r="E473"/>
  <c r="G473" s="1"/>
  <c r="F472"/>
  <c r="E472"/>
  <c r="H472" s="1"/>
  <c r="F471"/>
  <c r="E471"/>
  <c r="G471" s="1"/>
  <c r="F470"/>
  <c r="E470"/>
  <c r="I470" s="1"/>
  <c r="F469"/>
  <c r="E469"/>
  <c r="G469" s="1"/>
  <c r="F468"/>
  <c r="E468"/>
  <c r="I468" s="1"/>
  <c r="F467"/>
  <c r="E467"/>
  <c r="F466"/>
  <c r="E466"/>
  <c r="F465"/>
  <c r="E465"/>
  <c r="G465" s="1"/>
  <c r="F464"/>
  <c r="E464"/>
  <c r="H464" s="1"/>
  <c r="F463"/>
  <c r="E463"/>
  <c r="G463" s="1"/>
  <c r="F462"/>
  <c r="E462"/>
  <c r="I462" s="1"/>
  <c r="F461"/>
  <c r="E461"/>
  <c r="F460"/>
  <c r="E460"/>
  <c r="F459"/>
  <c r="E459"/>
  <c r="F458"/>
  <c r="E458"/>
  <c r="F457"/>
  <c r="E457"/>
  <c r="G457" s="1"/>
  <c r="F456"/>
  <c r="E456"/>
  <c r="F455"/>
  <c r="E455"/>
  <c r="G455" s="1"/>
  <c r="F454"/>
  <c r="E454"/>
  <c r="I454" s="1"/>
  <c r="F453"/>
  <c r="E453"/>
  <c r="I453" s="1"/>
  <c r="F452"/>
  <c r="E452"/>
  <c r="H452" s="1"/>
  <c r="F451"/>
  <c r="E451"/>
  <c r="F450"/>
  <c r="E450"/>
  <c r="F449"/>
  <c r="E449"/>
  <c r="G449" s="1"/>
  <c r="F448"/>
  <c r="E448"/>
  <c r="I448" s="1"/>
  <c r="F447"/>
  <c r="E447"/>
  <c r="G447" s="1"/>
  <c r="F446"/>
  <c r="E446"/>
  <c r="I446" s="1"/>
  <c r="F445"/>
  <c r="E445"/>
  <c r="F444"/>
  <c r="E444"/>
  <c r="F443"/>
  <c r="E443"/>
  <c r="F442"/>
  <c r="E442"/>
  <c r="F441"/>
  <c r="E441"/>
  <c r="G441" s="1"/>
  <c r="F440"/>
  <c r="E440"/>
  <c r="G440" s="1"/>
  <c r="F439"/>
  <c r="E439"/>
  <c r="G439" s="1"/>
  <c r="F438"/>
  <c r="E438"/>
  <c r="I438" s="1"/>
  <c r="F437"/>
  <c r="E437"/>
  <c r="G437" s="1"/>
  <c r="F436"/>
  <c r="E436"/>
  <c r="F435"/>
  <c r="E435"/>
  <c r="F434"/>
  <c r="E434"/>
  <c r="F433"/>
  <c r="E433"/>
  <c r="G433" s="1"/>
  <c r="F432"/>
  <c r="E432"/>
  <c r="F431"/>
  <c r="E431"/>
  <c r="G431" s="1"/>
  <c r="E430"/>
  <c r="I430" s="1"/>
  <c r="F429"/>
  <c r="E429"/>
  <c r="F428"/>
  <c r="E428"/>
  <c r="I428" s="1"/>
  <c r="F427"/>
  <c r="E427"/>
  <c r="F426"/>
  <c r="E426"/>
  <c r="G426" s="1"/>
  <c r="F425"/>
  <c r="E425"/>
  <c r="I425" s="1"/>
  <c r="F424"/>
  <c r="E424"/>
  <c r="G424" s="1"/>
  <c r="F423"/>
  <c r="E423"/>
  <c r="I423" s="1"/>
  <c r="F422"/>
  <c r="E422"/>
  <c r="F421"/>
  <c r="E421"/>
  <c r="G421" s="1"/>
  <c r="F420"/>
  <c r="E420"/>
  <c r="F419"/>
  <c r="E419"/>
  <c r="I419" s="1"/>
  <c r="F418"/>
  <c r="E418"/>
  <c r="G418" s="1"/>
  <c r="E417"/>
  <c r="F416"/>
  <c r="E416"/>
  <c r="F415"/>
  <c r="E415"/>
  <c r="G415" s="1"/>
  <c r="F414"/>
  <c r="E414"/>
  <c r="H414" s="1"/>
  <c r="F413"/>
  <c r="E413"/>
  <c r="G413" s="1"/>
  <c r="F412"/>
  <c r="E412"/>
  <c r="I412" s="1"/>
  <c r="F411"/>
  <c r="E411"/>
  <c r="F410"/>
  <c r="E410"/>
  <c r="F409"/>
  <c r="E409"/>
  <c r="F408"/>
  <c r="E408"/>
  <c r="F407"/>
  <c r="E407"/>
  <c r="G407" s="1"/>
  <c r="F406"/>
  <c r="E406"/>
  <c r="I406" s="1"/>
  <c r="F405"/>
  <c r="E405"/>
  <c r="G405" s="1"/>
  <c r="F404"/>
  <c r="E404"/>
  <c r="I404" s="1"/>
  <c r="F403"/>
  <c r="E403"/>
  <c r="F402"/>
  <c r="E402"/>
  <c r="F401"/>
  <c r="E401"/>
  <c r="E400"/>
  <c r="F399"/>
  <c r="E399"/>
  <c r="F398"/>
  <c r="E398"/>
  <c r="G398" s="1"/>
  <c r="F397"/>
  <c r="E397"/>
  <c r="I397" s="1"/>
  <c r="F396"/>
  <c r="E396"/>
  <c r="G396" s="1"/>
  <c r="F395"/>
  <c r="E395"/>
  <c r="E394"/>
  <c r="G394" s="1"/>
  <c r="F393"/>
  <c r="E393"/>
  <c r="F392"/>
  <c r="E392"/>
  <c r="F391"/>
  <c r="E391"/>
  <c r="F390"/>
  <c r="E390"/>
  <c r="F389"/>
  <c r="E389"/>
  <c r="G389" s="1"/>
  <c r="F388"/>
  <c r="E388"/>
  <c r="I388" s="1"/>
  <c r="F387"/>
  <c r="E387"/>
  <c r="G387" s="1"/>
  <c r="E386"/>
  <c r="I386" s="1"/>
  <c r="F385"/>
  <c r="E385"/>
  <c r="F384"/>
  <c r="E384"/>
  <c r="F383"/>
  <c r="E383"/>
  <c r="I383" s="1"/>
  <c r="F382"/>
  <c r="E382"/>
  <c r="G382" s="1"/>
  <c r="F381"/>
  <c r="E381"/>
  <c r="H381" s="1"/>
  <c r="F380"/>
  <c r="E380"/>
  <c r="G380" s="1"/>
  <c r="F379"/>
  <c r="E379"/>
  <c r="I379" s="1"/>
  <c r="F378"/>
  <c r="E378"/>
  <c r="F377"/>
  <c r="E377"/>
  <c r="F376"/>
  <c r="E376"/>
  <c r="F375"/>
  <c r="E375"/>
  <c r="F374"/>
  <c r="E374"/>
  <c r="G374" s="1"/>
  <c r="F373"/>
  <c r="E373"/>
  <c r="F372"/>
  <c r="E372"/>
  <c r="G372" s="1"/>
  <c r="F371"/>
  <c r="E371"/>
  <c r="I371" s="1"/>
  <c r="F370"/>
  <c r="E370"/>
  <c r="F369"/>
  <c r="E369"/>
  <c r="I369" s="1"/>
  <c r="F368"/>
  <c r="E368"/>
  <c r="E367"/>
  <c r="I367" s="1"/>
  <c r="F366"/>
  <c r="E366"/>
  <c r="H366" s="1"/>
  <c r="F365"/>
  <c r="E365"/>
  <c r="F364"/>
  <c r="E364"/>
  <c r="F363"/>
  <c r="E363"/>
  <c r="G363" s="1"/>
  <c r="F362"/>
  <c r="E362"/>
  <c r="I362" s="1"/>
  <c r="F361"/>
  <c r="E361"/>
  <c r="G361" s="1"/>
  <c r="F360"/>
  <c r="E360"/>
  <c r="I360" s="1"/>
  <c r="F359"/>
  <c r="E359"/>
  <c r="F358"/>
  <c r="E358"/>
  <c r="F357"/>
  <c r="E357"/>
  <c r="F356"/>
  <c r="E356"/>
  <c r="F355"/>
  <c r="E355"/>
  <c r="G355" s="1"/>
  <c r="E354"/>
  <c r="I354" s="1"/>
  <c r="E353"/>
  <c r="I353" s="1"/>
  <c r="F352"/>
  <c r="E352"/>
  <c r="F351"/>
  <c r="E351"/>
  <c r="G351" s="1"/>
  <c r="F350"/>
  <c r="E350"/>
  <c r="I350" s="1"/>
  <c r="F349"/>
  <c r="E349"/>
  <c r="F348"/>
  <c r="E348"/>
  <c r="F347"/>
  <c r="E347"/>
  <c r="F346"/>
  <c r="E346"/>
  <c r="F345"/>
  <c r="E345"/>
  <c r="G345" s="1"/>
  <c r="F344"/>
  <c r="E344"/>
  <c r="I344" s="1"/>
  <c r="F343"/>
  <c r="E343"/>
  <c r="G343" s="1"/>
  <c r="F342"/>
  <c r="E342"/>
  <c r="I342" s="1"/>
  <c r="F341"/>
  <c r="E341"/>
  <c r="F340"/>
  <c r="E340"/>
  <c r="F339"/>
  <c r="E339"/>
  <c r="F338"/>
  <c r="E338"/>
  <c r="F337"/>
  <c r="E337"/>
  <c r="G337" s="1"/>
  <c r="F336"/>
  <c r="E336"/>
  <c r="F335"/>
  <c r="E335"/>
  <c r="G335" s="1"/>
  <c r="F334"/>
  <c r="E334"/>
  <c r="I334" s="1"/>
  <c r="F333"/>
  <c r="E333"/>
  <c r="G333" s="1"/>
  <c r="F332"/>
  <c r="E332"/>
  <c r="F331"/>
  <c r="E331"/>
  <c r="F330"/>
  <c r="E330"/>
  <c r="F329"/>
  <c r="E329"/>
  <c r="G329" s="1"/>
  <c r="F328"/>
  <c r="E328"/>
  <c r="H328" s="1"/>
  <c r="F327"/>
  <c r="E327"/>
  <c r="G327" s="1"/>
  <c r="E326"/>
  <c r="I326" s="1"/>
  <c r="F325"/>
  <c r="E325"/>
  <c r="F324"/>
  <c r="E324"/>
  <c r="F323"/>
  <c r="E323"/>
  <c r="I323" s="1"/>
  <c r="F322"/>
  <c r="E322"/>
  <c r="G322" s="1"/>
  <c r="F321"/>
  <c r="E321"/>
  <c r="F320"/>
  <c r="E320"/>
  <c r="G320" s="1"/>
  <c r="F319"/>
  <c r="E319"/>
  <c r="I319" s="1"/>
  <c r="F318"/>
  <c r="E318"/>
  <c r="G318" s="1"/>
  <c r="F317"/>
  <c r="E317"/>
  <c r="I317" s="1"/>
  <c r="F316"/>
  <c r="E316"/>
  <c r="I316" s="1"/>
  <c r="F315"/>
  <c r="E315"/>
  <c r="F314"/>
  <c r="E314"/>
  <c r="G314" s="1"/>
  <c r="F313"/>
  <c r="E313"/>
  <c r="I313" s="1"/>
  <c r="F312"/>
  <c r="E312"/>
  <c r="G312" s="1"/>
  <c r="F311"/>
  <c r="E311"/>
  <c r="I311" s="1"/>
  <c r="F310"/>
  <c r="E310"/>
  <c r="F309"/>
  <c r="E309"/>
  <c r="F308"/>
  <c r="E308"/>
  <c r="F307"/>
  <c r="E307"/>
  <c r="F306"/>
  <c r="E306"/>
  <c r="G306" s="1"/>
  <c r="F305"/>
  <c r="E305"/>
  <c r="H305" s="1"/>
  <c r="F304"/>
  <c r="E304"/>
  <c r="G304" s="1"/>
  <c r="F303"/>
  <c r="E303"/>
  <c r="I303" s="1"/>
  <c r="F302"/>
  <c r="E302"/>
  <c r="E301"/>
  <c r="G301" s="1"/>
  <c r="F300"/>
  <c r="E300"/>
  <c r="I300" s="1"/>
  <c r="F299"/>
  <c r="E299"/>
  <c r="I299" s="1"/>
  <c r="F298"/>
  <c r="E298"/>
  <c r="F297"/>
  <c r="E297"/>
  <c r="F296"/>
  <c r="E296"/>
  <c r="F295"/>
  <c r="E295"/>
  <c r="G295" s="1"/>
  <c r="F294"/>
  <c r="E294"/>
  <c r="G294" s="1"/>
  <c r="F293"/>
  <c r="E293"/>
  <c r="G293" s="1"/>
  <c r="F292"/>
  <c r="E292"/>
  <c r="I292" s="1"/>
  <c r="F291"/>
  <c r="E291"/>
  <c r="I291" s="1"/>
  <c r="F290"/>
  <c r="E290"/>
  <c r="F289"/>
  <c r="E289"/>
  <c r="F288"/>
  <c r="E288"/>
  <c r="F287"/>
  <c r="E287"/>
  <c r="G287" s="1"/>
  <c r="F286"/>
  <c r="E286"/>
  <c r="F285"/>
  <c r="E285"/>
  <c r="G285" s="1"/>
  <c r="F284"/>
  <c r="E284"/>
  <c r="I284" s="1"/>
  <c r="F283"/>
  <c r="E283"/>
  <c r="F282"/>
  <c r="E282"/>
  <c r="F281"/>
  <c r="E281"/>
  <c r="F280"/>
  <c r="E280"/>
  <c r="F279"/>
  <c r="E279"/>
  <c r="G279" s="1"/>
  <c r="F278"/>
  <c r="E278"/>
  <c r="I278" s="1"/>
  <c r="F277"/>
  <c r="E277"/>
  <c r="G277" s="1"/>
  <c r="F276"/>
  <c r="E276"/>
  <c r="I276" s="1"/>
  <c r="F275"/>
  <c r="E275"/>
  <c r="F274"/>
  <c r="E274"/>
  <c r="H274" s="1"/>
  <c r="F273"/>
  <c r="E273"/>
  <c r="F272"/>
  <c r="E272"/>
  <c r="F271"/>
  <c r="E271"/>
  <c r="G271" s="1"/>
  <c r="F270"/>
  <c r="E270"/>
  <c r="H270" s="1"/>
  <c r="F269"/>
  <c r="E269"/>
  <c r="G269" s="1"/>
  <c r="E268"/>
  <c r="I268" s="1"/>
  <c r="E267"/>
  <c r="H267" s="1"/>
  <c r="F266"/>
  <c r="E266"/>
  <c r="I266" s="1"/>
  <c r="E265"/>
  <c r="I265" s="1"/>
  <c r="E264"/>
  <c r="G264" s="1"/>
  <c r="E263"/>
  <c r="H263" s="1"/>
  <c r="F262"/>
  <c r="E262"/>
  <c r="G262" s="1"/>
  <c r="F261"/>
  <c r="E261"/>
  <c r="I261" s="1"/>
  <c r="F260"/>
  <c r="E260"/>
  <c r="G260" s="1"/>
  <c r="F259"/>
  <c r="E259"/>
  <c r="G259" s="1"/>
  <c r="F258"/>
  <c r="E258"/>
  <c r="I258" s="1"/>
  <c r="F257"/>
  <c r="E257"/>
  <c r="I257" s="1"/>
  <c r="F256"/>
  <c r="E256"/>
  <c r="G256" s="1"/>
  <c r="F255"/>
  <c r="E255"/>
  <c r="F254"/>
  <c r="E254"/>
  <c r="G254" s="1"/>
  <c r="F253"/>
  <c r="E253"/>
  <c r="I253" s="1"/>
  <c r="F252"/>
  <c r="E252"/>
  <c r="F251"/>
  <c r="E251"/>
  <c r="H251" s="1"/>
  <c r="F250"/>
  <c r="E250"/>
  <c r="F249"/>
  <c r="E249"/>
  <c r="I249" s="1"/>
  <c r="F248"/>
  <c r="E248"/>
  <c r="G248" s="1"/>
  <c r="F247"/>
  <c r="E247"/>
  <c r="F246"/>
  <c r="E246"/>
  <c r="G246" s="1"/>
  <c r="F245"/>
  <c r="E245"/>
  <c r="I245" s="1"/>
  <c r="F244"/>
  <c r="E244"/>
  <c r="G244" s="1"/>
  <c r="F243"/>
  <c r="E243"/>
  <c r="I243" s="1"/>
  <c r="F242"/>
  <c r="E242"/>
  <c r="I242" s="1"/>
  <c r="F241"/>
  <c r="E241"/>
  <c r="I241" s="1"/>
  <c r="F240"/>
  <c r="E240"/>
  <c r="G240" s="1"/>
  <c r="F239"/>
  <c r="E239"/>
  <c r="I239" s="1"/>
  <c r="F238"/>
  <c r="E238"/>
  <c r="G238" s="1"/>
  <c r="F237"/>
  <c r="E237"/>
  <c r="I237" s="1"/>
  <c r="F236"/>
  <c r="E236"/>
  <c r="G236" s="1"/>
  <c r="F235"/>
  <c r="E235"/>
  <c r="I235" s="1"/>
  <c r="F234"/>
  <c r="E234"/>
  <c r="I234" s="1"/>
  <c r="F233"/>
  <c r="E233"/>
  <c r="I233" s="1"/>
  <c r="F232"/>
  <c r="E232"/>
  <c r="G232" s="1"/>
  <c r="F231"/>
  <c r="E231"/>
  <c r="I231" s="1"/>
  <c r="F230"/>
  <c r="E230"/>
  <c r="G230" s="1"/>
  <c r="F229"/>
  <c r="E229"/>
  <c r="I229" s="1"/>
  <c r="F228"/>
  <c r="E228"/>
  <c r="G228" s="1"/>
  <c r="F227"/>
  <c r="E227"/>
  <c r="I227" s="1"/>
  <c r="F226"/>
  <c r="E226"/>
  <c r="I226" s="1"/>
  <c r="F225"/>
  <c r="E225"/>
  <c r="F224"/>
  <c r="E224"/>
  <c r="G224" s="1"/>
  <c r="F223"/>
  <c r="E223"/>
  <c r="E222"/>
  <c r="G222" s="1"/>
  <c r="E221"/>
  <c r="E220"/>
  <c r="E219"/>
  <c r="E218"/>
  <c r="G218" s="1"/>
  <c r="F217"/>
  <c r="E217"/>
  <c r="G217" s="1"/>
  <c r="F216"/>
  <c r="E216"/>
  <c r="I216" s="1"/>
  <c r="F215"/>
  <c r="E215"/>
  <c r="E214"/>
  <c r="F213"/>
  <c r="E213"/>
  <c r="I213" s="1"/>
  <c r="F212"/>
  <c r="E212"/>
  <c r="G212" s="1"/>
  <c r="F211"/>
  <c r="E211"/>
  <c r="I211" s="1"/>
  <c r="F210"/>
  <c r="E210"/>
  <c r="G210" s="1"/>
  <c r="F209"/>
  <c r="E209"/>
  <c r="I209" s="1"/>
  <c r="F208"/>
  <c r="E208"/>
  <c r="I208" s="1"/>
  <c r="F207"/>
  <c r="E207"/>
  <c r="F206"/>
  <c r="E206"/>
  <c r="G206" s="1"/>
  <c r="F205"/>
  <c r="E205"/>
  <c r="I205" s="1"/>
  <c r="F204"/>
  <c r="E204"/>
  <c r="G204" s="1"/>
  <c r="F203"/>
  <c r="E203"/>
  <c r="I203" s="1"/>
  <c r="F202"/>
  <c r="E202"/>
  <c r="G202" s="1"/>
  <c r="F201"/>
  <c r="E201"/>
  <c r="E200"/>
  <c r="G200" s="1"/>
  <c r="E199"/>
  <c r="F198"/>
  <c r="E198"/>
  <c r="G198" s="1"/>
  <c r="F197"/>
  <c r="E197"/>
  <c r="I197" s="1"/>
  <c r="F196"/>
  <c r="E196"/>
  <c r="F195"/>
  <c r="E195"/>
  <c r="I195" s="1"/>
  <c r="F194"/>
  <c r="E194"/>
  <c r="F193"/>
  <c r="E193"/>
  <c r="F192"/>
  <c r="E192"/>
  <c r="G192" s="1"/>
  <c r="F191"/>
  <c r="E191"/>
  <c r="I191" s="1"/>
  <c r="F190"/>
  <c r="E190"/>
  <c r="G190" s="1"/>
  <c r="F189"/>
  <c r="E189"/>
  <c r="I189" s="1"/>
  <c r="F188"/>
  <c r="E188"/>
  <c r="F187"/>
  <c r="E187"/>
  <c r="F186"/>
  <c r="E186"/>
  <c r="G186" s="1"/>
  <c r="F185"/>
  <c r="E185"/>
  <c r="H185" s="1"/>
  <c r="F184"/>
  <c r="E184"/>
  <c r="I184" s="1"/>
  <c r="F183"/>
  <c r="E183"/>
  <c r="F182"/>
  <c r="E182"/>
  <c r="F181"/>
  <c r="E181"/>
  <c r="G181" s="1"/>
  <c r="F180"/>
  <c r="E180"/>
  <c r="G180" s="1"/>
  <c r="F179"/>
  <c r="E179"/>
  <c r="H179" s="1"/>
  <c r="F178"/>
  <c r="E178"/>
  <c r="F177"/>
  <c r="E177"/>
  <c r="G177" s="1"/>
  <c r="F176"/>
  <c r="E176"/>
  <c r="H176" s="1"/>
  <c r="F175"/>
  <c r="E175"/>
  <c r="G175" s="1"/>
  <c r="F174"/>
  <c r="E174"/>
  <c r="G174" s="1"/>
  <c r="F173"/>
  <c r="E173"/>
  <c r="F172"/>
  <c r="E172"/>
  <c r="H172" s="1"/>
  <c r="F171"/>
  <c r="E171"/>
  <c r="I171" s="1"/>
  <c r="E170"/>
  <c r="I170" s="1"/>
  <c r="F169"/>
  <c r="E169"/>
  <c r="H169" s="1"/>
  <c r="F168"/>
  <c r="E168"/>
  <c r="H168" s="1"/>
  <c r="F167"/>
  <c r="E167"/>
  <c r="G167" s="1"/>
  <c r="F166"/>
  <c r="E166"/>
  <c r="H166" s="1"/>
  <c r="F165"/>
  <c r="E165"/>
  <c r="F164"/>
  <c r="E164"/>
  <c r="I164" s="1"/>
  <c r="F163"/>
  <c r="E163"/>
  <c r="F162"/>
  <c r="E162"/>
  <c r="F161"/>
  <c r="E161"/>
  <c r="G161" s="1"/>
  <c r="F160"/>
  <c r="E160"/>
  <c r="F159"/>
  <c r="E159"/>
  <c r="I159" s="1"/>
  <c r="F158"/>
  <c r="E158"/>
  <c r="G158" s="1"/>
  <c r="F157"/>
  <c r="E157"/>
  <c r="F156"/>
  <c r="E156"/>
  <c r="G156" s="1"/>
  <c r="F155"/>
  <c r="E155"/>
  <c r="G155" s="1"/>
  <c r="F154"/>
  <c r="E154"/>
  <c r="F153"/>
  <c r="E153"/>
  <c r="H153" s="1"/>
  <c r="F152"/>
  <c r="E152"/>
  <c r="I152" s="1"/>
  <c r="F151"/>
  <c r="E151"/>
  <c r="G151" s="1"/>
  <c r="F150"/>
  <c r="E150"/>
  <c r="H150" s="1"/>
  <c r="F149"/>
  <c r="E149"/>
  <c r="I149" s="1"/>
  <c r="F148"/>
  <c r="E148"/>
  <c r="I148" s="1"/>
  <c r="F147"/>
  <c r="E147"/>
  <c r="F146"/>
  <c r="E146"/>
  <c r="G146" s="1"/>
  <c r="F145"/>
  <c r="E145"/>
  <c r="G145" s="1"/>
  <c r="F144"/>
  <c r="E144"/>
  <c r="F143"/>
  <c r="E143"/>
  <c r="H143" s="1"/>
  <c r="F142"/>
  <c r="E142"/>
  <c r="G142" s="1"/>
  <c r="F141"/>
  <c r="E141"/>
  <c r="I141" s="1"/>
  <c r="F140"/>
  <c r="E140"/>
  <c r="G140" s="1"/>
  <c r="F139"/>
  <c r="E139"/>
  <c r="G139" s="1"/>
  <c r="F138"/>
  <c r="E138"/>
  <c r="I138" s="1"/>
  <c r="F137"/>
  <c r="E137"/>
  <c r="H137" s="1"/>
  <c r="F136"/>
  <c r="E136"/>
  <c r="H136" s="1"/>
  <c r="E135"/>
  <c r="I135" s="1"/>
  <c r="F134"/>
  <c r="E134"/>
  <c r="H134" s="1"/>
  <c r="E133"/>
  <c r="G133" s="1"/>
  <c r="F132"/>
  <c r="E132"/>
  <c r="I132" s="1"/>
  <c r="F131"/>
  <c r="E131"/>
  <c r="H131" s="1"/>
  <c r="F130"/>
  <c r="E130"/>
  <c r="G130" s="1"/>
  <c r="F129"/>
  <c r="E129"/>
  <c r="G129" s="1"/>
  <c r="F128"/>
  <c r="E128"/>
  <c r="H128" s="1"/>
  <c r="F127"/>
  <c r="E127"/>
  <c r="F126"/>
  <c r="E126"/>
  <c r="F125"/>
  <c r="E125"/>
  <c r="F124"/>
  <c r="E124"/>
  <c r="G124" s="1"/>
  <c r="F123"/>
  <c r="E123"/>
  <c r="G123" s="1"/>
  <c r="F122"/>
  <c r="E122"/>
  <c r="H122" s="1"/>
  <c r="F121"/>
  <c r="E121"/>
  <c r="F120"/>
  <c r="E120"/>
  <c r="G120" s="1"/>
  <c r="F119"/>
  <c r="E119"/>
  <c r="H119" s="1"/>
  <c r="F118"/>
  <c r="E118"/>
  <c r="G118" s="1"/>
  <c r="F117"/>
  <c r="E117"/>
  <c r="E116"/>
  <c r="H116" s="1"/>
  <c r="F115"/>
  <c r="E115"/>
  <c r="F114"/>
  <c r="E114"/>
  <c r="I114" s="1"/>
  <c r="F113"/>
  <c r="E113"/>
  <c r="G113" s="1"/>
  <c r="F112"/>
  <c r="E112"/>
  <c r="F111"/>
  <c r="E111"/>
  <c r="G111" s="1"/>
  <c r="F110"/>
  <c r="E110"/>
  <c r="G110" s="1"/>
  <c r="F109"/>
  <c r="E109"/>
  <c r="F108"/>
  <c r="E108"/>
  <c r="H108" s="1"/>
  <c r="E107"/>
  <c r="H107" s="1"/>
  <c r="F106"/>
  <c r="E106"/>
  <c r="I106" s="1"/>
  <c r="F105"/>
  <c r="E105"/>
  <c r="H105" s="1"/>
  <c r="F104"/>
  <c r="E104"/>
  <c r="H104" s="1"/>
  <c r="F103"/>
  <c r="E103"/>
  <c r="G103" s="1"/>
  <c r="F102"/>
  <c r="E102"/>
  <c r="H102" s="1"/>
  <c r="F101"/>
  <c r="E101"/>
  <c r="F100"/>
  <c r="E100"/>
  <c r="I100" s="1"/>
  <c r="F99"/>
  <c r="E99"/>
  <c r="F98"/>
  <c r="E98"/>
  <c r="F97"/>
  <c r="E97"/>
  <c r="G97" s="1"/>
  <c r="F96"/>
  <c r="E96"/>
  <c r="F95"/>
  <c r="E95"/>
  <c r="I95" s="1"/>
  <c r="F94"/>
  <c r="E94"/>
  <c r="G94" s="1"/>
  <c r="F93"/>
  <c r="E93"/>
  <c r="F92"/>
  <c r="E92"/>
  <c r="G92" s="1"/>
  <c r="F91"/>
  <c r="E91"/>
  <c r="G91" s="1"/>
  <c r="F90"/>
  <c r="E90"/>
  <c r="I90" s="1"/>
  <c r="F89"/>
  <c r="E89"/>
  <c r="H89" s="1"/>
  <c r="F88"/>
  <c r="E88"/>
  <c r="H88" s="1"/>
  <c r="F87"/>
  <c r="E87"/>
  <c r="G87" s="1"/>
  <c r="E86"/>
  <c r="H86" s="1"/>
  <c r="F85"/>
  <c r="E85"/>
  <c r="G85" s="1"/>
  <c r="F84"/>
  <c r="E84"/>
  <c r="G84" s="1"/>
  <c r="F83"/>
  <c r="E83"/>
  <c r="I83" s="1"/>
  <c r="F82"/>
  <c r="E82"/>
  <c r="H82" s="1"/>
  <c r="F81"/>
  <c r="E81"/>
  <c r="H81" s="1"/>
  <c r="F80"/>
  <c r="E80"/>
  <c r="G80" s="1"/>
  <c r="F79"/>
  <c r="E79"/>
  <c r="H79" s="1"/>
  <c r="F78"/>
  <c r="E78"/>
  <c r="I78" s="1"/>
  <c r="F77"/>
  <c r="E77"/>
  <c r="I77" s="1"/>
  <c r="F76"/>
  <c r="E76"/>
  <c r="F75"/>
  <c r="E75"/>
  <c r="G75" s="1"/>
  <c r="F74"/>
  <c r="E74"/>
  <c r="G74" s="1"/>
  <c r="E73"/>
  <c r="H73" s="1"/>
  <c r="F72"/>
  <c r="E72"/>
  <c r="G72" s="1"/>
  <c r="F71"/>
  <c r="E71"/>
  <c r="G71" s="1"/>
  <c r="F70"/>
  <c r="E70"/>
  <c r="H70" s="1"/>
  <c r="F69"/>
  <c r="E69"/>
  <c r="I69" s="1"/>
  <c r="F68"/>
  <c r="E68"/>
  <c r="G68" s="1"/>
  <c r="F67"/>
  <c r="E67"/>
  <c r="H67" s="1"/>
  <c r="F66"/>
  <c r="E66"/>
  <c r="G66" s="1"/>
  <c r="F65"/>
  <c r="E65"/>
  <c r="F64"/>
  <c r="E64"/>
  <c r="I64" s="1"/>
  <c r="F63"/>
  <c r="E63"/>
  <c r="H63" s="1"/>
  <c r="E62"/>
  <c r="F61"/>
  <c r="E61"/>
  <c r="E60"/>
  <c r="G60" s="1"/>
  <c r="E59"/>
  <c r="F58"/>
  <c r="E58"/>
  <c r="F57"/>
  <c r="E57"/>
  <c r="G57" s="1"/>
  <c r="F56"/>
  <c r="E56"/>
  <c r="G56" s="1"/>
  <c r="F55"/>
  <c r="E55"/>
  <c r="F54"/>
  <c r="E54"/>
  <c r="H54" s="1"/>
  <c r="F53"/>
  <c r="E53"/>
  <c r="I53" s="1"/>
  <c r="F52"/>
  <c r="E52"/>
  <c r="G52" s="1"/>
  <c r="F51"/>
  <c r="E51"/>
  <c r="H51" s="1"/>
  <c r="F50"/>
  <c r="E50"/>
  <c r="F49"/>
  <c r="E49"/>
  <c r="I49" s="1"/>
  <c r="F48"/>
  <c r="E48"/>
  <c r="F47"/>
  <c r="E47"/>
  <c r="G47" s="1"/>
  <c r="F46"/>
  <c r="E46"/>
  <c r="G46" s="1"/>
  <c r="F45"/>
  <c r="E45"/>
  <c r="H45" s="1"/>
  <c r="F44"/>
  <c r="E44"/>
  <c r="I44" s="1"/>
  <c r="F43"/>
  <c r="E43"/>
  <c r="G43" s="1"/>
  <c r="F42"/>
  <c r="E42"/>
  <c r="H42" s="1"/>
  <c r="F41"/>
  <c r="E41"/>
  <c r="G41" s="1"/>
  <c r="F40"/>
  <c r="E40"/>
  <c r="F39"/>
  <c r="E39"/>
  <c r="F38"/>
  <c r="E38"/>
  <c r="H38" s="1"/>
  <c r="F37"/>
  <c r="E37"/>
  <c r="I37" s="1"/>
  <c r="F36"/>
  <c r="E36"/>
  <c r="G36" s="1"/>
  <c r="F35"/>
  <c r="E35"/>
  <c r="H35" s="1"/>
  <c r="F34"/>
  <c r="E34"/>
  <c r="E33"/>
  <c r="F32"/>
  <c r="E32"/>
  <c r="H32" s="1"/>
  <c r="F31"/>
  <c r="E31"/>
  <c r="I31" s="1"/>
  <c r="F30"/>
  <c r="E30"/>
  <c r="I30" s="1"/>
  <c r="F29"/>
  <c r="E29"/>
  <c r="F28"/>
  <c r="E28"/>
  <c r="F27"/>
  <c r="E27"/>
  <c r="G27" s="1"/>
  <c r="F26"/>
  <c r="E26"/>
  <c r="H26" s="1"/>
  <c r="F25"/>
  <c r="E25"/>
  <c r="I25" s="1"/>
  <c r="F24"/>
  <c r="E24"/>
  <c r="G24" s="1"/>
  <c r="F23"/>
  <c r="E23"/>
  <c r="H23" s="1"/>
  <c r="F22"/>
  <c r="E22"/>
  <c r="F21"/>
  <c r="E21"/>
  <c r="G21" s="1"/>
  <c r="F20"/>
  <c r="E20"/>
  <c r="I20" s="1"/>
  <c r="F19"/>
  <c r="E19"/>
  <c r="F18"/>
  <c r="E18"/>
  <c r="H18" s="1"/>
  <c r="F17"/>
  <c r="E17"/>
  <c r="G17" s="1"/>
  <c r="F16"/>
  <c r="E16"/>
  <c r="I16" s="1"/>
  <c r="F15"/>
  <c r="E15"/>
  <c r="I15" s="1"/>
  <c r="F14"/>
  <c r="E14"/>
  <c r="H14" s="1"/>
  <c r="F13"/>
  <c r="E13"/>
  <c r="G13" s="1"/>
  <c r="F12"/>
  <c r="E12"/>
  <c r="H12" s="1"/>
  <c r="E11"/>
  <c r="I11" s="1"/>
  <c r="E10"/>
  <c r="G10" s="1"/>
  <c r="F9"/>
  <c r="E9"/>
  <c r="I9" s="1"/>
  <c r="F8"/>
  <c r="E8"/>
  <c r="H8" s="1"/>
  <c r="F7"/>
  <c r="E7"/>
  <c r="G7" s="1"/>
  <c r="F6"/>
  <c r="E6"/>
  <c r="I6" s="1"/>
  <c r="F5"/>
  <c r="E5"/>
  <c r="I5" s="1"/>
  <c r="F4"/>
  <c r="E4"/>
  <c r="F3"/>
  <c r="E3"/>
  <c r="G3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s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s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s="1"/>
  <c r="A1042" s="1"/>
  <c r="A1043" s="1"/>
  <c r="A1044" s="1"/>
  <c r="A1045" s="1"/>
  <c r="A1046" s="1"/>
  <c r="A1047" s="1"/>
  <c r="A1048" s="1"/>
  <c r="A1049" s="1"/>
  <c r="A1050" s="1"/>
  <c r="A1051" s="1"/>
  <c r="A1052" s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s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s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s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s="1"/>
  <c r="A1120" s="1"/>
  <c r="A1121" s="1"/>
  <c r="A1122" s="1"/>
  <c r="A1123" s="1"/>
  <c r="A1124" s="1"/>
  <c r="A1125" s="1"/>
  <c r="A1126" s="1"/>
  <c r="A1127" s="1"/>
  <c r="A1128" s="1"/>
  <c r="A1129" s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s="1"/>
  <c r="A1145" s="1"/>
  <c r="A1146" s="1"/>
  <c r="A1147" s="1"/>
  <c r="A1148" s="1"/>
  <c r="A1149" s="1"/>
  <c r="A1150" s="1"/>
  <c r="A1151" s="1"/>
  <c r="A1152" s="1"/>
  <c r="A1153" s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s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s="1"/>
  <c r="A1182" s="1"/>
  <c r="A1183" s="1"/>
  <c r="A1184" s="1"/>
  <c r="A1185" s="1"/>
  <c r="A1186" s="1"/>
  <c r="A1187" s="1"/>
  <c r="A1188" s="1"/>
  <c r="A1189" s="1"/>
  <c r="A1190" s="1"/>
  <c r="A1191" s="1"/>
  <c r="A1192" s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s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s="1"/>
  <c r="A1288" s="1"/>
  <c r="A1289" s="1"/>
  <c r="A1290" s="1"/>
  <c r="A1291" s="1"/>
  <c r="A1292" s="1"/>
  <c r="A1293" s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s="1"/>
  <c r="A1309" s="1"/>
  <c r="A1310" s="1"/>
  <c r="A1311" s="1"/>
  <c r="A1312" s="1"/>
  <c r="A1313" s="1"/>
  <c r="A1314" s="1"/>
  <c r="A1315" s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s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s="1"/>
  <c r="A1349" s="1"/>
  <c r="A1350" s="1"/>
  <c r="A1351" s="1"/>
  <c r="A1352" s="1"/>
  <c r="A1353" s="1"/>
  <c r="A1354" s="1"/>
  <c r="A1355" s="1"/>
  <c r="A1356" s="1"/>
  <c r="A1357" s="1"/>
  <c r="A1358" s="1"/>
  <c r="A1359" s="1"/>
  <c r="A1360" s="1"/>
  <c r="A1361" s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s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s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s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s="1"/>
  <c r="A1428" s="1"/>
  <c r="A1429" s="1"/>
  <c r="A1430" s="1"/>
  <c r="A1431" s="1"/>
  <c r="A1432" s="1"/>
  <c r="A1433" s="1"/>
  <c r="A1434" s="1"/>
  <c r="A1435" s="1"/>
  <c r="A1436" s="1"/>
  <c r="A1437" s="1"/>
  <c r="A1438" s="1"/>
  <c r="A1439" s="1"/>
  <c r="A1440" s="1"/>
  <c r="A1441" s="1"/>
  <c r="A1442" s="1"/>
  <c r="A1443" s="1"/>
  <c r="A1444" s="1"/>
  <c r="A1445" s="1"/>
  <c r="A1446" s="1"/>
  <c r="A1447" s="1"/>
  <c r="A1448" s="1"/>
  <c r="A1449" s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s="1"/>
  <c r="A1465" s="1"/>
  <c r="A1466" s="1"/>
  <c r="A1467" s="1"/>
  <c r="A1468" s="1"/>
  <c r="A1469" s="1"/>
  <c r="A1470" s="1"/>
  <c r="A1471" s="1"/>
  <c r="A1472" s="1"/>
  <c r="A1473" s="1"/>
  <c r="A1474" s="1"/>
  <c r="A1475" s="1"/>
  <c r="A1476" s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s="1"/>
  <c r="A1496" s="1"/>
  <c r="A1497" s="1"/>
  <c r="A1498" s="1"/>
  <c r="A1499" s="1"/>
  <c r="A1500" s="1"/>
  <c r="A1501" s="1"/>
  <c r="A1502" s="1"/>
  <c r="A1503" s="1"/>
  <c r="A1504" s="1"/>
  <c r="A1505" s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s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s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s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s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3" s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s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s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s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F2"/>
  <c r="E2"/>
  <c r="I2" s="1"/>
  <c r="F1657" i="13"/>
  <c r="E1657"/>
  <c r="F1656"/>
  <c r="E1656"/>
  <c r="E1655"/>
  <c r="I1655" s="1"/>
  <c r="E1654"/>
  <c r="I1654" s="1"/>
  <c r="F1653"/>
  <c r="E1653"/>
  <c r="E1652"/>
  <c r="F1651"/>
  <c r="E1651"/>
  <c r="F1650"/>
  <c r="E1650"/>
  <c r="F1649"/>
  <c r="E1649"/>
  <c r="F1648"/>
  <c r="E1648"/>
  <c r="F1647"/>
  <c r="E1647"/>
  <c r="F1646"/>
  <c r="E1646"/>
  <c r="F1645"/>
  <c r="E1645"/>
  <c r="F1644"/>
  <c r="E1644"/>
  <c r="F1643"/>
  <c r="E1643"/>
  <c r="F1642"/>
  <c r="E1642"/>
  <c r="F1641"/>
  <c r="E1641"/>
  <c r="F1640"/>
  <c r="E1640"/>
  <c r="F1639"/>
  <c r="E1639"/>
  <c r="F1638"/>
  <c r="E1638"/>
  <c r="F1637"/>
  <c r="E1637"/>
  <c r="F1636"/>
  <c r="E1636"/>
  <c r="F1635"/>
  <c r="E1635"/>
  <c r="F1634"/>
  <c r="E1634"/>
  <c r="F1633"/>
  <c r="E1633"/>
  <c r="F1632"/>
  <c r="E1632"/>
  <c r="F1631"/>
  <c r="E1631"/>
  <c r="F1630"/>
  <c r="E1630"/>
  <c r="F1629"/>
  <c r="E1629"/>
  <c r="F1628"/>
  <c r="E1628"/>
  <c r="F1627"/>
  <c r="E1627"/>
  <c r="F1626"/>
  <c r="E1626"/>
  <c r="F1625"/>
  <c r="E1625"/>
  <c r="F1624"/>
  <c r="E1624"/>
  <c r="F1623"/>
  <c r="E1623"/>
  <c r="F1622"/>
  <c r="E1622"/>
  <c r="F1621"/>
  <c r="E1621"/>
  <c r="E1620"/>
  <c r="H1620" s="1"/>
  <c r="E1619"/>
  <c r="E1618"/>
  <c r="I1618" s="1"/>
  <c r="E1617"/>
  <c r="F1616"/>
  <c r="E1616"/>
  <c r="F1615"/>
  <c r="E1615"/>
  <c r="F1614"/>
  <c r="E1614"/>
  <c r="E1613"/>
  <c r="I1613" s="1"/>
  <c r="F1612"/>
  <c r="E1612"/>
  <c r="F1611"/>
  <c r="E1611"/>
  <c r="F1610"/>
  <c r="E1610"/>
  <c r="F1609"/>
  <c r="E1609"/>
  <c r="F1608"/>
  <c r="E1608"/>
  <c r="F1607"/>
  <c r="E1607"/>
  <c r="F1606"/>
  <c r="E1606"/>
  <c r="F1605"/>
  <c r="E1605"/>
  <c r="F1604"/>
  <c r="E1604"/>
  <c r="F1603"/>
  <c r="E1603"/>
  <c r="F1602"/>
  <c r="E1602"/>
  <c r="F1601"/>
  <c r="E1601"/>
  <c r="F1600"/>
  <c r="E1600"/>
  <c r="F1599"/>
  <c r="E1599"/>
  <c r="F1598"/>
  <c r="E1598"/>
  <c r="F1597"/>
  <c r="E1597"/>
  <c r="F1596"/>
  <c r="E1596"/>
  <c r="F1595"/>
  <c r="E1595"/>
  <c r="F1594"/>
  <c r="E1594"/>
  <c r="F1593"/>
  <c r="E1593"/>
  <c r="F1592"/>
  <c r="E1592"/>
  <c r="F1591"/>
  <c r="E1591"/>
  <c r="F1590"/>
  <c r="E1590"/>
  <c r="F1589"/>
  <c r="E1589"/>
  <c r="F1588"/>
  <c r="E1588"/>
  <c r="F1587"/>
  <c r="E1587"/>
  <c r="F1586"/>
  <c r="E1586"/>
  <c r="F1585"/>
  <c r="E1585"/>
  <c r="F1584"/>
  <c r="E1584"/>
  <c r="F1583"/>
  <c r="E1583"/>
  <c r="F1582"/>
  <c r="E1582"/>
  <c r="F1581"/>
  <c r="E1581"/>
  <c r="F1580"/>
  <c r="E1580"/>
  <c r="F1579"/>
  <c r="E1579"/>
  <c r="F1578"/>
  <c r="E1578"/>
  <c r="F1577"/>
  <c r="E1577"/>
  <c r="F1576"/>
  <c r="E1576"/>
  <c r="F1575"/>
  <c r="E1575"/>
  <c r="E1574"/>
  <c r="G1574" s="1"/>
  <c r="F1573"/>
  <c r="E1573"/>
  <c r="F1572"/>
  <c r="E1572"/>
  <c r="F1571"/>
  <c r="E1571"/>
  <c r="F1570"/>
  <c r="E1570"/>
  <c r="F1569"/>
  <c r="E1569"/>
  <c r="F1568"/>
  <c r="E1568"/>
  <c r="F1567"/>
  <c r="E1567"/>
  <c r="F1566"/>
  <c r="E1566"/>
  <c r="F1565"/>
  <c r="E1565"/>
  <c r="F1564"/>
  <c r="E1564"/>
  <c r="F1563"/>
  <c r="E1563"/>
  <c r="E1562"/>
  <c r="F1561"/>
  <c r="E1561"/>
  <c r="F1560"/>
  <c r="E1560"/>
  <c r="F1559"/>
  <c r="E1559"/>
  <c r="F1558"/>
  <c r="E1558"/>
  <c r="F1557"/>
  <c r="E1557"/>
  <c r="F1556"/>
  <c r="E1556"/>
  <c r="F1555"/>
  <c r="E1555"/>
  <c r="F1554"/>
  <c r="E1554"/>
  <c r="F1553"/>
  <c r="E1553"/>
  <c r="F1552"/>
  <c r="E1552"/>
  <c r="F1551"/>
  <c r="E1551"/>
  <c r="F1550"/>
  <c r="E1550"/>
  <c r="F1549"/>
  <c r="E1549"/>
  <c r="F1548"/>
  <c r="E1548"/>
  <c r="F1547"/>
  <c r="E1547"/>
  <c r="F1546"/>
  <c r="E1546"/>
  <c r="F1545"/>
  <c r="E1545"/>
  <c r="F1544"/>
  <c r="E1544"/>
  <c r="F1543"/>
  <c r="E1543"/>
  <c r="F1542"/>
  <c r="E1542"/>
  <c r="F1541"/>
  <c r="E1541"/>
  <c r="F1540"/>
  <c r="E1540"/>
  <c r="F1539"/>
  <c r="E1539"/>
  <c r="F1538"/>
  <c r="E1538"/>
  <c r="F1537"/>
  <c r="E1537"/>
  <c r="F1536"/>
  <c r="E1536"/>
  <c r="F1535"/>
  <c r="E1535"/>
  <c r="F1534"/>
  <c r="E1534"/>
  <c r="F1533"/>
  <c r="E1533"/>
  <c r="F1532"/>
  <c r="E1532"/>
  <c r="F1531"/>
  <c r="E1531"/>
  <c r="F1530"/>
  <c r="E1530"/>
  <c r="F1529"/>
  <c r="E1529"/>
  <c r="F1528"/>
  <c r="E1528"/>
  <c r="F1527"/>
  <c r="E1527"/>
  <c r="F1526"/>
  <c r="E1526"/>
  <c r="F1525"/>
  <c r="E1525"/>
  <c r="F1524"/>
  <c r="E1524"/>
  <c r="E1523"/>
  <c r="I1523" s="1"/>
  <c r="F1522"/>
  <c r="E1522"/>
  <c r="F1521"/>
  <c r="E1521"/>
  <c r="F1520"/>
  <c r="E1520"/>
  <c r="F1519"/>
  <c r="E1519"/>
  <c r="F1518"/>
  <c r="E1518"/>
  <c r="F1517"/>
  <c r="E1517"/>
  <c r="F1516"/>
  <c r="E1516"/>
  <c r="F1515"/>
  <c r="E1515"/>
  <c r="E1514"/>
  <c r="F1513"/>
  <c r="E1513"/>
  <c r="F1512"/>
  <c r="E1512"/>
  <c r="F1511"/>
  <c r="E1511"/>
  <c r="F1510"/>
  <c r="E1510"/>
  <c r="F1509"/>
  <c r="E1509"/>
  <c r="F1508"/>
  <c r="E1508"/>
  <c r="F1507"/>
  <c r="E1507"/>
  <c r="F1506"/>
  <c r="E1506"/>
  <c r="F1505"/>
  <c r="E1505"/>
  <c r="F1504"/>
  <c r="E1504"/>
  <c r="F1503"/>
  <c r="E1503"/>
  <c r="F1502"/>
  <c r="E1502"/>
  <c r="F1501"/>
  <c r="E1501"/>
  <c r="E1500"/>
  <c r="I1500" s="1"/>
  <c r="E1499"/>
  <c r="I1499" s="1"/>
  <c r="F1498"/>
  <c r="E1498"/>
  <c r="F1497"/>
  <c r="E1497"/>
  <c r="F1496"/>
  <c r="E1496"/>
  <c r="F1495"/>
  <c r="E1495"/>
  <c r="F1494"/>
  <c r="E1494"/>
  <c r="F1493"/>
  <c r="E1493"/>
  <c r="F1492"/>
  <c r="E1492"/>
  <c r="F1491"/>
  <c r="E1491"/>
  <c r="F1490"/>
  <c r="E1490"/>
  <c r="F1489"/>
  <c r="E1489"/>
  <c r="F1488"/>
  <c r="E1488"/>
  <c r="F1487"/>
  <c r="E1487"/>
  <c r="F1486"/>
  <c r="E1486"/>
  <c r="F1485"/>
  <c r="E1485"/>
  <c r="F1484"/>
  <c r="E1484"/>
  <c r="F1483"/>
  <c r="E1483"/>
  <c r="F1482"/>
  <c r="E1482"/>
  <c r="F1481"/>
  <c r="E1481"/>
  <c r="F1480"/>
  <c r="E1480"/>
  <c r="F1479"/>
  <c r="E1479"/>
  <c r="F1478"/>
  <c r="E1478"/>
  <c r="F1477"/>
  <c r="E1477"/>
  <c r="E1476"/>
  <c r="I1476" s="1"/>
  <c r="F1475"/>
  <c r="E1475"/>
  <c r="F1474"/>
  <c r="E1474"/>
  <c r="F1473"/>
  <c r="E1473"/>
  <c r="F1472"/>
  <c r="E1472"/>
  <c r="F1471"/>
  <c r="E1471"/>
  <c r="F1470"/>
  <c r="E1470"/>
  <c r="F1469"/>
  <c r="E1469"/>
  <c r="F1468"/>
  <c r="E1468"/>
  <c r="F1467"/>
  <c r="E1467"/>
  <c r="F1466"/>
  <c r="E1466"/>
  <c r="F1465"/>
  <c r="E1465"/>
  <c r="E1464"/>
  <c r="I1464" s="1"/>
  <c r="F1463"/>
  <c r="E1463"/>
  <c r="F1462"/>
  <c r="E1462"/>
  <c r="F1461"/>
  <c r="E1461"/>
  <c r="F1460"/>
  <c r="E1460"/>
  <c r="F1459"/>
  <c r="E1459"/>
  <c r="F1458"/>
  <c r="E1458"/>
  <c r="F1457"/>
  <c r="E1457"/>
  <c r="F1456"/>
  <c r="E1456"/>
  <c r="F1455"/>
  <c r="E1455"/>
  <c r="F1454"/>
  <c r="E1454"/>
  <c r="E1453"/>
  <c r="F1452"/>
  <c r="E1452"/>
  <c r="F1451"/>
  <c r="E1451"/>
  <c r="F1450"/>
  <c r="E1450"/>
  <c r="F1449"/>
  <c r="E1449"/>
  <c r="F1448"/>
  <c r="E1448"/>
  <c r="F1446"/>
  <c r="E1446"/>
  <c r="F1445"/>
  <c r="E1445"/>
  <c r="F1444"/>
  <c r="E1444"/>
  <c r="F1443"/>
  <c r="E1443"/>
  <c r="F1442"/>
  <c r="E1442"/>
  <c r="F1441"/>
  <c r="E1441"/>
  <c r="F1440"/>
  <c r="E1440"/>
  <c r="F1439"/>
  <c r="E1439"/>
  <c r="F1438"/>
  <c r="E1438"/>
  <c r="F1437"/>
  <c r="E1437"/>
  <c r="F1436"/>
  <c r="E1436"/>
  <c r="F1435"/>
  <c r="E1435"/>
  <c r="F1434"/>
  <c r="E1434"/>
  <c r="F1433"/>
  <c r="E1433"/>
  <c r="F1432"/>
  <c r="E1432"/>
  <c r="F1431"/>
  <c r="E1431"/>
  <c r="F1430"/>
  <c r="E1430"/>
  <c r="F1429"/>
  <c r="E1429"/>
  <c r="F1428"/>
  <c r="E1428"/>
  <c r="F1427"/>
  <c r="E1427"/>
  <c r="F1426"/>
  <c r="E1426"/>
  <c r="F1425"/>
  <c r="E1425"/>
  <c r="F1424"/>
  <c r="E1424"/>
  <c r="F1423"/>
  <c r="E1423"/>
  <c r="F1422"/>
  <c r="E1422"/>
  <c r="F1421"/>
  <c r="E1421"/>
  <c r="F1420"/>
  <c r="E1420"/>
  <c r="F1419"/>
  <c r="E1419"/>
  <c r="F1418"/>
  <c r="E1418"/>
  <c r="F1417"/>
  <c r="E1417"/>
  <c r="F1416"/>
  <c r="E1416"/>
  <c r="F1415"/>
  <c r="E1415"/>
  <c r="E1414"/>
  <c r="F1413"/>
  <c r="E1413"/>
  <c r="F1412"/>
  <c r="E1412"/>
  <c r="F1411"/>
  <c r="E1411"/>
  <c r="F1410"/>
  <c r="E1410"/>
  <c r="F1409"/>
  <c r="E1409"/>
  <c r="F1408"/>
  <c r="E1408"/>
  <c r="F1407"/>
  <c r="E1407"/>
  <c r="F1406"/>
  <c r="E1406"/>
  <c r="F1405"/>
  <c r="E1405"/>
  <c r="E1404"/>
  <c r="E1403"/>
  <c r="F1402"/>
  <c r="E1402"/>
  <c r="F1401"/>
  <c r="E1401"/>
  <c r="F1400"/>
  <c r="E1400"/>
  <c r="F1399"/>
  <c r="E1399"/>
  <c r="F1398"/>
  <c r="E1398"/>
  <c r="F1397"/>
  <c r="E1397"/>
  <c r="F1396"/>
  <c r="E1396"/>
  <c r="F1395"/>
  <c r="E1395"/>
  <c r="F1394"/>
  <c r="E1394"/>
  <c r="F1393"/>
  <c r="E1393"/>
  <c r="F1392"/>
  <c r="E1392"/>
  <c r="E1391"/>
  <c r="H1391" s="1"/>
  <c r="E1390"/>
  <c r="H1390" s="1"/>
  <c r="E1389"/>
  <c r="E1388"/>
  <c r="I1388" s="1"/>
  <c r="F1387"/>
  <c r="E1387"/>
  <c r="F1386"/>
  <c r="E1386"/>
  <c r="F1385"/>
  <c r="E1385"/>
  <c r="E1384"/>
  <c r="I1384" s="1"/>
  <c r="F1383"/>
  <c r="E1383"/>
  <c r="F1382"/>
  <c r="E1382"/>
  <c r="F1381"/>
  <c r="E1381"/>
  <c r="F1380"/>
  <c r="E1380"/>
  <c r="F1379"/>
  <c r="E1379"/>
  <c r="F1378"/>
  <c r="E1378"/>
  <c r="F1377"/>
  <c r="E1377"/>
  <c r="F1376"/>
  <c r="E1376"/>
  <c r="F1375"/>
  <c r="E1375"/>
  <c r="F1374"/>
  <c r="E1374"/>
  <c r="F1373"/>
  <c r="E1373"/>
  <c r="F1372"/>
  <c r="E1372"/>
  <c r="F1371"/>
  <c r="E1371"/>
  <c r="F1370"/>
  <c r="E1370"/>
  <c r="F1369"/>
  <c r="E1369"/>
  <c r="F1368"/>
  <c r="E1368"/>
  <c r="F1367"/>
  <c r="E1367"/>
  <c r="F1366"/>
  <c r="E1366"/>
  <c r="F1365"/>
  <c r="E1365"/>
  <c r="F1364"/>
  <c r="E1364"/>
  <c r="F1363"/>
  <c r="E1363"/>
  <c r="F1362"/>
  <c r="E1362"/>
  <c r="F1361"/>
  <c r="E1361"/>
  <c r="F1360"/>
  <c r="E1360"/>
  <c r="F1359"/>
  <c r="E1359"/>
  <c r="F1358"/>
  <c r="E1358"/>
  <c r="F1357"/>
  <c r="E1357"/>
  <c r="F1356"/>
  <c r="E1356"/>
  <c r="F1355"/>
  <c r="E1355"/>
  <c r="F1354"/>
  <c r="E1354"/>
  <c r="F1353"/>
  <c r="E1353"/>
  <c r="F1352"/>
  <c r="E1352"/>
  <c r="F1351"/>
  <c r="E1351"/>
  <c r="F1350"/>
  <c r="E1350"/>
  <c r="F1349"/>
  <c r="E1349"/>
  <c r="F1348"/>
  <c r="E1348"/>
  <c r="F1347"/>
  <c r="E1347"/>
  <c r="F1346"/>
  <c r="E1346"/>
  <c r="F1345"/>
  <c r="E1345"/>
  <c r="F1344"/>
  <c r="E1344"/>
  <c r="F1343"/>
  <c r="E1343"/>
  <c r="F1342"/>
  <c r="E1342"/>
  <c r="F1341"/>
  <c r="E1341"/>
  <c r="F1340"/>
  <c r="E1340"/>
  <c r="F1339"/>
  <c r="E1339"/>
  <c r="F1338"/>
  <c r="E1338"/>
  <c r="F1337"/>
  <c r="E1337"/>
  <c r="F1336"/>
  <c r="E1336"/>
  <c r="F1335"/>
  <c r="E1335"/>
  <c r="F1334"/>
  <c r="E1334"/>
  <c r="F1333"/>
  <c r="E1333"/>
  <c r="F1332"/>
  <c r="E1332"/>
  <c r="F1331"/>
  <c r="E1331"/>
  <c r="F1330"/>
  <c r="E1330"/>
  <c r="F1329"/>
  <c r="E1329"/>
  <c r="F1328"/>
  <c r="E1328"/>
  <c r="F1327"/>
  <c r="E1327"/>
  <c r="F1326"/>
  <c r="E1326"/>
  <c r="F1325"/>
  <c r="E1325"/>
  <c r="F1324"/>
  <c r="E1324"/>
  <c r="F1323"/>
  <c r="E1323"/>
  <c r="F1322"/>
  <c r="E1322"/>
  <c r="F1321"/>
  <c r="E1321"/>
  <c r="F1320"/>
  <c r="E1320"/>
  <c r="F1319"/>
  <c r="E1319"/>
  <c r="F1318"/>
  <c r="E1318"/>
  <c r="F1317"/>
  <c r="E1317"/>
  <c r="F1316"/>
  <c r="E1316"/>
  <c r="F1315"/>
  <c r="E1315"/>
  <c r="F1314"/>
  <c r="E1314"/>
  <c r="F1313"/>
  <c r="E1313"/>
  <c r="F1312"/>
  <c r="E1312"/>
  <c r="F1311"/>
  <c r="E1311"/>
  <c r="F1310"/>
  <c r="E1310"/>
  <c r="F1309"/>
  <c r="E1309"/>
  <c r="F1308"/>
  <c r="E1308"/>
  <c r="F1307"/>
  <c r="E1307"/>
  <c r="F1306"/>
  <c r="E1306"/>
  <c r="F1305"/>
  <c r="E1305"/>
  <c r="F1304"/>
  <c r="E1304"/>
  <c r="F1303"/>
  <c r="E1303"/>
  <c r="F1302"/>
  <c r="E1302"/>
  <c r="F1301"/>
  <c r="E1301"/>
  <c r="F1300"/>
  <c r="E1300"/>
  <c r="F1299"/>
  <c r="E1299"/>
  <c r="F1298"/>
  <c r="E1298"/>
  <c r="F1297"/>
  <c r="E1297"/>
  <c r="F1296"/>
  <c r="E1296"/>
  <c r="F1295"/>
  <c r="E1295"/>
  <c r="F1294"/>
  <c r="E1294"/>
  <c r="F1293"/>
  <c r="E1293"/>
  <c r="F1292"/>
  <c r="E1292"/>
  <c r="F1291"/>
  <c r="E1291"/>
  <c r="F1290"/>
  <c r="E1290"/>
  <c r="F1289"/>
  <c r="E1289"/>
  <c r="F1288"/>
  <c r="E1288"/>
  <c r="F1287"/>
  <c r="E1287"/>
  <c r="E1286"/>
  <c r="I1286" s="1"/>
  <c r="E1285"/>
  <c r="G1285" s="1"/>
  <c r="E1284"/>
  <c r="E1283"/>
  <c r="G1283" s="1"/>
  <c r="E1282"/>
  <c r="I1282" s="1"/>
  <c r="E1281"/>
  <c r="G1281" s="1"/>
  <c r="F1280"/>
  <c r="E1280"/>
  <c r="F1279"/>
  <c r="E1279"/>
  <c r="F1278"/>
  <c r="E1278"/>
  <c r="E1277"/>
  <c r="F1276"/>
  <c r="E1276"/>
  <c r="F1275"/>
  <c r="E1275"/>
  <c r="F1274"/>
  <c r="E1274"/>
  <c r="E1273"/>
  <c r="G1273" s="1"/>
  <c r="E1272"/>
  <c r="E1271"/>
  <c r="I1271" s="1"/>
  <c r="E1270"/>
  <c r="E1269"/>
  <c r="H1269" s="1"/>
  <c r="E1268"/>
  <c r="E1267"/>
  <c r="I1267" s="1"/>
  <c r="E1266"/>
  <c r="F1265"/>
  <c r="E1265"/>
  <c r="F1264"/>
  <c r="E1264"/>
  <c r="F1263"/>
  <c r="E1263"/>
  <c r="F1262"/>
  <c r="E1262"/>
  <c r="F1261"/>
  <c r="E1261"/>
  <c r="F1260"/>
  <c r="E1260"/>
  <c r="F1259"/>
  <c r="E1259"/>
  <c r="E1258"/>
  <c r="I1258" s="1"/>
  <c r="F1257"/>
  <c r="E1257"/>
  <c r="E1256"/>
  <c r="F1255"/>
  <c r="E1255"/>
  <c r="F1254"/>
  <c r="E1254"/>
  <c r="F1253"/>
  <c r="E1253"/>
  <c r="F1252"/>
  <c r="E1252"/>
  <c r="E1251"/>
  <c r="E1250"/>
  <c r="F1249"/>
  <c r="E1249"/>
  <c r="F1248"/>
  <c r="E1248"/>
  <c r="F1247"/>
  <c r="E1247"/>
  <c r="F1246"/>
  <c r="E1246"/>
  <c r="F1245"/>
  <c r="E1245"/>
  <c r="F1244"/>
  <c r="E1244"/>
  <c r="F1243"/>
  <c r="E1243"/>
  <c r="F1242"/>
  <c r="E1242"/>
  <c r="F1241"/>
  <c r="E1241"/>
  <c r="F1240"/>
  <c r="E1240"/>
  <c r="F1239"/>
  <c r="E1239"/>
  <c r="F1237"/>
  <c r="E1237"/>
  <c r="F1236"/>
  <c r="E1236"/>
  <c r="F1235"/>
  <c r="E1235"/>
  <c r="F1234"/>
  <c r="E1234"/>
  <c r="F1233"/>
  <c r="E1233"/>
  <c r="F1232"/>
  <c r="E1232"/>
  <c r="F1231"/>
  <c r="E1231"/>
  <c r="F1230"/>
  <c r="E1230"/>
  <c r="E1229"/>
  <c r="F1228"/>
  <c r="E1228"/>
  <c r="F1227"/>
  <c r="E1227"/>
  <c r="F1226"/>
  <c r="E1226"/>
  <c r="F1225"/>
  <c r="E1225"/>
  <c r="F1224"/>
  <c r="E1224"/>
  <c r="F1223"/>
  <c r="E1223"/>
  <c r="F1222"/>
  <c r="E1222"/>
  <c r="F1221"/>
  <c r="E1221"/>
  <c r="F1220"/>
  <c r="E1220"/>
  <c r="F1219"/>
  <c r="E1219"/>
  <c r="F1218"/>
  <c r="E1218"/>
  <c r="E1217"/>
  <c r="I1217" s="1"/>
  <c r="F1216"/>
  <c r="E1216"/>
  <c r="F1215"/>
  <c r="E1215"/>
  <c r="F1214"/>
  <c r="E1214"/>
  <c r="F1213"/>
  <c r="E1213"/>
  <c r="F1212"/>
  <c r="E1212"/>
  <c r="F1211"/>
  <c r="E1211"/>
  <c r="F1210"/>
  <c r="E1210"/>
  <c r="F1209"/>
  <c r="E1209"/>
  <c r="F1208"/>
  <c r="E1208"/>
  <c r="F1207"/>
  <c r="E1207"/>
  <c r="F1206"/>
  <c r="E1206"/>
  <c r="E1205"/>
  <c r="I1205" s="1"/>
  <c r="F1204"/>
  <c r="E1204"/>
  <c r="F1203"/>
  <c r="E1203"/>
  <c r="F1202"/>
  <c r="E1202"/>
  <c r="F1201"/>
  <c r="E1201"/>
  <c r="F1200"/>
  <c r="E1200"/>
  <c r="F1199"/>
  <c r="E1199"/>
  <c r="F1198"/>
  <c r="E1198"/>
  <c r="F1197"/>
  <c r="E1197"/>
  <c r="F1196"/>
  <c r="E1196"/>
  <c r="F1195"/>
  <c r="E1195"/>
  <c r="F1194"/>
  <c r="E1194"/>
  <c r="F1193"/>
  <c r="E1193"/>
  <c r="F1192"/>
  <c r="E1192"/>
  <c r="E1191"/>
  <c r="G1191" s="1"/>
  <c r="E1190"/>
  <c r="I1190" s="1"/>
  <c r="F1189"/>
  <c r="E1189"/>
  <c r="F1188"/>
  <c r="E1188"/>
  <c r="E1187"/>
  <c r="F1186"/>
  <c r="E1186"/>
  <c r="F1185"/>
  <c r="E1185"/>
  <c r="F1184"/>
  <c r="E1184"/>
  <c r="F1183"/>
  <c r="E1183"/>
  <c r="F1182"/>
  <c r="E1182"/>
  <c r="E1181"/>
  <c r="G1181" s="1"/>
  <c r="F1180"/>
  <c r="E1180"/>
  <c r="F1179"/>
  <c r="E1179"/>
  <c r="F1178"/>
  <c r="E1178"/>
  <c r="E1177"/>
  <c r="E1176"/>
  <c r="I1176" s="1"/>
  <c r="E1175"/>
  <c r="E1174"/>
  <c r="I1174" s="1"/>
  <c r="F1173"/>
  <c r="E1173"/>
  <c r="F1172"/>
  <c r="E1172"/>
  <c r="F1171"/>
  <c r="E1171"/>
  <c r="F1170"/>
  <c r="E1170"/>
  <c r="E1169"/>
  <c r="E1168"/>
  <c r="I1168" s="1"/>
  <c r="F1167"/>
  <c r="E1167"/>
  <c r="F1166"/>
  <c r="E1166"/>
  <c r="F1165"/>
  <c r="E1165"/>
  <c r="F1164"/>
  <c r="E1164"/>
  <c r="F1163"/>
  <c r="E1163"/>
  <c r="F1162"/>
  <c r="E1162"/>
  <c r="F1161"/>
  <c r="E1161"/>
  <c r="F1160"/>
  <c r="E1160"/>
  <c r="F1159"/>
  <c r="E1159"/>
  <c r="F1158"/>
  <c r="E1158"/>
  <c r="F1157"/>
  <c r="E1157"/>
  <c r="F1156"/>
  <c r="E1156"/>
  <c r="F1155"/>
  <c r="E1155"/>
  <c r="F1154"/>
  <c r="E1154"/>
  <c r="F1153"/>
  <c r="E1153"/>
  <c r="F1152"/>
  <c r="E1152"/>
  <c r="F1151"/>
  <c r="E1151"/>
  <c r="F1150"/>
  <c r="E1150"/>
  <c r="F1149"/>
  <c r="E1149"/>
  <c r="E1148"/>
  <c r="F1147"/>
  <c r="E1147"/>
  <c r="F1146"/>
  <c r="E1146"/>
  <c r="F1145"/>
  <c r="E1145"/>
  <c r="F1144"/>
  <c r="E1144"/>
  <c r="E1143"/>
  <c r="G1143" s="1"/>
  <c r="F1142"/>
  <c r="E1142"/>
  <c r="F1141"/>
  <c r="E1141"/>
  <c r="F1140"/>
  <c r="E1140"/>
  <c r="F1139"/>
  <c r="E1139"/>
  <c r="E1138"/>
  <c r="G1138" s="1"/>
  <c r="E1137"/>
  <c r="G1137" s="1"/>
  <c r="F1136"/>
  <c r="E1136"/>
  <c r="F1135"/>
  <c r="E1135"/>
  <c r="F1134"/>
  <c r="E1134"/>
  <c r="F1133"/>
  <c r="E1133"/>
  <c r="F1132"/>
  <c r="E1132"/>
  <c r="F1131"/>
  <c r="E1131"/>
  <c r="E1130"/>
  <c r="I1130" s="1"/>
  <c r="F1129"/>
  <c r="E1129"/>
  <c r="F1128"/>
  <c r="E1128"/>
  <c r="F1127"/>
  <c r="E1127"/>
  <c r="F1126"/>
  <c r="E1126"/>
  <c r="F1125"/>
  <c r="E1125"/>
  <c r="F1124"/>
  <c r="E1124"/>
  <c r="E1123"/>
  <c r="I1123" s="1"/>
  <c r="F1122"/>
  <c r="E1122"/>
  <c r="F1121"/>
  <c r="E1121"/>
  <c r="F1120"/>
  <c r="E1120"/>
  <c r="F1119"/>
  <c r="E1119"/>
  <c r="F1118"/>
  <c r="E1118"/>
  <c r="F1117"/>
  <c r="E1117"/>
  <c r="F1116"/>
  <c r="E1116"/>
  <c r="F1115"/>
  <c r="E1115"/>
  <c r="F1114"/>
  <c r="E1114"/>
  <c r="F1113"/>
  <c r="E1113"/>
  <c r="F1112"/>
  <c r="E1112"/>
  <c r="E1111"/>
  <c r="I1111" s="1"/>
  <c r="F1110"/>
  <c r="E1110"/>
  <c r="F1109"/>
  <c r="E1109"/>
  <c r="F1108"/>
  <c r="E1108"/>
  <c r="F1107"/>
  <c r="E1107"/>
  <c r="E1106"/>
  <c r="G1106" s="1"/>
  <c r="E1105"/>
  <c r="F1104"/>
  <c r="E1104"/>
  <c r="F1103"/>
  <c r="E1103"/>
  <c r="F1102"/>
  <c r="E1102"/>
  <c r="F1101"/>
  <c r="E1101"/>
  <c r="F1100"/>
  <c r="E1100"/>
  <c r="F1099"/>
  <c r="E1099"/>
  <c r="F1098"/>
  <c r="E1098"/>
  <c r="F1097"/>
  <c r="E1097"/>
  <c r="F1096"/>
  <c r="E1096"/>
  <c r="F1095"/>
  <c r="E1095"/>
  <c r="F1094"/>
  <c r="E1094"/>
  <c r="E1093"/>
  <c r="F1092"/>
  <c r="E1092"/>
  <c r="F1091"/>
  <c r="E1091"/>
  <c r="F1090"/>
  <c r="E1090"/>
  <c r="F1089"/>
  <c r="E1089"/>
  <c r="F1088"/>
  <c r="E1088"/>
  <c r="F1087"/>
  <c r="E1087"/>
  <c r="F1086"/>
  <c r="E1086"/>
  <c r="F1085"/>
  <c r="E1085"/>
  <c r="F1084"/>
  <c r="E1084"/>
  <c r="F1083"/>
  <c r="E1083"/>
  <c r="F1082"/>
  <c r="E1082"/>
  <c r="F1081"/>
  <c r="E1081"/>
  <c r="F1080"/>
  <c r="E1080"/>
  <c r="F1079"/>
  <c r="E1079"/>
  <c r="F1078"/>
  <c r="E1078"/>
  <c r="F1077"/>
  <c r="E1077"/>
  <c r="F1076"/>
  <c r="E1076"/>
  <c r="F1075"/>
  <c r="E1075"/>
  <c r="F1074"/>
  <c r="E1074"/>
  <c r="F1073"/>
  <c r="E1073"/>
  <c r="E1072"/>
  <c r="F1071"/>
  <c r="E1071"/>
  <c r="F1070"/>
  <c r="E1070"/>
  <c r="F1069"/>
  <c r="E1069"/>
  <c r="F1068"/>
  <c r="E1068"/>
  <c r="F1067"/>
  <c r="E1067"/>
  <c r="F1066"/>
  <c r="E1066"/>
  <c r="F1065"/>
  <c r="E1065"/>
  <c r="F1064"/>
  <c r="E1064"/>
  <c r="F1063"/>
  <c r="E1063"/>
  <c r="F1062"/>
  <c r="E1062"/>
  <c r="F1061"/>
  <c r="E1061"/>
  <c r="F1060"/>
  <c r="E1060"/>
  <c r="F1059"/>
  <c r="E1059"/>
  <c r="F1058"/>
  <c r="E1058"/>
  <c r="F1057"/>
  <c r="E1057"/>
  <c r="F1056"/>
  <c r="E1056"/>
  <c r="F1055"/>
  <c r="E1055"/>
  <c r="F1054"/>
  <c r="E1054"/>
  <c r="F1053"/>
  <c r="E1053"/>
  <c r="F1052"/>
  <c r="E1052"/>
  <c r="F1051"/>
  <c r="E1051"/>
  <c r="F1050"/>
  <c r="E1050"/>
  <c r="F1049"/>
  <c r="E1049"/>
  <c r="F1048"/>
  <c r="E1048"/>
  <c r="F1047"/>
  <c r="E1047"/>
  <c r="F1046"/>
  <c r="E1046"/>
  <c r="F1045"/>
  <c r="E1045"/>
  <c r="F1044"/>
  <c r="E1044"/>
  <c r="F1043"/>
  <c r="E1043"/>
  <c r="F1042"/>
  <c r="E1042"/>
  <c r="E1041"/>
  <c r="F1040"/>
  <c r="E1040"/>
  <c r="F1039"/>
  <c r="E1039"/>
  <c r="F1038"/>
  <c r="E1038"/>
  <c r="F1036"/>
  <c r="E1036"/>
  <c r="F1035"/>
  <c r="E1035"/>
  <c r="F1034"/>
  <c r="E1034"/>
  <c r="F1033"/>
  <c r="E1033"/>
  <c r="F1032"/>
  <c r="E1032"/>
  <c r="F1031"/>
  <c r="E1031"/>
  <c r="F1030"/>
  <c r="E1030"/>
  <c r="F1029"/>
  <c r="E1029"/>
  <c r="F1028"/>
  <c r="E1028"/>
  <c r="F1027"/>
  <c r="E1027"/>
  <c r="F1026"/>
  <c r="E1026"/>
  <c r="F1025"/>
  <c r="E1025"/>
  <c r="F1024"/>
  <c r="E1024"/>
  <c r="F1023"/>
  <c r="E1023"/>
  <c r="F1022"/>
  <c r="E1022"/>
  <c r="F1021"/>
  <c r="E1021"/>
  <c r="F1020"/>
  <c r="E1020"/>
  <c r="F1019"/>
  <c r="E1019"/>
  <c r="F1018"/>
  <c r="E1018"/>
  <c r="F1017"/>
  <c r="E1017"/>
  <c r="F1016"/>
  <c r="E1016"/>
  <c r="F1015"/>
  <c r="E1015"/>
  <c r="F1014"/>
  <c r="E1014"/>
  <c r="F1013"/>
  <c r="E1013"/>
  <c r="F1012"/>
  <c r="E1012"/>
  <c r="F1011"/>
  <c r="E1011"/>
  <c r="F1010"/>
  <c r="E1010"/>
  <c r="F1009"/>
  <c r="E1009"/>
  <c r="F1008"/>
  <c r="E1008"/>
  <c r="F1007"/>
  <c r="E1007"/>
  <c r="F1006"/>
  <c r="E1006"/>
  <c r="F1005"/>
  <c r="E1005"/>
  <c r="F1004"/>
  <c r="E1004"/>
  <c r="F1003"/>
  <c r="E1003"/>
  <c r="F1002"/>
  <c r="E1002"/>
  <c r="F1001"/>
  <c r="E1001"/>
  <c r="F1000"/>
  <c r="E1000"/>
  <c r="F999"/>
  <c r="E999"/>
  <c r="F998"/>
  <c r="E998"/>
  <c r="F997"/>
  <c r="E997"/>
  <c r="F996"/>
  <c r="E996"/>
  <c r="F995"/>
  <c r="E995"/>
  <c r="F994"/>
  <c r="E994"/>
  <c r="F993"/>
  <c r="E993"/>
  <c r="F992"/>
  <c r="E992"/>
  <c r="F991"/>
  <c r="E991"/>
  <c r="F990"/>
  <c r="E990"/>
  <c r="F989"/>
  <c r="E989"/>
  <c r="F988"/>
  <c r="E988"/>
  <c r="F987"/>
  <c r="E987"/>
  <c r="F986"/>
  <c r="E986"/>
  <c r="F985"/>
  <c r="E985"/>
  <c r="F984"/>
  <c r="E984"/>
  <c r="F983"/>
  <c r="E983"/>
  <c r="F982"/>
  <c r="E982"/>
  <c r="F981"/>
  <c r="E981"/>
  <c r="F980"/>
  <c r="E980"/>
  <c r="F979"/>
  <c r="E979"/>
  <c r="F978"/>
  <c r="E978"/>
  <c r="F977"/>
  <c r="E977"/>
  <c r="F976"/>
  <c r="E976"/>
  <c r="F975"/>
  <c r="E975"/>
  <c r="F974"/>
  <c r="E974"/>
  <c r="F973"/>
  <c r="E973"/>
  <c r="F972"/>
  <c r="E972"/>
  <c r="E971"/>
  <c r="G971" s="1"/>
  <c r="E970"/>
  <c r="G970" s="1"/>
  <c r="F969"/>
  <c r="E969"/>
  <c r="F968"/>
  <c r="E968"/>
  <c r="F967"/>
  <c r="E967"/>
  <c r="F966"/>
  <c r="E966"/>
  <c r="E965"/>
  <c r="H965" s="1"/>
  <c r="F964"/>
  <c r="E964"/>
  <c r="F963"/>
  <c r="E963"/>
  <c r="F962"/>
  <c r="E962"/>
  <c r="F961"/>
  <c r="E961"/>
  <c r="F960"/>
  <c r="E960"/>
  <c r="F959"/>
  <c r="E959"/>
  <c r="E958"/>
  <c r="G958" s="1"/>
  <c r="F957"/>
  <c r="E957"/>
  <c r="E956"/>
  <c r="I956" s="1"/>
  <c r="F955"/>
  <c r="E955"/>
  <c r="F954"/>
  <c r="E954"/>
  <c r="F953"/>
  <c r="E953"/>
  <c r="F952"/>
  <c r="E952"/>
  <c r="F951"/>
  <c r="E951"/>
  <c r="F950"/>
  <c r="E950"/>
  <c r="F949"/>
  <c r="E949"/>
  <c r="F948"/>
  <c r="E948"/>
  <c r="F947"/>
  <c r="E947"/>
  <c r="F946"/>
  <c r="E946"/>
  <c r="F945"/>
  <c r="E945"/>
  <c r="F944"/>
  <c r="E944"/>
  <c r="E943"/>
  <c r="I943" s="1"/>
  <c r="E942"/>
  <c r="F941"/>
  <c r="E941"/>
  <c r="F940"/>
  <c r="E940"/>
  <c r="F939"/>
  <c r="E939"/>
  <c r="F938"/>
  <c r="E938"/>
  <c r="F937"/>
  <c r="E937"/>
  <c r="F936"/>
  <c r="E936"/>
  <c r="E935"/>
  <c r="G935" s="1"/>
  <c r="F934"/>
  <c r="E934"/>
  <c r="F933"/>
  <c r="E933"/>
  <c r="F932"/>
  <c r="E932"/>
  <c r="F931"/>
  <c r="E931"/>
  <c r="F930"/>
  <c r="E930"/>
  <c r="F929"/>
  <c r="E929"/>
  <c r="F928"/>
  <c r="E928"/>
  <c r="F927"/>
  <c r="E927"/>
  <c r="F926"/>
  <c r="E926"/>
  <c r="F925"/>
  <c r="E925"/>
  <c r="F924"/>
  <c r="E924"/>
  <c r="F923"/>
  <c r="E923"/>
  <c r="F922"/>
  <c r="E922"/>
  <c r="F921"/>
  <c r="E921"/>
  <c r="F920"/>
  <c r="E920"/>
  <c r="F919"/>
  <c r="E919"/>
  <c r="F918"/>
  <c r="E918"/>
  <c r="F917"/>
  <c r="E917"/>
  <c r="F916"/>
  <c r="E916"/>
  <c r="F915"/>
  <c r="E915"/>
  <c r="F914"/>
  <c r="E914"/>
  <c r="F913"/>
  <c r="E913"/>
  <c r="F912"/>
  <c r="E912"/>
  <c r="F911"/>
  <c r="E911"/>
  <c r="F910"/>
  <c r="E910"/>
  <c r="F909"/>
  <c r="E909"/>
  <c r="F908"/>
  <c r="E908"/>
  <c r="F907"/>
  <c r="E907"/>
  <c r="F906"/>
  <c r="E906"/>
  <c r="F905"/>
  <c r="E905"/>
  <c r="F904"/>
  <c r="E904"/>
  <c r="F903"/>
  <c r="E903"/>
  <c r="F902"/>
  <c r="E902"/>
  <c r="F901"/>
  <c r="E901"/>
  <c r="F900"/>
  <c r="E900"/>
  <c r="F899"/>
  <c r="E899"/>
  <c r="F898"/>
  <c r="E898"/>
  <c r="F897"/>
  <c r="E897"/>
  <c r="F896"/>
  <c r="E896"/>
  <c r="F895"/>
  <c r="E895"/>
  <c r="F894"/>
  <c r="E894"/>
  <c r="F893"/>
  <c r="E893"/>
  <c r="F892"/>
  <c r="E892"/>
  <c r="F891"/>
  <c r="E891"/>
  <c r="F890"/>
  <c r="E890"/>
  <c r="F889"/>
  <c r="E889"/>
  <c r="F888"/>
  <c r="E888"/>
  <c r="F887"/>
  <c r="E887"/>
  <c r="F886"/>
  <c r="E886"/>
  <c r="F885"/>
  <c r="E885"/>
  <c r="F884"/>
  <c r="E884"/>
  <c r="F883"/>
  <c r="E883"/>
  <c r="F882"/>
  <c r="E882"/>
  <c r="F881"/>
  <c r="E881"/>
  <c r="F880"/>
  <c r="E880"/>
  <c r="F879"/>
  <c r="E879"/>
  <c r="F878"/>
  <c r="E878"/>
  <c r="F877"/>
  <c r="E877"/>
  <c r="F876"/>
  <c r="E876"/>
  <c r="F875"/>
  <c r="E875"/>
  <c r="F874"/>
  <c r="E874"/>
  <c r="F873"/>
  <c r="E873"/>
  <c r="F872"/>
  <c r="E872"/>
  <c r="F871"/>
  <c r="E871"/>
  <c r="F870"/>
  <c r="E870"/>
  <c r="F869"/>
  <c r="E869"/>
  <c r="E868"/>
  <c r="I868" s="1"/>
  <c r="F867"/>
  <c r="E867"/>
  <c r="F866"/>
  <c r="E866"/>
  <c r="F865"/>
  <c r="E865"/>
  <c r="F864"/>
  <c r="E864"/>
  <c r="E863"/>
  <c r="G863" s="1"/>
  <c r="E862"/>
  <c r="G862" s="1"/>
  <c r="F861"/>
  <c r="E861"/>
  <c r="F860"/>
  <c r="E860"/>
  <c r="F859"/>
  <c r="E859"/>
  <c r="F858"/>
  <c r="E858"/>
  <c r="F857"/>
  <c r="E857"/>
  <c r="F856"/>
  <c r="E856"/>
  <c r="F855"/>
  <c r="E855"/>
  <c r="F854"/>
  <c r="E854"/>
  <c r="F853"/>
  <c r="E853"/>
  <c r="F852"/>
  <c r="E852"/>
  <c r="F851"/>
  <c r="E851"/>
  <c r="F850"/>
  <c r="E850"/>
  <c r="F849"/>
  <c r="E849"/>
  <c r="F848"/>
  <c r="E848"/>
  <c r="F847"/>
  <c r="E847"/>
  <c r="F846"/>
  <c r="E846"/>
  <c r="F845"/>
  <c r="E845"/>
  <c r="F844"/>
  <c r="E844"/>
  <c r="F843"/>
  <c r="E843"/>
  <c r="F842"/>
  <c r="E842"/>
  <c r="F841"/>
  <c r="E841"/>
  <c r="E840"/>
  <c r="G840" s="1"/>
  <c r="F839"/>
  <c r="E839"/>
  <c r="E838"/>
  <c r="G838" s="1"/>
  <c r="F837"/>
  <c r="E837"/>
  <c r="F836"/>
  <c r="E836"/>
  <c r="F835"/>
  <c r="E835"/>
  <c r="F834"/>
  <c r="E834"/>
  <c r="E833"/>
  <c r="G833" s="1"/>
  <c r="F832"/>
  <c r="E832"/>
  <c r="F831"/>
  <c r="E831"/>
  <c r="F830"/>
  <c r="E830"/>
  <c r="F829"/>
  <c r="E829"/>
  <c r="F828"/>
  <c r="E828"/>
  <c r="E827"/>
  <c r="G827" s="1"/>
  <c r="E826"/>
  <c r="I826" s="1"/>
  <c r="E825"/>
  <c r="G825" s="1"/>
  <c r="E824"/>
  <c r="I824" s="1"/>
  <c r="E823"/>
  <c r="G823" s="1"/>
  <c r="E822"/>
  <c r="I822" s="1"/>
  <c r="F821"/>
  <c r="E821"/>
  <c r="F820"/>
  <c r="E820"/>
  <c r="F819"/>
  <c r="E819"/>
  <c r="E818"/>
  <c r="I818" s="1"/>
  <c r="E817"/>
  <c r="I817" s="1"/>
  <c r="E816"/>
  <c r="F815"/>
  <c r="E815"/>
  <c r="F814"/>
  <c r="E814"/>
  <c r="F813"/>
  <c r="E813"/>
  <c r="F812"/>
  <c r="E812"/>
  <c r="F811"/>
  <c r="E811"/>
  <c r="F810"/>
  <c r="E810"/>
  <c r="F809"/>
  <c r="E809"/>
  <c r="F808"/>
  <c r="E808"/>
  <c r="F807"/>
  <c r="E807"/>
  <c r="E806"/>
  <c r="E805"/>
  <c r="I805" s="1"/>
  <c r="E804"/>
  <c r="E803"/>
  <c r="G803" s="1"/>
  <c r="E802"/>
  <c r="E801"/>
  <c r="I801" s="1"/>
  <c r="F800"/>
  <c r="E800"/>
  <c r="F799"/>
  <c r="E799"/>
  <c r="F798"/>
  <c r="E798"/>
  <c r="F797"/>
  <c r="E797"/>
  <c r="F796"/>
  <c r="E796"/>
  <c r="F795"/>
  <c r="E795"/>
  <c r="F794"/>
  <c r="E794"/>
  <c r="F793"/>
  <c r="E793"/>
  <c r="F792"/>
  <c r="E792"/>
  <c r="F791"/>
  <c r="E791"/>
  <c r="F790"/>
  <c r="E790"/>
  <c r="F789"/>
  <c r="E789"/>
  <c r="F788"/>
  <c r="E788"/>
  <c r="F787"/>
  <c r="E787"/>
  <c r="F786"/>
  <c r="E786"/>
  <c r="F785"/>
  <c r="E785"/>
  <c r="F784"/>
  <c r="E784"/>
  <c r="F783"/>
  <c r="E783"/>
  <c r="F782"/>
  <c r="E782"/>
  <c r="F781"/>
  <c r="E781"/>
  <c r="E780"/>
  <c r="E779"/>
  <c r="I779" s="1"/>
  <c r="E778"/>
  <c r="I778" s="1"/>
  <c r="F777"/>
  <c r="E777"/>
  <c r="F776"/>
  <c r="E776"/>
  <c r="F775"/>
  <c r="E775"/>
  <c r="F774"/>
  <c r="E774"/>
  <c r="F773"/>
  <c r="E773"/>
  <c r="F772"/>
  <c r="E772"/>
  <c r="F771"/>
  <c r="E771"/>
  <c r="F770"/>
  <c r="E770"/>
  <c r="F769"/>
  <c r="E769"/>
  <c r="F768"/>
  <c r="E768"/>
  <c r="F767"/>
  <c r="E767"/>
  <c r="F766"/>
  <c r="E766"/>
  <c r="F765"/>
  <c r="E765"/>
  <c r="F764"/>
  <c r="E764"/>
  <c r="F763"/>
  <c r="E763"/>
  <c r="F762"/>
  <c r="E762"/>
  <c r="F761"/>
  <c r="E761"/>
  <c r="E760"/>
  <c r="G760" s="1"/>
  <c r="E759"/>
  <c r="H759" s="1"/>
  <c r="E758"/>
  <c r="G758" s="1"/>
  <c r="F757"/>
  <c r="E757"/>
  <c r="F756"/>
  <c r="E756"/>
  <c r="F755"/>
  <c r="E755"/>
  <c r="F754"/>
  <c r="E754"/>
  <c r="F753"/>
  <c r="E753"/>
  <c r="F752"/>
  <c r="E752"/>
  <c r="F751"/>
  <c r="E751"/>
  <c r="F750"/>
  <c r="E750"/>
  <c r="F749"/>
  <c r="E749"/>
  <c r="F748"/>
  <c r="E748"/>
  <c r="F747"/>
  <c r="E747"/>
  <c r="F746"/>
  <c r="E746"/>
  <c r="F745"/>
  <c r="E745"/>
  <c r="F744"/>
  <c r="E744"/>
  <c r="F743"/>
  <c r="E743"/>
  <c r="F742"/>
  <c r="E742"/>
  <c r="F741"/>
  <c r="E741"/>
  <c r="F740"/>
  <c r="E740"/>
  <c r="F739"/>
  <c r="E739"/>
  <c r="F738"/>
  <c r="E738"/>
  <c r="F737"/>
  <c r="E737"/>
  <c r="F736"/>
  <c r="E736"/>
  <c r="F735"/>
  <c r="E735"/>
  <c r="F734"/>
  <c r="E734"/>
  <c r="F733"/>
  <c r="E733"/>
  <c r="F732"/>
  <c r="E732"/>
  <c r="F731"/>
  <c r="E731"/>
  <c r="F730"/>
  <c r="E730"/>
  <c r="F729"/>
  <c r="E729"/>
  <c r="F728"/>
  <c r="E728"/>
  <c r="F727"/>
  <c r="E727"/>
  <c r="F726"/>
  <c r="E726"/>
  <c r="F725"/>
  <c r="E725"/>
  <c r="F724"/>
  <c r="E724"/>
  <c r="F723"/>
  <c r="E723"/>
  <c r="F722"/>
  <c r="E722"/>
  <c r="F721"/>
  <c r="E721"/>
  <c r="F720"/>
  <c r="E720"/>
  <c r="F719"/>
  <c r="E719"/>
  <c r="E718"/>
  <c r="H718" s="1"/>
  <c r="F717"/>
  <c r="E717"/>
  <c r="F716"/>
  <c r="E716"/>
  <c r="F715"/>
  <c r="E715"/>
  <c r="F714"/>
  <c r="E714"/>
  <c r="F713"/>
  <c r="E713"/>
  <c r="F712"/>
  <c r="E712"/>
  <c r="F711"/>
  <c r="E711"/>
  <c r="F710"/>
  <c r="E710"/>
  <c r="F709"/>
  <c r="E709"/>
  <c r="F708"/>
  <c r="E708"/>
  <c r="F707"/>
  <c r="E707"/>
  <c r="F706"/>
  <c r="E706"/>
  <c r="F705"/>
  <c r="E705"/>
  <c r="F704"/>
  <c r="E704"/>
  <c r="F703"/>
  <c r="E703"/>
  <c r="F702"/>
  <c r="E702"/>
  <c r="F701"/>
  <c r="E701"/>
  <c r="F700"/>
  <c r="E700"/>
  <c r="F699"/>
  <c r="E699"/>
  <c r="F698"/>
  <c r="E698"/>
  <c r="F697"/>
  <c r="E697"/>
  <c r="E696"/>
  <c r="I696" s="1"/>
  <c r="F695"/>
  <c r="E695"/>
  <c r="F694"/>
  <c r="E694"/>
  <c r="F693"/>
  <c r="E693"/>
  <c r="F692"/>
  <c r="E692"/>
  <c r="F691"/>
  <c r="E691"/>
  <c r="F690"/>
  <c r="E690"/>
  <c r="F689"/>
  <c r="E689"/>
  <c r="F688"/>
  <c r="E688"/>
  <c r="F687"/>
  <c r="E687"/>
  <c r="F686"/>
  <c r="E686"/>
  <c r="F685"/>
  <c r="E685"/>
  <c r="F684"/>
  <c r="E684"/>
  <c r="F683"/>
  <c r="E683"/>
  <c r="F682"/>
  <c r="E682"/>
  <c r="F681"/>
  <c r="E681"/>
  <c r="F680"/>
  <c r="E680"/>
  <c r="F679"/>
  <c r="E679"/>
  <c r="E678"/>
  <c r="I678" s="1"/>
  <c r="F677"/>
  <c r="E677"/>
  <c r="E676"/>
  <c r="G676" s="1"/>
  <c r="E675"/>
  <c r="H675" s="1"/>
  <c r="F674"/>
  <c r="E674"/>
  <c r="F673"/>
  <c r="E673"/>
  <c r="F672"/>
  <c r="E672"/>
  <c r="F671"/>
  <c r="E671"/>
  <c r="F670"/>
  <c r="E670"/>
  <c r="F669"/>
  <c r="E669"/>
  <c r="F668"/>
  <c r="E668"/>
  <c r="F667"/>
  <c r="E667"/>
  <c r="F666"/>
  <c r="E666"/>
  <c r="F665"/>
  <c r="E665"/>
  <c r="F664"/>
  <c r="E664"/>
  <c r="F663"/>
  <c r="E663"/>
  <c r="F662"/>
  <c r="E662"/>
  <c r="F661"/>
  <c r="E661"/>
  <c r="F660"/>
  <c r="E660"/>
  <c r="E659"/>
  <c r="H659" s="1"/>
  <c r="F658"/>
  <c r="E658"/>
  <c r="F657"/>
  <c r="E657"/>
  <c r="F656"/>
  <c r="E656"/>
  <c r="F655"/>
  <c r="E655"/>
  <c r="E654"/>
  <c r="F653"/>
  <c r="E653"/>
  <c r="F652"/>
  <c r="E652"/>
  <c r="F651"/>
  <c r="E651"/>
  <c r="F650"/>
  <c r="E650"/>
  <c r="F649"/>
  <c r="E649"/>
  <c r="F648"/>
  <c r="E648"/>
  <c r="F647"/>
  <c r="E647"/>
  <c r="F646"/>
  <c r="E646"/>
  <c r="F645"/>
  <c r="E645"/>
  <c r="F644"/>
  <c r="E644"/>
  <c r="F643"/>
  <c r="E643"/>
  <c r="F642"/>
  <c r="E642"/>
  <c r="F641"/>
  <c r="E641"/>
  <c r="F640"/>
  <c r="E640"/>
  <c r="F639"/>
  <c r="E639"/>
  <c r="F638"/>
  <c r="E638"/>
  <c r="F637"/>
  <c r="E637"/>
  <c r="F636"/>
  <c r="E636"/>
  <c r="F635"/>
  <c r="E635"/>
  <c r="F634"/>
  <c r="E634"/>
  <c r="F633"/>
  <c r="E633"/>
  <c r="F632"/>
  <c r="E632"/>
  <c r="F631"/>
  <c r="E631"/>
  <c r="F630"/>
  <c r="E630"/>
  <c r="F629"/>
  <c r="E629"/>
  <c r="F628"/>
  <c r="E628"/>
  <c r="E627"/>
  <c r="G627" s="1"/>
  <c r="E626"/>
  <c r="G626" s="1"/>
  <c r="E625"/>
  <c r="G625" s="1"/>
  <c r="F624"/>
  <c r="E624"/>
  <c r="F623"/>
  <c r="E623"/>
  <c r="F622"/>
  <c r="E622"/>
  <c r="F621"/>
  <c r="E621"/>
  <c r="F620"/>
  <c r="E620"/>
  <c r="F619"/>
  <c r="E619"/>
  <c r="F618"/>
  <c r="E618"/>
  <c r="F617"/>
  <c r="E617"/>
  <c r="F616"/>
  <c r="E616"/>
  <c r="F615"/>
  <c r="E615"/>
  <c r="F614"/>
  <c r="E614"/>
  <c r="F613"/>
  <c r="E613"/>
  <c r="F612"/>
  <c r="E612"/>
  <c r="F611"/>
  <c r="E611"/>
  <c r="F610"/>
  <c r="E610"/>
  <c r="F609"/>
  <c r="E609"/>
  <c r="F608"/>
  <c r="E608"/>
  <c r="F607"/>
  <c r="E607"/>
  <c r="E606"/>
  <c r="I606" s="1"/>
  <c r="F605"/>
  <c r="E605"/>
  <c r="F604"/>
  <c r="E604"/>
  <c r="F603"/>
  <c r="E603"/>
  <c r="E602"/>
  <c r="I602" s="1"/>
  <c r="F601"/>
  <c r="E601"/>
  <c r="F600"/>
  <c r="E600"/>
  <c r="F599"/>
  <c r="E599"/>
  <c r="F598"/>
  <c r="E598"/>
  <c r="F597"/>
  <c r="E597"/>
  <c r="F596"/>
  <c r="E596"/>
  <c r="F595"/>
  <c r="E595"/>
  <c r="F594"/>
  <c r="E594"/>
  <c r="F593"/>
  <c r="E593"/>
  <c r="F592"/>
  <c r="E592"/>
  <c r="F591"/>
  <c r="E591"/>
  <c r="F590"/>
  <c r="E590"/>
  <c r="F589"/>
  <c r="E589"/>
  <c r="F588"/>
  <c r="E588"/>
  <c r="F587"/>
  <c r="E587"/>
  <c r="F586"/>
  <c r="E586"/>
  <c r="F585"/>
  <c r="E585"/>
  <c r="F584"/>
  <c r="E584"/>
  <c r="F583"/>
  <c r="E583"/>
  <c r="F582"/>
  <c r="E582"/>
  <c r="F581"/>
  <c r="E581"/>
  <c r="F580"/>
  <c r="E580"/>
  <c r="F579"/>
  <c r="E579"/>
  <c r="F578"/>
  <c r="E578"/>
  <c r="F577"/>
  <c r="E577"/>
  <c r="F576"/>
  <c r="E576"/>
  <c r="F575"/>
  <c r="E575"/>
  <c r="F574"/>
  <c r="E574"/>
  <c r="F573"/>
  <c r="E573"/>
  <c r="F572"/>
  <c r="E572"/>
  <c r="F571"/>
  <c r="E571"/>
  <c r="F570"/>
  <c r="E570"/>
  <c r="F569"/>
  <c r="E569"/>
  <c r="F568"/>
  <c r="E568"/>
  <c r="F567"/>
  <c r="E567"/>
  <c r="F566"/>
  <c r="E566"/>
  <c r="F565"/>
  <c r="E565"/>
  <c r="F564"/>
  <c r="E564"/>
  <c r="F563"/>
  <c r="E563"/>
  <c r="F562"/>
  <c r="E562"/>
  <c r="F561"/>
  <c r="E561"/>
  <c r="F560"/>
  <c r="E560"/>
  <c r="F559"/>
  <c r="E559"/>
  <c r="F558"/>
  <c r="E558"/>
  <c r="F557"/>
  <c r="E557"/>
  <c r="F556"/>
  <c r="E556"/>
  <c r="F555"/>
  <c r="E555"/>
  <c r="F554"/>
  <c r="E554"/>
  <c r="F553"/>
  <c r="E553"/>
  <c r="F552"/>
  <c r="E552"/>
  <c r="F551"/>
  <c r="E551"/>
  <c r="F550"/>
  <c r="E550"/>
  <c r="F549"/>
  <c r="E549"/>
  <c r="F548"/>
  <c r="E548"/>
  <c r="E547"/>
  <c r="I547" s="1"/>
  <c r="F546"/>
  <c r="E546"/>
  <c r="F545"/>
  <c r="E545"/>
  <c r="F544"/>
  <c r="E544"/>
  <c r="F543"/>
  <c r="E543"/>
  <c r="F542"/>
  <c r="E542"/>
  <c r="F541"/>
  <c r="E541"/>
  <c r="F540"/>
  <c r="E540"/>
  <c r="F539"/>
  <c r="E539"/>
  <c r="F538"/>
  <c r="E538"/>
  <c r="F537"/>
  <c r="E537"/>
  <c r="F536"/>
  <c r="E536"/>
  <c r="F535"/>
  <c r="E535"/>
  <c r="F534"/>
  <c r="E534"/>
  <c r="F533"/>
  <c r="E533"/>
  <c r="F532"/>
  <c r="E532"/>
  <c r="F531"/>
  <c r="E531"/>
  <c r="E530"/>
  <c r="H530" s="1"/>
  <c r="F529"/>
  <c r="E529"/>
  <c r="F528"/>
  <c r="E528"/>
  <c r="F527"/>
  <c r="E527"/>
  <c r="F526"/>
  <c r="E526"/>
  <c r="F525"/>
  <c r="E525"/>
  <c r="F524"/>
  <c r="E524"/>
  <c r="F523"/>
  <c r="E523"/>
  <c r="F522"/>
  <c r="E522"/>
  <c r="E521"/>
  <c r="I521" s="1"/>
  <c r="E520"/>
  <c r="F519"/>
  <c r="E519"/>
  <c r="F518"/>
  <c r="E518"/>
  <c r="F517"/>
  <c r="E517"/>
  <c r="F516"/>
  <c r="E516"/>
  <c r="F515"/>
  <c r="E515"/>
  <c r="F514"/>
  <c r="E514"/>
  <c r="E513"/>
  <c r="G513" s="1"/>
  <c r="F512"/>
  <c r="E512"/>
  <c r="F511"/>
  <c r="E511"/>
  <c r="F510"/>
  <c r="E510"/>
  <c r="F509"/>
  <c r="E509"/>
  <c r="F508"/>
  <c r="E508"/>
  <c r="E507"/>
  <c r="H507" s="1"/>
  <c r="F506"/>
  <c r="E506"/>
  <c r="F505"/>
  <c r="E505"/>
  <c r="F504"/>
  <c r="E504"/>
  <c r="F503"/>
  <c r="E503"/>
  <c r="F502"/>
  <c r="E502"/>
  <c r="F501"/>
  <c r="E501"/>
  <c r="F500"/>
  <c r="E500"/>
  <c r="F499"/>
  <c r="E499"/>
  <c r="F498"/>
  <c r="E498"/>
  <c r="F497"/>
  <c r="E497"/>
  <c r="F496"/>
  <c r="E496"/>
  <c r="F495"/>
  <c r="E495"/>
  <c r="F494"/>
  <c r="E494"/>
  <c r="F493"/>
  <c r="E493"/>
  <c r="F492"/>
  <c r="E492"/>
  <c r="F491"/>
  <c r="E491"/>
  <c r="F490"/>
  <c r="E490"/>
  <c r="F489"/>
  <c r="E489"/>
  <c r="F488"/>
  <c r="E488"/>
  <c r="F487"/>
  <c r="E487"/>
  <c r="F486"/>
  <c r="E486"/>
  <c r="F485"/>
  <c r="E485"/>
  <c r="F484"/>
  <c r="E484"/>
  <c r="F483"/>
  <c r="E483"/>
  <c r="F482"/>
  <c r="E482"/>
  <c r="F481"/>
  <c r="E481"/>
  <c r="F480"/>
  <c r="E480"/>
  <c r="F479"/>
  <c r="E479"/>
  <c r="F478"/>
  <c r="E478"/>
  <c r="F477"/>
  <c r="E477"/>
  <c r="F476"/>
  <c r="E476"/>
  <c r="F475"/>
  <c r="E475"/>
  <c r="F474"/>
  <c r="E474"/>
  <c r="F473"/>
  <c r="E473"/>
  <c r="F472"/>
  <c r="E472"/>
  <c r="F471"/>
  <c r="E471"/>
  <c r="F470"/>
  <c r="E470"/>
  <c r="F469"/>
  <c r="E469"/>
  <c r="F468"/>
  <c r="E468"/>
  <c r="F467"/>
  <c r="E467"/>
  <c r="F466"/>
  <c r="E466"/>
  <c r="F465"/>
  <c r="E465"/>
  <c r="F464"/>
  <c r="E464"/>
  <c r="F463"/>
  <c r="E463"/>
  <c r="F462"/>
  <c r="E462"/>
  <c r="F461"/>
  <c r="E461"/>
  <c r="F460"/>
  <c r="E460"/>
  <c r="F459"/>
  <c r="E459"/>
  <c r="F458"/>
  <c r="E458"/>
  <c r="F457"/>
  <c r="E457"/>
  <c r="F456"/>
  <c r="E456"/>
  <c r="F455"/>
  <c r="E455"/>
  <c r="F454"/>
  <c r="E454"/>
  <c r="F453"/>
  <c r="E453"/>
  <c r="F452"/>
  <c r="E452"/>
  <c r="F451"/>
  <c r="E451"/>
  <c r="F450"/>
  <c r="E450"/>
  <c r="F449"/>
  <c r="E449"/>
  <c r="F448"/>
  <c r="E448"/>
  <c r="F447"/>
  <c r="E447"/>
  <c r="F446"/>
  <c r="E446"/>
  <c r="F445"/>
  <c r="E445"/>
  <c r="F444"/>
  <c r="E444"/>
  <c r="F443"/>
  <c r="E443"/>
  <c r="F442"/>
  <c r="E442"/>
  <c r="F441"/>
  <c r="E441"/>
  <c r="F440"/>
  <c r="E440"/>
  <c r="F439"/>
  <c r="E439"/>
  <c r="F438"/>
  <c r="E438"/>
  <c r="F437"/>
  <c r="E437"/>
  <c r="F436"/>
  <c r="E436"/>
  <c r="F435"/>
  <c r="E435"/>
  <c r="F434"/>
  <c r="E434"/>
  <c r="F433"/>
  <c r="E433"/>
  <c r="F432"/>
  <c r="E432"/>
  <c r="F431"/>
  <c r="E431"/>
  <c r="E430"/>
  <c r="I430" s="1"/>
  <c r="F429"/>
  <c r="E429"/>
  <c r="F428"/>
  <c r="E428"/>
  <c r="F427"/>
  <c r="E427"/>
  <c r="F426"/>
  <c r="E426"/>
  <c r="F425"/>
  <c r="E425"/>
  <c r="F424"/>
  <c r="E424"/>
  <c r="F423"/>
  <c r="E423"/>
  <c r="F422"/>
  <c r="E422"/>
  <c r="F421"/>
  <c r="E421"/>
  <c r="F420"/>
  <c r="E420"/>
  <c r="F419"/>
  <c r="E419"/>
  <c r="F418"/>
  <c r="E418"/>
  <c r="E417"/>
  <c r="G417" s="1"/>
  <c r="F416"/>
  <c r="E416"/>
  <c r="F415"/>
  <c r="E415"/>
  <c r="F414"/>
  <c r="E414"/>
  <c r="F413"/>
  <c r="E413"/>
  <c r="F412"/>
  <c r="E412"/>
  <c r="F411"/>
  <c r="E411"/>
  <c r="F410"/>
  <c r="E410"/>
  <c r="F409"/>
  <c r="E409"/>
  <c r="F408"/>
  <c r="E408"/>
  <c r="F407"/>
  <c r="E407"/>
  <c r="F406"/>
  <c r="E406"/>
  <c r="F405"/>
  <c r="E405"/>
  <c r="F404"/>
  <c r="E404"/>
  <c r="F403"/>
  <c r="E403"/>
  <c r="F402"/>
  <c r="E402"/>
  <c r="F401"/>
  <c r="E401"/>
  <c r="E400"/>
  <c r="G400" s="1"/>
  <c r="F399"/>
  <c r="E399"/>
  <c r="F398"/>
  <c r="E398"/>
  <c r="F397"/>
  <c r="E397"/>
  <c r="F396"/>
  <c r="E396"/>
  <c r="F395"/>
  <c r="E395"/>
  <c r="E394"/>
  <c r="F393"/>
  <c r="E393"/>
  <c r="F392"/>
  <c r="E392"/>
  <c r="F391"/>
  <c r="E391"/>
  <c r="F390"/>
  <c r="E390"/>
  <c r="F389"/>
  <c r="E389"/>
  <c r="F388"/>
  <c r="E388"/>
  <c r="F387"/>
  <c r="E387"/>
  <c r="E386"/>
  <c r="I386" s="1"/>
  <c r="F385"/>
  <c r="E385"/>
  <c r="F384"/>
  <c r="E384"/>
  <c r="F383"/>
  <c r="E383"/>
  <c r="F382"/>
  <c r="E382"/>
  <c r="F381"/>
  <c r="E381"/>
  <c r="F380"/>
  <c r="E380"/>
  <c r="F379"/>
  <c r="E379"/>
  <c r="F378"/>
  <c r="E378"/>
  <c r="F377"/>
  <c r="E377"/>
  <c r="F376"/>
  <c r="E376"/>
  <c r="F375"/>
  <c r="E375"/>
  <c r="F374"/>
  <c r="E374"/>
  <c r="F373"/>
  <c r="E373"/>
  <c r="F372"/>
  <c r="E372"/>
  <c r="F371"/>
  <c r="E371"/>
  <c r="F370"/>
  <c r="E370"/>
  <c r="F369"/>
  <c r="E369"/>
  <c r="F368"/>
  <c r="E368"/>
  <c r="E367"/>
  <c r="H367" s="1"/>
  <c r="F366"/>
  <c r="E366"/>
  <c r="F365"/>
  <c r="E365"/>
  <c r="F364"/>
  <c r="E364"/>
  <c r="F363"/>
  <c r="E363"/>
  <c r="F362"/>
  <c r="E362"/>
  <c r="F361"/>
  <c r="E361"/>
  <c r="F360"/>
  <c r="E360"/>
  <c r="F359"/>
  <c r="E359"/>
  <c r="F358"/>
  <c r="E358"/>
  <c r="F357"/>
  <c r="E357"/>
  <c r="F356"/>
  <c r="E356"/>
  <c r="F355"/>
  <c r="E355"/>
  <c r="E354"/>
  <c r="G354" s="1"/>
  <c r="E353"/>
  <c r="H353" s="1"/>
  <c r="F352"/>
  <c r="E352"/>
  <c r="F351"/>
  <c r="E351"/>
  <c r="F350"/>
  <c r="E350"/>
  <c r="F349"/>
  <c r="E349"/>
  <c r="F348"/>
  <c r="E348"/>
  <c r="F347"/>
  <c r="E347"/>
  <c r="F346"/>
  <c r="E346"/>
  <c r="F345"/>
  <c r="E345"/>
  <c r="F344"/>
  <c r="E344"/>
  <c r="F343"/>
  <c r="E343"/>
  <c r="F342"/>
  <c r="E342"/>
  <c r="F341"/>
  <c r="E341"/>
  <c r="F340"/>
  <c r="E340"/>
  <c r="F339"/>
  <c r="E339"/>
  <c r="F338"/>
  <c r="E338"/>
  <c r="F337"/>
  <c r="E337"/>
  <c r="F336"/>
  <c r="E336"/>
  <c r="F335"/>
  <c r="E335"/>
  <c r="F334"/>
  <c r="E334"/>
  <c r="F333"/>
  <c r="E333"/>
  <c r="F332"/>
  <c r="E332"/>
  <c r="F331"/>
  <c r="E331"/>
  <c r="F330"/>
  <c r="E330"/>
  <c r="F329"/>
  <c r="E329"/>
  <c r="F328"/>
  <c r="E328"/>
  <c r="F327"/>
  <c r="E327"/>
  <c r="E326"/>
  <c r="H326" s="1"/>
  <c r="F325"/>
  <c r="E325"/>
  <c r="F324"/>
  <c r="E324"/>
  <c r="F323"/>
  <c r="E323"/>
  <c r="F322"/>
  <c r="E322"/>
  <c r="F321"/>
  <c r="E321"/>
  <c r="F320"/>
  <c r="E320"/>
  <c r="F319"/>
  <c r="E319"/>
  <c r="F318"/>
  <c r="E318"/>
  <c r="F317"/>
  <c r="E317"/>
  <c r="F316"/>
  <c r="E316"/>
  <c r="F315"/>
  <c r="E315"/>
  <c r="F314"/>
  <c r="E314"/>
  <c r="F313"/>
  <c r="E313"/>
  <c r="F312"/>
  <c r="E312"/>
  <c r="F311"/>
  <c r="E311"/>
  <c r="F310"/>
  <c r="E310"/>
  <c r="F309"/>
  <c r="E309"/>
  <c r="F308"/>
  <c r="E308"/>
  <c r="F307"/>
  <c r="E307"/>
  <c r="F306"/>
  <c r="E306"/>
  <c r="F305"/>
  <c r="E305"/>
  <c r="F304"/>
  <c r="E304"/>
  <c r="F303"/>
  <c r="E303"/>
  <c r="F302"/>
  <c r="E302"/>
  <c r="E301"/>
  <c r="F300"/>
  <c r="E300"/>
  <c r="F299"/>
  <c r="E299"/>
  <c r="F298"/>
  <c r="E298"/>
  <c r="F297"/>
  <c r="E297"/>
  <c r="F296"/>
  <c r="E296"/>
  <c r="F295"/>
  <c r="E295"/>
  <c r="F294"/>
  <c r="E294"/>
  <c r="F293"/>
  <c r="E293"/>
  <c r="F292"/>
  <c r="E292"/>
  <c r="F291"/>
  <c r="E291"/>
  <c r="F290"/>
  <c r="E290"/>
  <c r="F289"/>
  <c r="E289"/>
  <c r="F288"/>
  <c r="E288"/>
  <c r="F287"/>
  <c r="E287"/>
  <c r="F286"/>
  <c r="E286"/>
  <c r="F285"/>
  <c r="E285"/>
  <c r="F284"/>
  <c r="E284"/>
  <c r="F283"/>
  <c r="E283"/>
  <c r="F282"/>
  <c r="E282"/>
  <c r="F281"/>
  <c r="E281"/>
  <c r="F280"/>
  <c r="E280"/>
  <c r="F279"/>
  <c r="E279"/>
  <c r="F278"/>
  <c r="E278"/>
  <c r="F277"/>
  <c r="E277"/>
  <c r="F276"/>
  <c r="E276"/>
  <c r="F275"/>
  <c r="E275"/>
  <c r="F274"/>
  <c r="E274"/>
  <c r="F273"/>
  <c r="E273"/>
  <c r="F272"/>
  <c r="E272"/>
  <c r="F271"/>
  <c r="E271"/>
  <c r="F270"/>
  <c r="E270"/>
  <c r="F269"/>
  <c r="E269"/>
  <c r="E268"/>
  <c r="H268" s="1"/>
  <c r="E267"/>
  <c r="F266"/>
  <c r="E266"/>
  <c r="E265"/>
  <c r="I265" s="1"/>
  <c r="E264"/>
  <c r="I264" s="1"/>
  <c r="E263"/>
  <c r="I263" s="1"/>
  <c r="F262"/>
  <c r="E262"/>
  <c r="F261"/>
  <c r="E261"/>
  <c r="F260"/>
  <c r="E260"/>
  <c r="F259"/>
  <c r="E259"/>
  <c r="F258"/>
  <c r="E258"/>
  <c r="F257"/>
  <c r="E257"/>
  <c r="F256"/>
  <c r="E256"/>
  <c r="F255"/>
  <c r="E255"/>
  <c r="F254"/>
  <c r="E254"/>
  <c r="F253"/>
  <c r="E253"/>
  <c r="F252"/>
  <c r="E252"/>
  <c r="F251"/>
  <c r="E251"/>
  <c r="F250"/>
  <c r="E250"/>
  <c r="F249"/>
  <c r="E249"/>
  <c r="F248"/>
  <c r="E248"/>
  <c r="F247"/>
  <c r="E247"/>
  <c r="F246"/>
  <c r="E246"/>
  <c r="F245"/>
  <c r="E245"/>
  <c r="F244"/>
  <c r="E244"/>
  <c r="F243"/>
  <c r="E243"/>
  <c r="F242"/>
  <c r="E242"/>
  <c r="F241"/>
  <c r="E241"/>
  <c r="F240"/>
  <c r="E240"/>
  <c r="F239"/>
  <c r="E239"/>
  <c r="F238"/>
  <c r="E238"/>
  <c r="F237"/>
  <c r="E237"/>
  <c r="F236"/>
  <c r="E236"/>
  <c r="F235"/>
  <c r="E235"/>
  <c r="F234"/>
  <c r="E234"/>
  <c r="F233"/>
  <c r="E233"/>
  <c r="F232"/>
  <c r="E232"/>
  <c r="F231"/>
  <c r="E231"/>
  <c r="F230"/>
  <c r="E230"/>
  <c r="F229"/>
  <c r="E229"/>
  <c r="F228"/>
  <c r="E228"/>
  <c r="F227"/>
  <c r="E227"/>
  <c r="F226"/>
  <c r="E226"/>
  <c r="F225"/>
  <c r="E225"/>
  <c r="F224"/>
  <c r="E224"/>
  <c r="F223"/>
  <c r="E223"/>
  <c r="E222"/>
  <c r="E221"/>
  <c r="I221" s="1"/>
  <c r="E220"/>
  <c r="I220" s="1"/>
  <c r="E219"/>
  <c r="I219" s="1"/>
  <c r="E218"/>
  <c r="F217"/>
  <c r="E217"/>
  <c r="F216"/>
  <c r="E216"/>
  <c r="F215"/>
  <c r="E215"/>
  <c r="E214"/>
  <c r="H214" s="1"/>
  <c r="F213"/>
  <c r="E213"/>
  <c r="F212"/>
  <c r="E212"/>
  <c r="F211"/>
  <c r="E211"/>
  <c r="F210"/>
  <c r="E210"/>
  <c r="F209"/>
  <c r="E209"/>
  <c r="F208"/>
  <c r="E208"/>
  <c r="F207"/>
  <c r="E207"/>
  <c r="F206"/>
  <c r="E206"/>
  <c r="F205"/>
  <c r="E205"/>
  <c r="F204"/>
  <c r="E204"/>
  <c r="F203"/>
  <c r="E203"/>
  <c r="F202"/>
  <c r="E202"/>
  <c r="F201"/>
  <c r="E201"/>
  <c r="E200"/>
  <c r="E199"/>
  <c r="I199" s="1"/>
  <c r="F198"/>
  <c r="E198"/>
  <c r="F197"/>
  <c r="E197"/>
  <c r="F196"/>
  <c r="E196"/>
  <c r="F195"/>
  <c r="E195"/>
  <c r="F194"/>
  <c r="E194"/>
  <c r="F193"/>
  <c r="E193"/>
  <c r="F192"/>
  <c r="E192"/>
  <c r="F191"/>
  <c r="E191"/>
  <c r="F190"/>
  <c r="E190"/>
  <c r="F189"/>
  <c r="E189"/>
  <c r="F188"/>
  <c r="E188"/>
  <c r="F187"/>
  <c r="E187"/>
  <c r="F186"/>
  <c r="E186"/>
  <c r="F185"/>
  <c r="E185"/>
  <c r="F184"/>
  <c r="E184"/>
  <c r="F183"/>
  <c r="E183"/>
  <c r="F182"/>
  <c r="E182"/>
  <c r="F181"/>
  <c r="E181"/>
  <c r="F180"/>
  <c r="E180"/>
  <c r="F179"/>
  <c r="E179"/>
  <c r="F178"/>
  <c r="E178"/>
  <c r="F177"/>
  <c r="E177"/>
  <c r="F176"/>
  <c r="E176"/>
  <c r="F175"/>
  <c r="E175"/>
  <c r="F174"/>
  <c r="E174"/>
  <c r="F173"/>
  <c r="E173"/>
  <c r="F172"/>
  <c r="E172"/>
  <c r="F171"/>
  <c r="E171"/>
  <c r="E170"/>
  <c r="I170" s="1"/>
  <c r="F169"/>
  <c r="E169"/>
  <c r="F168"/>
  <c r="E168"/>
  <c r="F167"/>
  <c r="E167"/>
  <c r="F166"/>
  <c r="E166"/>
  <c r="F165"/>
  <c r="E165"/>
  <c r="F164"/>
  <c r="E164"/>
  <c r="F163"/>
  <c r="E163"/>
  <c r="F162"/>
  <c r="E162"/>
  <c r="F161"/>
  <c r="E161"/>
  <c r="F160"/>
  <c r="E160"/>
  <c r="F159"/>
  <c r="E159"/>
  <c r="F158"/>
  <c r="E158"/>
  <c r="F157"/>
  <c r="E157"/>
  <c r="F156"/>
  <c r="E156"/>
  <c r="F155"/>
  <c r="E155"/>
  <c r="F154"/>
  <c r="E154"/>
  <c r="F153"/>
  <c r="E153"/>
  <c r="F152"/>
  <c r="E152"/>
  <c r="F151"/>
  <c r="E151"/>
  <c r="F150"/>
  <c r="E150"/>
  <c r="F149"/>
  <c r="E149"/>
  <c r="F148"/>
  <c r="E148"/>
  <c r="F147"/>
  <c r="E147"/>
  <c r="F146"/>
  <c r="E146"/>
  <c r="F145"/>
  <c r="E145"/>
  <c r="F144"/>
  <c r="E144"/>
  <c r="F143"/>
  <c r="E143"/>
  <c r="F142"/>
  <c r="E142"/>
  <c r="F141"/>
  <c r="E141"/>
  <c r="F140"/>
  <c r="E140"/>
  <c r="F139"/>
  <c r="E139"/>
  <c r="F138"/>
  <c r="E138"/>
  <c r="F137"/>
  <c r="E137"/>
  <c r="F136"/>
  <c r="E136"/>
  <c r="E135"/>
  <c r="I135" s="1"/>
  <c r="F134"/>
  <c r="E134"/>
  <c r="E133"/>
  <c r="G133" s="1"/>
  <c r="F132"/>
  <c r="E132"/>
  <c r="F131"/>
  <c r="E131"/>
  <c r="F130"/>
  <c r="E130"/>
  <c r="F129"/>
  <c r="E129"/>
  <c r="F128"/>
  <c r="E128"/>
  <c r="F127"/>
  <c r="E127"/>
  <c r="F126"/>
  <c r="E126"/>
  <c r="F125"/>
  <c r="E125"/>
  <c r="F124"/>
  <c r="E124"/>
  <c r="F123"/>
  <c r="E123"/>
  <c r="F122"/>
  <c r="E122"/>
  <c r="F121"/>
  <c r="E121"/>
  <c r="F120"/>
  <c r="E120"/>
  <c r="F119"/>
  <c r="E119"/>
  <c r="F118"/>
  <c r="E118"/>
  <c r="F117"/>
  <c r="E117"/>
  <c r="E116"/>
  <c r="G116" s="1"/>
  <c r="F115"/>
  <c r="E115"/>
  <c r="F114"/>
  <c r="E114"/>
  <c r="F113"/>
  <c r="E113"/>
  <c r="F112"/>
  <c r="E112"/>
  <c r="F111"/>
  <c r="E111"/>
  <c r="F110"/>
  <c r="E110"/>
  <c r="F109"/>
  <c r="E109"/>
  <c r="F108"/>
  <c r="E108"/>
  <c r="E107"/>
  <c r="F106"/>
  <c r="E106"/>
  <c r="F105"/>
  <c r="E105"/>
  <c r="F104"/>
  <c r="E104"/>
  <c r="F103"/>
  <c r="E103"/>
  <c r="F102"/>
  <c r="E102"/>
  <c r="F101"/>
  <c r="E101"/>
  <c r="F100"/>
  <c r="E100"/>
  <c r="F99"/>
  <c r="E99"/>
  <c r="F98"/>
  <c r="E98"/>
  <c r="F97"/>
  <c r="E97"/>
  <c r="F96"/>
  <c r="E96"/>
  <c r="F95"/>
  <c r="E95"/>
  <c r="F94"/>
  <c r="E94"/>
  <c r="F93"/>
  <c r="E93"/>
  <c r="F92"/>
  <c r="E92"/>
  <c r="F91"/>
  <c r="E91"/>
  <c r="F90"/>
  <c r="E90"/>
  <c r="F89"/>
  <c r="E89"/>
  <c r="F88"/>
  <c r="E88"/>
  <c r="F87"/>
  <c r="E87"/>
  <c r="E86"/>
  <c r="H86" s="1"/>
  <c r="F85"/>
  <c r="E85"/>
  <c r="F84"/>
  <c r="E84"/>
  <c r="F83"/>
  <c r="E83"/>
  <c r="F82"/>
  <c r="E82"/>
  <c r="F81"/>
  <c r="E81"/>
  <c r="F80"/>
  <c r="E80"/>
  <c r="F79"/>
  <c r="E79"/>
  <c r="F78"/>
  <c r="E78"/>
  <c r="F77"/>
  <c r="E77"/>
  <c r="F76"/>
  <c r="E76"/>
  <c r="F75"/>
  <c r="E75"/>
  <c r="F74"/>
  <c r="E74"/>
  <c r="E73"/>
  <c r="H73" s="1"/>
  <c r="F72"/>
  <c r="E72"/>
  <c r="F71"/>
  <c r="E71"/>
  <c r="F70"/>
  <c r="E70"/>
  <c r="F69"/>
  <c r="E69"/>
  <c r="F68"/>
  <c r="E68"/>
  <c r="F67"/>
  <c r="E67"/>
  <c r="F66"/>
  <c r="E66"/>
  <c r="F65"/>
  <c r="E65"/>
  <c r="F64"/>
  <c r="E64"/>
  <c r="F63"/>
  <c r="E63"/>
  <c r="E62"/>
  <c r="G62" s="1"/>
  <c r="F61"/>
  <c r="E61"/>
  <c r="E60"/>
  <c r="E59"/>
  <c r="I59" s="1"/>
  <c r="F58"/>
  <c r="E58"/>
  <c r="F57"/>
  <c r="E57"/>
  <c r="F56"/>
  <c r="E56"/>
  <c r="F55"/>
  <c r="E55"/>
  <c r="F54"/>
  <c r="E54"/>
  <c r="F53"/>
  <c r="E53"/>
  <c r="F52"/>
  <c r="E52"/>
  <c r="F51"/>
  <c r="E51"/>
  <c r="F50"/>
  <c r="E50"/>
  <c r="F49"/>
  <c r="E49"/>
  <c r="F48"/>
  <c r="E48"/>
  <c r="F47"/>
  <c r="E47"/>
  <c r="F46"/>
  <c r="E46"/>
  <c r="F45"/>
  <c r="E45"/>
  <c r="F44"/>
  <c r="E44"/>
  <c r="F43"/>
  <c r="E43"/>
  <c r="F42"/>
  <c r="E42"/>
  <c r="F41"/>
  <c r="E41"/>
  <c r="F40"/>
  <c r="E40"/>
  <c r="F39"/>
  <c r="E39"/>
  <c r="F38"/>
  <c r="E38"/>
  <c r="F37"/>
  <c r="E37"/>
  <c r="F36"/>
  <c r="E36"/>
  <c r="F35"/>
  <c r="E35"/>
  <c r="F34"/>
  <c r="E34"/>
  <c r="E33"/>
  <c r="I33" s="1"/>
  <c r="F32"/>
  <c r="E32"/>
  <c r="F31"/>
  <c r="E31"/>
  <c r="F30"/>
  <c r="E30"/>
  <c r="F29"/>
  <c r="E29"/>
  <c r="F28"/>
  <c r="E28"/>
  <c r="F27"/>
  <c r="E27"/>
  <c r="F26"/>
  <c r="E26"/>
  <c r="F25"/>
  <c r="E25"/>
  <c r="F24"/>
  <c r="E24"/>
  <c r="F23"/>
  <c r="E23"/>
  <c r="F22"/>
  <c r="E22"/>
  <c r="F21"/>
  <c r="E21"/>
  <c r="F20"/>
  <c r="E20"/>
  <c r="F19"/>
  <c r="E19"/>
  <c r="F18"/>
  <c r="E18"/>
  <c r="F17"/>
  <c r="E17"/>
  <c r="F16"/>
  <c r="E16"/>
  <c r="F15"/>
  <c r="E15"/>
  <c r="F14"/>
  <c r="E14"/>
  <c r="F13"/>
  <c r="E13"/>
  <c r="F12"/>
  <c r="E12"/>
  <c r="E11"/>
  <c r="I11" s="1"/>
  <c r="E10"/>
  <c r="G10" s="1"/>
  <c r="F9"/>
  <c r="E9"/>
  <c r="F8"/>
  <c r="E8"/>
  <c r="F7"/>
  <c r="E7"/>
  <c r="F6"/>
  <c r="E6"/>
  <c r="F5"/>
  <c r="E5"/>
  <c r="F4"/>
  <c r="E4"/>
  <c r="F3"/>
  <c r="E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F2"/>
  <c r="E2"/>
  <c r="D6" i="1"/>
  <c r="D5"/>
  <c r="D4"/>
  <c r="D3"/>
  <c r="C6"/>
  <c r="E6" s="1"/>
  <c r="C7"/>
  <c r="E7" s="1"/>
  <c r="C8"/>
  <c r="F8" s="1"/>
  <c r="C9"/>
  <c r="G9" s="1"/>
  <c r="C10"/>
  <c r="E10" s="1"/>
  <c r="C11"/>
  <c r="E11" s="1"/>
  <c r="C12"/>
  <c r="F12" s="1"/>
  <c r="C13"/>
  <c r="G13" s="1"/>
  <c r="C14"/>
  <c r="E14" s="1"/>
  <c r="C15"/>
  <c r="E15" s="1"/>
  <c r="C16"/>
  <c r="F16" s="1"/>
  <c r="C17"/>
  <c r="G17" s="1"/>
  <c r="C18"/>
  <c r="E18" s="1"/>
  <c r="C19"/>
  <c r="E19" s="1"/>
  <c r="C20"/>
  <c r="F20" s="1"/>
  <c r="C21"/>
  <c r="G21" s="1"/>
  <c r="C22"/>
  <c r="E22" s="1"/>
  <c r="C5"/>
  <c r="C4"/>
  <c r="C3"/>
  <c r="G1218" i="19" l="1"/>
  <c r="H239"/>
  <c r="H55"/>
  <c r="H61"/>
  <c r="H541"/>
  <c r="J541" s="1"/>
  <c r="I1381"/>
  <c r="G616"/>
  <c r="I1505"/>
  <c r="H909" i="18"/>
  <c r="J909" s="1"/>
  <c r="H913"/>
  <c r="H1296" i="19"/>
  <c r="G1321"/>
  <c r="G621"/>
  <c r="J621" s="1"/>
  <c r="I1479"/>
  <c r="G763"/>
  <c r="G819"/>
  <c r="H289" i="18"/>
  <c r="G879" i="19"/>
  <c r="H71"/>
  <c r="G1233"/>
  <c r="J1233" s="1"/>
  <c r="G521" i="18"/>
  <c r="H1048"/>
  <c r="H1052"/>
  <c r="G1316"/>
  <c r="H169" i="19"/>
  <c r="J169" s="1"/>
  <c r="G1050"/>
  <c r="J1050" s="1"/>
  <c r="H211"/>
  <c r="G290"/>
  <c r="J290" s="1"/>
  <c r="G1140"/>
  <c r="J1140" s="1"/>
  <c r="I319"/>
  <c r="I497"/>
  <c r="G1370"/>
  <c r="G609"/>
  <c r="G615"/>
  <c r="G135" i="18"/>
  <c r="G163"/>
  <c r="H376"/>
  <c r="G1446"/>
  <c r="I1619"/>
  <c r="G81" i="19"/>
  <c r="G152"/>
  <c r="H201"/>
  <c r="H304"/>
  <c r="G476"/>
  <c r="I494"/>
  <c r="G796"/>
  <c r="H1186" i="18"/>
  <c r="H81" i="19"/>
  <c r="J81" s="1"/>
  <c r="H1035"/>
  <c r="G479"/>
  <c r="I1339"/>
  <c r="I1483"/>
  <c r="H1617"/>
  <c r="G1617"/>
  <c r="H469" i="18"/>
  <c r="J469" s="1"/>
  <c r="H471"/>
  <c r="J471" s="1"/>
  <c r="H44" i="19"/>
  <c r="G280"/>
  <c r="G1132"/>
  <c r="I1142"/>
  <c r="G1147"/>
  <c r="H1154"/>
  <c r="J1154" s="1"/>
  <c r="I1184"/>
  <c r="G437"/>
  <c r="I1509"/>
  <c r="G1509"/>
  <c r="G1649"/>
  <c r="I1649"/>
  <c r="G354" i="18"/>
  <c r="G480"/>
  <c r="H598"/>
  <c r="J598" s="1"/>
  <c r="H692"/>
  <c r="J692" s="1"/>
  <c r="H940"/>
  <c r="J940" s="1"/>
  <c r="I1143"/>
  <c r="H1159"/>
  <c r="H1221"/>
  <c r="G1229"/>
  <c r="H1529"/>
  <c r="G1531"/>
  <c r="H914" i="19"/>
  <c r="G946"/>
  <c r="G221"/>
  <c r="G1126"/>
  <c r="J1126" s="1"/>
  <c r="G1131"/>
  <c r="J1131" s="1"/>
  <c r="G1139"/>
  <c r="H349"/>
  <c r="J349" s="1"/>
  <c r="I1218"/>
  <c r="H390"/>
  <c r="J390" s="1"/>
  <c r="I1236"/>
  <c r="H1240"/>
  <c r="I476"/>
  <c r="I1321"/>
  <c r="J1321" s="1"/>
  <c r="H1322"/>
  <c r="H1370"/>
  <c r="H576"/>
  <c r="J576" s="1"/>
  <c r="G1512"/>
  <c r="G690"/>
  <c r="J690" s="1"/>
  <c r="G704"/>
  <c r="J704" s="1"/>
  <c r="H1615"/>
  <c r="I1619"/>
  <c r="H1623"/>
  <c r="H918" i="18"/>
  <c r="H179" i="19"/>
  <c r="H1030"/>
  <c r="J1030" s="1"/>
  <c r="I189"/>
  <c r="I1072"/>
  <c r="H1077"/>
  <c r="J1077" s="1"/>
  <c r="H1103"/>
  <c r="H526"/>
  <c r="I790"/>
  <c r="H1622"/>
  <c r="J1622" s="1"/>
  <c r="I795"/>
  <c r="G77" i="18"/>
  <c r="H278"/>
  <c r="G406"/>
  <c r="G918"/>
  <c r="G921"/>
  <c r="G941"/>
  <c r="G1057"/>
  <c r="H86" i="19"/>
  <c r="J86" s="1"/>
  <c r="I107"/>
  <c r="G179"/>
  <c r="H1033"/>
  <c r="G1103"/>
  <c r="I264"/>
  <c r="H1164"/>
  <c r="G1167"/>
  <c r="J1167" s="1"/>
  <c r="I1169"/>
  <c r="H334"/>
  <c r="G1194"/>
  <c r="I1229"/>
  <c r="H1305"/>
  <c r="H502"/>
  <c r="J502" s="1"/>
  <c r="G526"/>
  <c r="G1367"/>
  <c r="J1367" s="1"/>
  <c r="I1384"/>
  <c r="G1398"/>
  <c r="J1398" s="1"/>
  <c r="H569"/>
  <c r="J569" s="1"/>
  <c r="H595"/>
  <c r="G1437"/>
  <c r="G1486"/>
  <c r="I1529"/>
  <c r="I724"/>
  <c r="G1567"/>
  <c r="J1567" s="1"/>
  <c r="G790"/>
  <c r="J790" s="1"/>
  <c r="G795"/>
  <c r="J795" s="1"/>
  <c r="H816"/>
  <c r="H198" i="18"/>
  <c r="J198" s="1"/>
  <c r="H226"/>
  <c r="G344"/>
  <c r="H354"/>
  <c r="G633"/>
  <c r="H1091"/>
  <c r="H1313"/>
  <c r="I1474"/>
  <c r="I24" i="19"/>
  <c r="H28"/>
  <c r="I88"/>
  <c r="G963"/>
  <c r="I123"/>
  <c r="G978"/>
  <c r="I982"/>
  <c r="H144"/>
  <c r="H1029"/>
  <c r="H185"/>
  <c r="J185" s="1"/>
  <c r="G1033"/>
  <c r="G1037"/>
  <c r="H1083"/>
  <c r="J1083" s="1"/>
  <c r="I248"/>
  <c r="I1111"/>
  <c r="H1139"/>
  <c r="H1174"/>
  <c r="J1174" s="1"/>
  <c r="G338"/>
  <c r="I340"/>
  <c r="G1197"/>
  <c r="G1201"/>
  <c r="I369"/>
  <c r="G402"/>
  <c r="I1243"/>
  <c r="H463"/>
  <c r="H482"/>
  <c r="J482" s="1"/>
  <c r="G1329"/>
  <c r="J1329" s="1"/>
  <c r="H491"/>
  <c r="I503"/>
  <c r="H515"/>
  <c r="H549"/>
  <c r="J549" s="1"/>
  <c r="H1393"/>
  <c r="J1393" s="1"/>
  <c r="G614"/>
  <c r="J614" s="1"/>
  <c r="I1464"/>
  <c r="H635"/>
  <c r="G1536"/>
  <c r="I1581"/>
  <c r="G1584"/>
  <c r="J1584" s="1"/>
  <c r="H763"/>
  <c r="H767"/>
  <c r="J767" s="1"/>
  <c r="J819"/>
  <c r="H129" i="18"/>
  <c r="J129" s="1"/>
  <c r="H186"/>
  <c r="J186" s="1"/>
  <c r="H234"/>
  <c r="H250"/>
  <c r="H316"/>
  <c r="G1313"/>
  <c r="G1394"/>
  <c r="G1619"/>
  <c r="I842" i="19"/>
  <c r="H21"/>
  <c r="J21" s="1"/>
  <c r="H31"/>
  <c r="I50"/>
  <c r="H67"/>
  <c r="H910"/>
  <c r="H944"/>
  <c r="H105"/>
  <c r="I150"/>
  <c r="H156"/>
  <c r="H1004"/>
  <c r="J1004" s="1"/>
  <c r="G177"/>
  <c r="H1023"/>
  <c r="G1057"/>
  <c r="H1068"/>
  <c r="J1068" s="1"/>
  <c r="G239"/>
  <c r="G250"/>
  <c r="J250" s="1"/>
  <c r="H1112"/>
  <c r="I1116"/>
  <c r="G334"/>
  <c r="G335"/>
  <c r="J335" s="1"/>
  <c r="H339"/>
  <c r="J339" s="1"/>
  <c r="H1184"/>
  <c r="J1184" s="1"/>
  <c r="G341"/>
  <c r="I362"/>
  <c r="H369"/>
  <c r="I1226"/>
  <c r="H392"/>
  <c r="J392" s="1"/>
  <c r="I1237"/>
  <c r="H403"/>
  <c r="G1240"/>
  <c r="G1275"/>
  <c r="J1275" s="1"/>
  <c r="H1302"/>
  <c r="G1305"/>
  <c r="G463"/>
  <c r="I1308"/>
  <c r="H503"/>
  <c r="J503" s="1"/>
  <c r="I527"/>
  <c r="H533"/>
  <c r="J533" s="1"/>
  <c r="I534"/>
  <c r="H1381"/>
  <c r="J1381" s="1"/>
  <c r="H557"/>
  <c r="H563"/>
  <c r="J563" s="1"/>
  <c r="G565"/>
  <c r="H1409"/>
  <c r="J1409" s="1"/>
  <c r="G595"/>
  <c r="I606"/>
  <c r="H644"/>
  <c r="J644" s="1"/>
  <c r="I1490"/>
  <c r="G1510"/>
  <c r="J1510" s="1"/>
  <c r="G708"/>
  <c r="I745"/>
  <c r="I1589"/>
  <c r="I772"/>
  <c r="H774"/>
  <c r="J774" s="1"/>
  <c r="G823"/>
  <c r="J823" s="1"/>
  <c r="G195" i="18"/>
  <c r="G640"/>
  <c r="J640" s="1"/>
  <c r="G910"/>
  <c r="H921"/>
  <c r="G947"/>
  <c r="G988"/>
  <c r="H1143"/>
  <c r="G1166"/>
  <c r="I1187"/>
  <c r="H1189"/>
  <c r="G1646"/>
  <c r="J1646" s="1"/>
  <c r="H848" i="19"/>
  <c r="I849"/>
  <c r="G862"/>
  <c r="H34"/>
  <c r="H50"/>
  <c r="J50" s="1"/>
  <c r="I51"/>
  <c r="G900"/>
  <c r="G910"/>
  <c r="G919"/>
  <c r="H938"/>
  <c r="G941"/>
  <c r="G944"/>
  <c r="G100"/>
  <c r="G951"/>
  <c r="G143"/>
  <c r="G156"/>
  <c r="G1023"/>
  <c r="G1024"/>
  <c r="J1024" s="1"/>
  <c r="I251"/>
  <c r="G1112"/>
  <c r="H1175"/>
  <c r="G1190"/>
  <c r="J1190" s="1"/>
  <c r="G1210"/>
  <c r="J1210" s="1"/>
  <c r="I433"/>
  <c r="H534"/>
  <c r="J534" s="1"/>
  <c r="G1379"/>
  <c r="J1379" s="1"/>
  <c r="G1461"/>
  <c r="J1461" s="1"/>
  <c r="G772"/>
  <c r="H215" i="18"/>
  <c r="G227"/>
  <c r="G278"/>
  <c r="H293"/>
  <c r="J293" s="1"/>
  <c r="H347"/>
  <c r="H437"/>
  <c r="J437" s="1"/>
  <c r="H626"/>
  <c r="H636"/>
  <c r="H638"/>
  <c r="G778"/>
  <c r="H791"/>
  <c r="J791" s="1"/>
  <c r="I1175"/>
  <c r="G1211"/>
  <c r="H1265"/>
  <c r="J1265" s="1"/>
  <c r="G1337"/>
  <c r="G1380"/>
  <c r="J1380" s="1"/>
  <c r="H1477"/>
  <c r="G1516"/>
  <c r="G1550"/>
  <c r="J1550" s="1"/>
  <c r="G16" i="19"/>
  <c r="G866"/>
  <c r="G51"/>
  <c r="J51" s="1"/>
  <c r="G57"/>
  <c r="J57" s="1"/>
  <c r="G60"/>
  <c r="J60" s="1"/>
  <c r="G71"/>
  <c r="G909"/>
  <c r="J909" s="1"/>
  <c r="H912"/>
  <c r="J912" s="1"/>
  <c r="H76"/>
  <c r="J76" s="1"/>
  <c r="G98"/>
  <c r="J98" s="1"/>
  <c r="H120"/>
  <c r="J120" s="1"/>
  <c r="G146"/>
  <c r="H999"/>
  <c r="J999" s="1"/>
  <c r="H1003"/>
  <c r="I1015"/>
  <c r="G1035"/>
  <c r="G192"/>
  <c r="J192" s="1"/>
  <c r="G1065"/>
  <c r="H251"/>
  <c r="H257"/>
  <c r="J257" s="1"/>
  <c r="H268"/>
  <c r="J268" s="1"/>
  <c r="H280"/>
  <c r="H1147"/>
  <c r="J1147" s="1"/>
  <c r="H338"/>
  <c r="H402"/>
  <c r="G1242"/>
  <c r="J1242" s="1"/>
  <c r="G1256"/>
  <c r="G433"/>
  <c r="I505"/>
  <c r="H1346"/>
  <c r="J1346" s="1"/>
  <c r="G1369"/>
  <c r="J1369" s="1"/>
  <c r="I1398"/>
  <c r="I578"/>
  <c r="H609"/>
  <c r="I1477"/>
  <c r="G658"/>
  <c r="J658" s="1"/>
  <c r="H667"/>
  <c r="J667" s="1"/>
  <c r="H1497"/>
  <c r="J1497" s="1"/>
  <c r="I1587"/>
  <c r="G1635"/>
  <c r="G1637"/>
  <c r="J1637" s="1"/>
  <c r="H824" i="18"/>
  <c r="G824"/>
  <c r="I1222"/>
  <c r="H1222"/>
  <c r="I1345"/>
  <c r="G1345"/>
  <c r="I1618"/>
  <c r="H1618"/>
  <c r="A4" i="19"/>
  <c r="A837"/>
  <c r="A838" s="1"/>
  <c r="I102"/>
  <c r="H102"/>
  <c r="I115"/>
  <c r="G115"/>
  <c r="H174"/>
  <c r="G174"/>
  <c r="H188"/>
  <c r="G188"/>
  <c r="H1048"/>
  <c r="G1048"/>
  <c r="H1061"/>
  <c r="G1061"/>
  <c r="I229"/>
  <c r="H229"/>
  <c r="G229"/>
  <c r="H238"/>
  <c r="G238"/>
  <c r="I1254"/>
  <c r="G1254"/>
  <c r="I452"/>
  <c r="H452"/>
  <c r="I1299"/>
  <c r="H1299"/>
  <c r="I1372"/>
  <c r="G1372"/>
  <c r="I600"/>
  <c r="G600"/>
  <c r="G1445"/>
  <c r="I1445"/>
  <c r="H1445"/>
  <c r="G1611"/>
  <c r="I1611"/>
  <c r="H13"/>
  <c r="G13"/>
  <c r="I858"/>
  <c r="G858"/>
  <c r="I52"/>
  <c r="G52"/>
  <c r="I903"/>
  <c r="G903"/>
  <c r="H948"/>
  <c r="G948"/>
  <c r="G990"/>
  <c r="H990"/>
  <c r="I1046"/>
  <c r="H1046"/>
  <c r="G1046"/>
  <c r="I1052"/>
  <c r="G1052"/>
  <c r="G277"/>
  <c r="H277"/>
  <c r="I1166"/>
  <c r="H1166"/>
  <c r="G1166"/>
  <c r="I327"/>
  <c r="H327"/>
  <c r="G327"/>
  <c r="I332"/>
  <c r="H332"/>
  <c r="G377"/>
  <c r="H377"/>
  <c r="H415"/>
  <c r="G415"/>
  <c r="I491"/>
  <c r="G491"/>
  <c r="I566"/>
  <c r="G566"/>
  <c r="I1414"/>
  <c r="H1414"/>
  <c r="I619"/>
  <c r="G619"/>
  <c r="H1459"/>
  <c r="G1459"/>
  <c r="I1532"/>
  <c r="H1532"/>
  <c r="H765"/>
  <c r="G765"/>
  <c r="I826"/>
  <c r="G826"/>
  <c r="I842" i="18"/>
  <c r="H842"/>
  <c r="J842" s="1"/>
  <c r="I914"/>
  <c r="G914"/>
  <c r="G1123"/>
  <c r="H1123"/>
  <c r="I1221"/>
  <c r="G1221"/>
  <c r="G1230"/>
  <c r="J1230" s="1"/>
  <c r="I1230"/>
  <c r="I1309"/>
  <c r="G1309"/>
  <c r="I835" i="19"/>
  <c r="H835"/>
  <c r="G835"/>
  <c r="H837"/>
  <c r="G837"/>
  <c r="I45"/>
  <c r="G45"/>
  <c r="J45" s="1"/>
  <c r="I891"/>
  <c r="H891"/>
  <c r="G891"/>
  <c r="I87"/>
  <c r="G87"/>
  <c r="I109"/>
  <c r="G109"/>
  <c r="H960"/>
  <c r="G960"/>
  <c r="G979"/>
  <c r="H979"/>
  <c r="H149"/>
  <c r="G149"/>
  <c r="I172"/>
  <c r="H172"/>
  <c r="G186"/>
  <c r="H186"/>
  <c r="I206"/>
  <c r="G206"/>
  <c r="H218"/>
  <c r="G218"/>
  <c r="H1079"/>
  <c r="G1079"/>
  <c r="I232"/>
  <c r="G232"/>
  <c r="I1086"/>
  <c r="H1086"/>
  <c r="G1086"/>
  <c r="G1090"/>
  <c r="H1090"/>
  <c r="I293"/>
  <c r="H293"/>
  <c r="I1150"/>
  <c r="H1150"/>
  <c r="H1193"/>
  <c r="G1193"/>
  <c r="I400"/>
  <c r="H400"/>
  <c r="G400"/>
  <c r="I407"/>
  <c r="G407"/>
  <c r="I572"/>
  <c r="G572"/>
  <c r="I1436"/>
  <c r="G1436"/>
  <c r="I599"/>
  <c r="G599"/>
  <c r="H1444"/>
  <c r="G1444"/>
  <c r="H608"/>
  <c r="I608"/>
  <c r="I628"/>
  <c r="G628"/>
  <c r="I722"/>
  <c r="G722"/>
  <c r="I1560"/>
  <c r="H1560"/>
  <c r="G1560"/>
  <c r="I742"/>
  <c r="H742"/>
  <c r="I778"/>
  <c r="G778"/>
  <c r="G1634"/>
  <c r="I1634"/>
  <c r="H1634"/>
  <c r="H228" i="18"/>
  <c r="J228" s="1"/>
  <c r="H313"/>
  <c r="H317"/>
  <c r="G369"/>
  <c r="G601"/>
  <c r="H620"/>
  <c r="J620" s="1"/>
  <c r="I625"/>
  <c r="G695"/>
  <c r="H915"/>
  <c r="J915" s="1"/>
  <c r="H1058"/>
  <c r="J1058" s="1"/>
  <c r="G1076"/>
  <c r="H1167"/>
  <c r="J1167" s="1"/>
  <c r="H1212"/>
  <c r="J1212" s="1"/>
  <c r="G1222"/>
  <c r="H1310"/>
  <c r="H1345"/>
  <c r="G1452"/>
  <c r="J1452" s="1"/>
  <c r="H1476"/>
  <c r="H934" i="19"/>
  <c r="J934" s="1"/>
  <c r="I1120"/>
  <c r="I386"/>
  <c r="H1254"/>
  <c r="H1372"/>
  <c r="I836" i="18"/>
  <c r="G836"/>
  <c r="G1130"/>
  <c r="I1130"/>
  <c r="H1498"/>
  <c r="G1498"/>
  <c r="G27" i="19"/>
  <c r="I27"/>
  <c r="I1008"/>
  <c r="G1008"/>
  <c r="G1088"/>
  <c r="I1088"/>
  <c r="G281"/>
  <c r="I281"/>
  <c r="I282"/>
  <c r="G282"/>
  <c r="J282" s="1"/>
  <c r="H294"/>
  <c r="G294"/>
  <c r="I1151"/>
  <c r="H1151"/>
  <c r="G1168"/>
  <c r="I1168"/>
  <c r="H326"/>
  <c r="G326"/>
  <c r="I345"/>
  <c r="H345"/>
  <c r="I1239"/>
  <c r="G1239"/>
  <c r="H1253"/>
  <c r="I1253"/>
  <c r="G470"/>
  <c r="H470"/>
  <c r="I1376"/>
  <c r="H1376"/>
  <c r="G1376"/>
  <c r="H1426"/>
  <c r="I1426"/>
  <c r="H603"/>
  <c r="G603"/>
  <c r="I785"/>
  <c r="H785"/>
  <c r="G785"/>
  <c r="H1630"/>
  <c r="I1630"/>
  <c r="H809"/>
  <c r="G809"/>
  <c r="I1547" i="18"/>
  <c r="H1547"/>
  <c r="I1651"/>
  <c r="H1651"/>
  <c r="I35" i="19"/>
  <c r="H35"/>
  <c r="G35"/>
  <c r="I976"/>
  <c r="G976"/>
  <c r="H1021"/>
  <c r="G1021"/>
  <c r="I310"/>
  <c r="G310"/>
  <c r="I409"/>
  <c r="H409"/>
  <c r="H1255"/>
  <c r="G1255"/>
  <c r="I434"/>
  <c r="G434"/>
  <c r="I440"/>
  <c r="H440"/>
  <c r="G440"/>
  <c r="H466"/>
  <c r="G466"/>
  <c r="I483"/>
  <c r="H483"/>
  <c r="H1406"/>
  <c r="G1406"/>
  <c r="I1448"/>
  <c r="G1448"/>
  <c r="I1521"/>
  <c r="G1521"/>
  <c r="I1538"/>
  <c r="G1538"/>
  <c r="G705"/>
  <c r="H705"/>
  <c r="G843" i="18"/>
  <c r="J843" s="1"/>
  <c r="I843"/>
  <c r="I1084"/>
  <c r="H1084"/>
  <c r="I1333"/>
  <c r="G1333"/>
  <c r="I1479"/>
  <c r="G1479"/>
  <c r="G831" i="19"/>
  <c r="H831"/>
  <c r="H36"/>
  <c r="G36"/>
  <c r="I876"/>
  <c r="G876"/>
  <c r="J876" s="1"/>
  <c r="H887"/>
  <c r="G887"/>
  <c r="I70"/>
  <c r="H70"/>
  <c r="G125"/>
  <c r="I125"/>
  <c r="H981"/>
  <c r="G981"/>
  <c r="I167"/>
  <c r="H167"/>
  <c r="G167"/>
  <c r="I190"/>
  <c r="H190"/>
  <c r="I196"/>
  <c r="G196"/>
  <c r="G209"/>
  <c r="H209"/>
  <c r="I244"/>
  <c r="H244"/>
  <c r="I1098"/>
  <c r="H1098"/>
  <c r="G270"/>
  <c r="H270"/>
  <c r="I1137"/>
  <c r="H1137"/>
  <c r="H314"/>
  <c r="G314"/>
  <c r="I1176"/>
  <c r="G1176"/>
  <c r="J1176" s="1"/>
  <c r="I363"/>
  <c r="G363"/>
  <c r="H376"/>
  <c r="G376"/>
  <c r="I1265"/>
  <c r="G1265"/>
  <c r="I1271"/>
  <c r="G1271"/>
  <c r="I1272"/>
  <c r="G1272"/>
  <c r="J1272" s="1"/>
  <c r="G481"/>
  <c r="H481"/>
  <c r="I487"/>
  <c r="G487"/>
  <c r="I488"/>
  <c r="H488"/>
  <c r="G488"/>
  <c r="H501"/>
  <c r="G501"/>
  <c r="H1373"/>
  <c r="G1373"/>
  <c r="H546"/>
  <c r="G546"/>
  <c r="H1405"/>
  <c r="G1405"/>
  <c r="H589"/>
  <c r="I589"/>
  <c r="H1431"/>
  <c r="G1431"/>
  <c r="I612"/>
  <c r="G612"/>
  <c r="I674"/>
  <c r="H674"/>
  <c r="I698"/>
  <c r="H698"/>
  <c r="I701"/>
  <c r="G701"/>
  <c r="I1582"/>
  <c r="H1582"/>
  <c r="G1582"/>
  <c r="G1586"/>
  <c r="I1586"/>
  <c r="H1586"/>
  <c r="G1599"/>
  <c r="H1599"/>
  <c r="I1650"/>
  <c r="H1650"/>
  <c r="I72" i="18"/>
  <c r="G76"/>
  <c r="H77"/>
  <c r="I86"/>
  <c r="H260"/>
  <c r="J260" s="1"/>
  <c r="H312"/>
  <c r="G313"/>
  <c r="G316"/>
  <c r="G317"/>
  <c r="H318"/>
  <c r="J318" s="1"/>
  <c r="H320"/>
  <c r="J320" s="1"/>
  <c r="H324"/>
  <c r="H333"/>
  <c r="J333" s="1"/>
  <c r="H335"/>
  <c r="J335" s="1"/>
  <c r="G428"/>
  <c r="H483"/>
  <c r="G538"/>
  <c r="G603"/>
  <c r="G625"/>
  <c r="I626"/>
  <c r="G628"/>
  <c r="H633"/>
  <c r="I824"/>
  <c r="H1130"/>
  <c r="H1229"/>
  <c r="H1334"/>
  <c r="G1476"/>
  <c r="G1618"/>
  <c r="I834" i="19"/>
  <c r="H27"/>
  <c r="H49"/>
  <c r="J49" s="1"/>
  <c r="I897"/>
  <c r="G102"/>
  <c r="H111"/>
  <c r="G127"/>
  <c r="G1020"/>
  <c r="H200"/>
  <c r="H1106"/>
  <c r="J1106" s="1"/>
  <c r="G1151"/>
  <c r="H1239"/>
  <c r="H421"/>
  <c r="J1256"/>
  <c r="I466"/>
  <c r="I1459"/>
  <c r="G1516"/>
  <c r="H1563"/>
  <c r="I765"/>
  <c r="H1611"/>
  <c r="H801"/>
  <c r="J801" s="1"/>
  <c r="I809"/>
  <c r="H826"/>
  <c r="G1651" i="18"/>
  <c r="H1" i="19"/>
  <c r="H932"/>
  <c r="J932" s="1"/>
  <c r="H119"/>
  <c r="J119" s="1"/>
  <c r="H235"/>
  <c r="G1117"/>
  <c r="H1122"/>
  <c r="H276"/>
  <c r="G1195"/>
  <c r="H373"/>
  <c r="J373" s="1"/>
  <c r="G387"/>
  <c r="J387" s="1"/>
  <c r="G399"/>
  <c r="J399" s="1"/>
  <c r="H1274"/>
  <c r="J1274" s="1"/>
  <c r="H467"/>
  <c r="J467" s="1"/>
  <c r="H1314"/>
  <c r="G1335"/>
  <c r="J1335" s="1"/>
  <c r="H500"/>
  <c r="J500" s="1"/>
  <c r="H1364"/>
  <c r="J1364" s="1"/>
  <c r="H531"/>
  <c r="J531" s="1"/>
  <c r="H543"/>
  <c r="J543" s="1"/>
  <c r="G1414"/>
  <c r="H628"/>
  <c r="G674"/>
  <c r="G1514"/>
  <c r="J1514" s="1"/>
  <c r="G1530"/>
  <c r="J1530" s="1"/>
  <c r="H1547"/>
  <c r="J1547" s="1"/>
  <c r="G1559"/>
  <c r="I754"/>
  <c r="G756"/>
  <c r="J756" s="1"/>
  <c r="I1600"/>
  <c r="G1650"/>
  <c r="I885" i="18"/>
  <c r="H969"/>
  <c r="J969" s="1"/>
  <c r="G1015"/>
  <c r="G1372"/>
  <c r="J1372" s="1"/>
  <c r="G1422"/>
  <c r="G1501"/>
  <c r="H19" i="19"/>
  <c r="J19" s="1"/>
  <c r="G28"/>
  <c r="H30"/>
  <c r="G31"/>
  <c r="G61"/>
  <c r="H922"/>
  <c r="G939"/>
  <c r="H101"/>
  <c r="G128"/>
  <c r="H139"/>
  <c r="J139" s="1"/>
  <c r="G144"/>
  <c r="H989"/>
  <c r="J989" s="1"/>
  <c r="G1015"/>
  <c r="H208"/>
  <c r="J208" s="1"/>
  <c r="H225"/>
  <c r="J225" s="1"/>
  <c r="G1078"/>
  <c r="H242"/>
  <c r="J242" s="1"/>
  <c r="G1096"/>
  <c r="H298"/>
  <c r="H319"/>
  <c r="G340"/>
  <c r="H1187"/>
  <c r="H1188"/>
  <c r="H351"/>
  <c r="J351" s="1"/>
  <c r="G1212"/>
  <c r="J1212" s="1"/>
  <c r="H366"/>
  <c r="H1236"/>
  <c r="H1243"/>
  <c r="H414"/>
  <c r="J414" s="1"/>
  <c r="G1302"/>
  <c r="H1318"/>
  <c r="J1318" s="1"/>
  <c r="H551"/>
  <c r="G557"/>
  <c r="G578"/>
  <c r="H580"/>
  <c r="J580" s="1"/>
  <c r="I1432"/>
  <c r="H1443"/>
  <c r="J1443" s="1"/>
  <c r="H1464"/>
  <c r="I637"/>
  <c r="H1512"/>
  <c r="H694"/>
  <c r="J694" s="1"/>
  <c r="H1597"/>
  <c r="J1597" s="1"/>
  <c r="H1644"/>
  <c r="G117" i="18"/>
  <c r="H117"/>
  <c r="I500"/>
  <c r="G500"/>
  <c r="H500"/>
  <c r="I589"/>
  <c r="G589"/>
  <c r="H589"/>
  <c r="G797"/>
  <c r="H797"/>
  <c r="I797"/>
  <c r="I1260"/>
  <c r="H1260"/>
  <c r="G1260"/>
  <c r="G854" i="19"/>
  <c r="H854"/>
  <c r="I854"/>
  <c r="G47"/>
  <c r="H47"/>
  <c r="I47"/>
  <c r="H902"/>
  <c r="G902"/>
  <c r="I97"/>
  <c r="G97"/>
  <c r="H97"/>
  <c r="I124"/>
  <c r="G124"/>
  <c r="H124"/>
  <c r="I984"/>
  <c r="H984"/>
  <c r="G984"/>
  <c r="I151"/>
  <c r="G151"/>
  <c r="H151"/>
  <c r="G1019"/>
  <c r="H1019"/>
  <c r="H1064"/>
  <c r="G1064"/>
  <c r="I247"/>
  <c r="G247"/>
  <c r="H247"/>
  <c r="G258"/>
  <c r="I258"/>
  <c r="H258"/>
  <c r="I272"/>
  <c r="G272"/>
  <c r="H272"/>
  <c r="I1146"/>
  <c r="G1146"/>
  <c r="H1155"/>
  <c r="I1155"/>
  <c r="I408"/>
  <c r="H408"/>
  <c r="G408"/>
  <c r="H58" i="18"/>
  <c r="I58"/>
  <c r="I187"/>
  <c r="G187"/>
  <c r="H187"/>
  <c r="I543"/>
  <c r="H543"/>
  <c r="G543"/>
  <c r="I702"/>
  <c r="G702"/>
  <c r="I874"/>
  <c r="G874"/>
  <c r="H1480"/>
  <c r="G1480"/>
  <c r="I898" i="19"/>
  <c r="H898"/>
  <c r="G898"/>
  <c r="I62"/>
  <c r="G62"/>
  <c r="H62"/>
  <c r="I920"/>
  <c r="G920"/>
  <c r="H920"/>
  <c r="G96"/>
  <c r="H96"/>
  <c r="I954"/>
  <c r="G954"/>
  <c r="H954"/>
  <c r="H957"/>
  <c r="G957"/>
  <c r="H155"/>
  <c r="G155"/>
  <c r="I155"/>
  <c r="H162"/>
  <c r="G162"/>
  <c r="G216"/>
  <c r="H216"/>
  <c r="I216"/>
  <c r="G253"/>
  <c r="I253"/>
  <c r="I1220"/>
  <c r="H1220"/>
  <c r="G1220"/>
  <c r="G417"/>
  <c r="I417"/>
  <c r="H417"/>
  <c r="I59" i="18"/>
  <c r="G59"/>
  <c r="H59"/>
  <c r="H115"/>
  <c r="G115"/>
  <c r="G188"/>
  <c r="H188"/>
  <c r="I188"/>
  <c r="G199"/>
  <c r="H199"/>
  <c r="I199"/>
  <c r="I707"/>
  <c r="G707"/>
  <c r="I802"/>
  <c r="G802"/>
  <c r="H802"/>
  <c r="G1100"/>
  <c r="I1100"/>
  <c r="H1100"/>
  <c r="I1606"/>
  <c r="H1606"/>
  <c r="H851" i="19"/>
  <c r="G851"/>
  <c r="G85"/>
  <c r="I85"/>
  <c r="H85"/>
  <c r="I942"/>
  <c r="G942"/>
  <c r="H942"/>
  <c r="G956"/>
  <c r="H956"/>
  <c r="I970"/>
  <c r="H970"/>
  <c r="G970"/>
  <c r="G154"/>
  <c r="I154"/>
  <c r="H154"/>
  <c r="I1005"/>
  <c r="H1005"/>
  <c r="I173"/>
  <c r="H173"/>
  <c r="G173"/>
  <c r="H195"/>
  <c r="G195"/>
  <c r="I203"/>
  <c r="G203"/>
  <c r="H203"/>
  <c r="I214"/>
  <c r="G214"/>
  <c r="H214"/>
  <c r="I252"/>
  <c r="H252"/>
  <c r="G252"/>
  <c r="I1230"/>
  <c r="G1230"/>
  <c r="H1230"/>
  <c r="H448"/>
  <c r="G448"/>
  <c r="I448"/>
  <c r="I1284"/>
  <c r="H1284"/>
  <c r="G1284"/>
  <c r="I1291"/>
  <c r="H1291"/>
  <c r="G1291"/>
  <c r="G370" i="18"/>
  <c r="H370"/>
  <c r="G948"/>
  <c r="H948"/>
  <c r="I1061"/>
  <c r="G1061"/>
  <c r="I1301"/>
  <c r="G1301"/>
  <c r="H1301"/>
  <c r="I1305"/>
  <c r="G1305"/>
  <c r="H1305"/>
  <c r="G1389"/>
  <c r="H1389"/>
  <c r="I1389"/>
  <c r="H78" i="19"/>
  <c r="I78"/>
  <c r="G961"/>
  <c r="I961"/>
  <c r="G207"/>
  <c r="I207"/>
  <c r="I263"/>
  <c r="H263"/>
  <c r="G263"/>
  <c r="H356"/>
  <c r="I356"/>
  <c r="G356"/>
  <c r="H1248"/>
  <c r="I1248"/>
  <c r="G1248"/>
  <c r="I1297"/>
  <c r="G1297"/>
  <c r="H1297"/>
  <c r="H1303"/>
  <c r="I1303"/>
  <c r="G1303"/>
  <c r="I1309"/>
  <c r="H1309"/>
  <c r="G1309"/>
  <c r="I201" i="18"/>
  <c r="G201"/>
  <c r="H629"/>
  <c r="G629"/>
  <c r="G718"/>
  <c r="I718"/>
  <c r="H718"/>
  <c r="I1099"/>
  <c r="G1099"/>
  <c r="H1099"/>
  <c r="G1131"/>
  <c r="H1131"/>
  <c r="I1131"/>
  <c r="I850" i="19"/>
  <c r="G850"/>
  <c r="H850"/>
  <c r="H132"/>
  <c r="G132"/>
  <c r="I153"/>
  <c r="H153"/>
  <c r="G153"/>
  <c r="H194"/>
  <c r="I194"/>
  <c r="I285"/>
  <c r="G285"/>
  <c r="H285"/>
  <c r="H473"/>
  <c r="I473"/>
  <c r="G473"/>
  <c r="I126" i="18"/>
  <c r="G126"/>
  <c r="G196"/>
  <c r="H196"/>
  <c r="G501"/>
  <c r="I501"/>
  <c r="H501"/>
  <c r="I514"/>
  <c r="G514"/>
  <c r="G590"/>
  <c r="H590"/>
  <c r="I796"/>
  <c r="G796"/>
  <c r="H796"/>
  <c r="I1092"/>
  <c r="G1092"/>
  <c r="H1092"/>
  <c r="G1302"/>
  <c r="H1302"/>
  <c r="I1302"/>
  <c r="I1412"/>
  <c r="G1412"/>
  <c r="H1412"/>
  <c r="H1472"/>
  <c r="G1472"/>
  <c r="H5" i="19"/>
  <c r="I5"/>
  <c r="G847"/>
  <c r="H847"/>
  <c r="I853"/>
  <c r="G853"/>
  <c r="H853"/>
  <c r="G864"/>
  <c r="I864"/>
  <c r="G43"/>
  <c r="H43"/>
  <c r="I888"/>
  <c r="G888"/>
  <c r="H918"/>
  <c r="G918"/>
  <c r="I108"/>
  <c r="H108"/>
  <c r="G108"/>
  <c r="I967"/>
  <c r="G967"/>
  <c r="H967"/>
  <c r="G135"/>
  <c r="I135"/>
  <c r="H142"/>
  <c r="G142"/>
  <c r="G145"/>
  <c r="I145"/>
  <c r="H994"/>
  <c r="G994"/>
  <c r="H184"/>
  <c r="G184"/>
  <c r="I184"/>
  <c r="I197"/>
  <c r="H197"/>
  <c r="G197"/>
  <c r="I1053"/>
  <c r="G1053"/>
  <c r="H1053"/>
  <c r="I212"/>
  <c r="H212"/>
  <c r="G212"/>
  <c r="I1094"/>
  <c r="H1094"/>
  <c r="I1105"/>
  <c r="H1105"/>
  <c r="G1105"/>
  <c r="H1108"/>
  <c r="G1108"/>
  <c r="H1118"/>
  <c r="G1118"/>
  <c r="H309"/>
  <c r="G309"/>
  <c r="G322"/>
  <c r="I322"/>
  <c r="H322"/>
  <c r="H1179"/>
  <c r="G1179"/>
  <c r="I1223"/>
  <c r="H1223"/>
  <c r="G1223"/>
  <c r="H374"/>
  <c r="G374"/>
  <c r="I1268"/>
  <c r="H1268"/>
  <c r="H591"/>
  <c r="G591"/>
  <c r="G597"/>
  <c r="H597"/>
  <c r="I1481"/>
  <c r="G1481"/>
  <c r="H1481"/>
  <c r="I1518"/>
  <c r="G1518"/>
  <c r="I1543"/>
  <c r="H1543"/>
  <c r="G1543"/>
  <c r="G715"/>
  <c r="H715"/>
  <c r="G717"/>
  <c r="H717"/>
  <c r="H730"/>
  <c r="G730"/>
  <c r="I750"/>
  <c r="H750"/>
  <c r="G750"/>
  <c r="G806"/>
  <c r="I806"/>
  <c r="H806"/>
  <c r="I1642"/>
  <c r="G1642"/>
  <c r="I1645"/>
  <c r="G1645"/>
  <c r="H1645"/>
  <c r="G828"/>
  <c r="H828"/>
  <c r="I1121"/>
  <c r="G1121"/>
  <c r="I336"/>
  <c r="G336"/>
  <c r="I1192"/>
  <c r="G1192"/>
  <c r="I1232"/>
  <c r="G1232"/>
  <c r="H406"/>
  <c r="G406"/>
  <c r="H477"/>
  <c r="G477"/>
  <c r="G1342"/>
  <c r="I1342"/>
  <c r="H1342"/>
  <c r="G581"/>
  <c r="I581"/>
  <c r="H662"/>
  <c r="G662"/>
  <c r="H1500"/>
  <c r="I1500"/>
  <c r="G1500"/>
  <c r="I779"/>
  <c r="H779"/>
  <c r="G779"/>
  <c r="I249"/>
  <c r="G249"/>
  <c r="J249" s="1"/>
  <c r="G287"/>
  <c r="H287"/>
  <c r="H1149"/>
  <c r="G1149"/>
  <c r="I1158"/>
  <c r="H1158"/>
  <c r="G1158"/>
  <c r="H1163"/>
  <c r="G1163"/>
  <c r="G1202"/>
  <c r="H1202"/>
  <c r="I1203"/>
  <c r="H1203"/>
  <c r="H359"/>
  <c r="G359"/>
  <c r="I1227"/>
  <c r="G1227"/>
  <c r="J1227" s="1"/>
  <c r="I395"/>
  <c r="H395"/>
  <c r="G430"/>
  <c r="I430"/>
  <c r="H431"/>
  <c r="G431"/>
  <c r="G1282"/>
  <c r="H1282"/>
  <c r="I449"/>
  <c r="H449"/>
  <c r="H1292"/>
  <c r="G1292"/>
  <c r="G1293"/>
  <c r="I1293"/>
  <c r="I460"/>
  <c r="H460"/>
  <c r="G460"/>
  <c r="G462"/>
  <c r="H462"/>
  <c r="G464"/>
  <c r="I464"/>
  <c r="H464"/>
  <c r="H486"/>
  <c r="G486"/>
  <c r="H518"/>
  <c r="G518"/>
  <c r="I539"/>
  <c r="G539"/>
  <c r="J539" s="1"/>
  <c r="G1390"/>
  <c r="H1390"/>
  <c r="I555"/>
  <c r="H555"/>
  <c r="G555"/>
  <c r="H574"/>
  <c r="G574"/>
  <c r="I1422"/>
  <c r="H1422"/>
  <c r="H587"/>
  <c r="I587"/>
  <c r="G1434"/>
  <c r="H1434"/>
  <c r="I1434"/>
  <c r="H602"/>
  <c r="I602"/>
  <c r="I1452"/>
  <c r="G1452"/>
  <c r="H1452"/>
  <c r="I652"/>
  <c r="G652"/>
  <c r="I682"/>
  <c r="G682"/>
  <c r="J682" s="1"/>
  <c r="I687"/>
  <c r="G687"/>
  <c r="H687"/>
  <c r="G706"/>
  <c r="H706"/>
  <c r="I706"/>
  <c r="H1549"/>
  <c r="G1549"/>
  <c r="H1555"/>
  <c r="G1555"/>
  <c r="G721"/>
  <c r="H721"/>
  <c r="H1565"/>
  <c r="G1565"/>
  <c r="I729"/>
  <c r="G729"/>
  <c r="H729"/>
  <c r="H1574"/>
  <c r="I1574"/>
  <c r="G1574"/>
  <c r="I1576"/>
  <c r="H1576"/>
  <c r="G1576"/>
  <c r="I1610"/>
  <c r="G1610"/>
  <c r="I1624"/>
  <c r="H1624"/>
  <c r="G1624"/>
  <c r="I1635"/>
  <c r="H1635"/>
  <c r="I817"/>
  <c r="H817"/>
  <c r="G817"/>
  <c r="G824"/>
  <c r="I824"/>
  <c r="H824"/>
  <c r="H44" i="18"/>
  <c r="H49"/>
  <c r="H562"/>
  <c r="H578"/>
  <c r="H875"/>
  <c r="H1049"/>
  <c r="I1050"/>
  <c r="H1053"/>
  <c r="I1455"/>
  <c r="H38" i="19"/>
  <c r="H41"/>
  <c r="I882"/>
  <c r="I890"/>
  <c r="H916"/>
  <c r="I926"/>
  <c r="I114"/>
  <c r="H122"/>
  <c r="J122" s="1"/>
  <c r="I975"/>
  <c r="I176"/>
  <c r="H1039"/>
  <c r="I1070"/>
  <c r="I1080"/>
  <c r="I1395"/>
  <c r="I1526"/>
  <c r="I485"/>
  <c r="H485"/>
  <c r="G485"/>
  <c r="G511"/>
  <c r="H511"/>
  <c r="G1355"/>
  <c r="H1355"/>
  <c r="G521"/>
  <c r="H521"/>
  <c r="I522"/>
  <c r="H522"/>
  <c r="H1361"/>
  <c r="G1361"/>
  <c r="G1362"/>
  <c r="H1362"/>
  <c r="H547"/>
  <c r="I547"/>
  <c r="H550"/>
  <c r="I550"/>
  <c r="G550"/>
  <c r="H556"/>
  <c r="I556"/>
  <c r="G556"/>
  <c r="H1412"/>
  <c r="G1412"/>
  <c r="I636"/>
  <c r="H636"/>
  <c r="I664"/>
  <c r="G664"/>
  <c r="H664"/>
  <c r="G1515"/>
  <c r="H1515"/>
  <c r="I1533"/>
  <c r="G1533"/>
  <c r="J1533" s="1"/>
  <c r="I718"/>
  <c r="H718"/>
  <c r="I1556"/>
  <c r="G1556"/>
  <c r="H1556"/>
  <c r="I732"/>
  <c r="H732"/>
  <c r="G732"/>
  <c r="I734"/>
  <c r="H734"/>
  <c r="I758"/>
  <c r="H758"/>
  <c r="I789"/>
  <c r="G789"/>
  <c r="H789"/>
  <c r="G265"/>
  <c r="I265"/>
  <c r="I1145"/>
  <c r="G1145"/>
  <c r="G1161"/>
  <c r="H1161"/>
  <c r="I1170"/>
  <c r="H1170"/>
  <c r="G1170"/>
  <c r="G1199"/>
  <c r="H1199"/>
  <c r="I1211"/>
  <c r="G1211"/>
  <c r="I1213"/>
  <c r="H1213"/>
  <c r="G1213"/>
  <c r="I367"/>
  <c r="H367"/>
  <c r="G367"/>
  <c r="I424"/>
  <c r="G424"/>
  <c r="I426"/>
  <c r="G426"/>
  <c r="H516"/>
  <c r="G516"/>
  <c r="I1359"/>
  <c r="G1359"/>
  <c r="I525"/>
  <c r="H525"/>
  <c r="G537"/>
  <c r="H537"/>
  <c r="H540"/>
  <c r="G540"/>
  <c r="I540"/>
  <c r="G1413"/>
  <c r="H1413"/>
  <c r="I626"/>
  <c r="H626"/>
  <c r="I1468"/>
  <c r="G1468"/>
  <c r="H1468"/>
  <c r="I1478"/>
  <c r="G1478"/>
  <c r="H1478"/>
  <c r="I656"/>
  <c r="H656"/>
  <c r="G656"/>
  <c r="G1568"/>
  <c r="I1568"/>
  <c r="H1568"/>
  <c r="G744"/>
  <c r="I744"/>
  <c r="H744"/>
  <c r="I1602"/>
  <c r="H1602"/>
  <c r="G1602"/>
  <c r="I1626"/>
  <c r="H1626"/>
  <c r="G1626"/>
  <c r="I1130"/>
  <c r="G1130"/>
  <c r="J1130" s="1"/>
  <c r="H1136"/>
  <c r="G1136"/>
  <c r="I292"/>
  <c r="H292"/>
  <c r="G292"/>
  <c r="I308"/>
  <c r="H308"/>
  <c r="G308"/>
  <c r="I316"/>
  <c r="H316"/>
  <c r="G1178"/>
  <c r="H1178"/>
  <c r="I1196"/>
  <c r="G1196"/>
  <c r="J1196" s="1"/>
  <c r="H354"/>
  <c r="G354"/>
  <c r="I358"/>
  <c r="G358"/>
  <c r="J358" s="1"/>
  <c r="I366"/>
  <c r="G366"/>
  <c r="G393"/>
  <c r="H393"/>
  <c r="I1245"/>
  <c r="G1245"/>
  <c r="J1245" s="1"/>
  <c r="I427"/>
  <c r="H427"/>
  <c r="G427"/>
  <c r="H1261"/>
  <c r="G1261"/>
  <c r="I1261"/>
  <c r="G1278"/>
  <c r="H1278"/>
  <c r="I1281"/>
  <c r="H1281"/>
  <c r="G1281"/>
  <c r="H469"/>
  <c r="G469"/>
  <c r="I1330"/>
  <c r="H1330"/>
  <c r="G1330"/>
  <c r="I1336"/>
  <c r="H1336"/>
  <c r="G1336"/>
  <c r="I506"/>
  <c r="G506"/>
  <c r="H506"/>
  <c r="I545"/>
  <c r="H545"/>
  <c r="G545"/>
  <c r="I560"/>
  <c r="G560"/>
  <c r="H560"/>
  <c r="I570"/>
  <c r="G570"/>
  <c r="H570"/>
  <c r="G593"/>
  <c r="I593"/>
  <c r="H593"/>
  <c r="G663"/>
  <c r="I663"/>
  <c r="H663"/>
  <c r="I672"/>
  <c r="H672"/>
  <c r="G672"/>
  <c r="I684"/>
  <c r="G684"/>
  <c r="J684" s="1"/>
  <c r="I695"/>
  <c r="G695"/>
  <c r="H695"/>
  <c r="I697"/>
  <c r="G697"/>
  <c r="H697"/>
  <c r="I1563"/>
  <c r="G1563"/>
  <c r="H1564"/>
  <c r="G1564"/>
  <c r="I746"/>
  <c r="G746"/>
  <c r="H746"/>
  <c r="I753"/>
  <c r="H753"/>
  <c r="G753"/>
  <c r="G1594"/>
  <c r="H1594"/>
  <c r="I1615"/>
  <c r="G1615"/>
  <c r="I797"/>
  <c r="H797"/>
  <c r="I1631"/>
  <c r="H1631"/>
  <c r="G1631"/>
  <c r="I805"/>
  <c r="G805"/>
  <c r="H805"/>
  <c r="H15" i="18"/>
  <c r="H148"/>
  <c r="H174"/>
  <c r="J174" s="1"/>
  <c r="H570"/>
  <c r="H775"/>
  <c r="I778"/>
  <c r="I1013"/>
  <c r="H1016"/>
  <c r="I1526"/>
  <c r="I1609"/>
  <c r="H3" i="19"/>
  <c r="J3" s="1"/>
  <c r="H840"/>
  <c r="H843"/>
  <c r="I9"/>
  <c r="I22"/>
  <c r="H860"/>
  <c r="H33"/>
  <c r="J33" s="1"/>
  <c r="I875"/>
  <c r="H64"/>
  <c r="H69"/>
  <c r="J69" s="1"/>
  <c r="I73"/>
  <c r="H89"/>
  <c r="I127"/>
  <c r="H1006"/>
  <c r="H163"/>
  <c r="H166"/>
  <c r="J166" s="1"/>
  <c r="I1025"/>
  <c r="H1073"/>
  <c r="I228"/>
  <c r="G15" i="18"/>
  <c r="G18"/>
  <c r="G44"/>
  <c r="G49"/>
  <c r="G99"/>
  <c r="H141"/>
  <c r="G148"/>
  <c r="H202"/>
  <c r="J202" s="1"/>
  <c r="H208"/>
  <c r="G226"/>
  <c r="G362"/>
  <c r="H387"/>
  <c r="J387" s="1"/>
  <c r="G388"/>
  <c r="H396"/>
  <c r="J396" s="1"/>
  <c r="G425"/>
  <c r="H443"/>
  <c r="H447"/>
  <c r="J447" s="1"/>
  <c r="G448"/>
  <c r="H455"/>
  <c r="J455" s="1"/>
  <c r="H459"/>
  <c r="G468"/>
  <c r="G510"/>
  <c r="H515"/>
  <c r="J515" s="1"/>
  <c r="H521"/>
  <c r="G546"/>
  <c r="G562"/>
  <c r="G565"/>
  <c r="J565" s="1"/>
  <c r="G570"/>
  <c r="G573"/>
  <c r="J573" s="1"/>
  <c r="G578"/>
  <c r="G581"/>
  <c r="J581" s="1"/>
  <c r="G593"/>
  <c r="H652"/>
  <c r="J652" s="1"/>
  <c r="G683"/>
  <c r="H691"/>
  <c r="J691" s="1"/>
  <c r="I700"/>
  <c r="I705"/>
  <c r="H708"/>
  <c r="J708" s="1"/>
  <c r="H710"/>
  <c r="J710" s="1"/>
  <c r="H725"/>
  <c r="J725" s="1"/>
  <c r="G726"/>
  <c r="H749"/>
  <c r="J749" s="1"/>
  <c r="G750"/>
  <c r="H766"/>
  <c r="H774"/>
  <c r="J774" s="1"/>
  <c r="G775"/>
  <c r="H874"/>
  <c r="G875"/>
  <c r="H876"/>
  <c r="J876" s="1"/>
  <c r="H878"/>
  <c r="J878" s="1"/>
  <c r="H882"/>
  <c r="H910"/>
  <c r="G913"/>
  <c r="H914"/>
  <c r="H988"/>
  <c r="H1013"/>
  <c r="J1013" s="1"/>
  <c r="G1016"/>
  <c r="G1049"/>
  <c r="H1050"/>
  <c r="G1053"/>
  <c r="H1076"/>
  <c r="I1101"/>
  <c r="I1122"/>
  <c r="G1158"/>
  <c r="H1165"/>
  <c r="H1166"/>
  <c r="I1167"/>
  <c r="H1211"/>
  <c r="I1212"/>
  <c r="G1264"/>
  <c r="I1295"/>
  <c r="I1303"/>
  <c r="G1308"/>
  <c r="J1308" s="1"/>
  <c r="H1333"/>
  <c r="I1334"/>
  <c r="H1337"/>
  <c r="I1367"/>
  <c r="G1442"/>
  <c r="G1490"/>
  <c r="J1490" s="1"/>
  <c r="H1509"/>
  <c r="G1517"/>
  <c r="G1526"/>
  <c r="J1526" s="1"/>
  <c r="H1531"/>
  <c r="G1560"/>
  <c r="G1576"/>
  <c r="J1576" s="1"/>
  <c r="G1609"/>
  <c r="H1641"/>
  <c r="H1645"/>
  <c r="I1646"/>
  <c r="I831" i="19"/>
  <c r="G840"/>
  <c r="G841"/>
  <c r="G843"/>
  <c r="H845"/>
  <c r="J845" s="1"/>
  <c r="H9"/>
  <c r="J9" s="1"/>
  <c r="H858"/>
  <c r="G23"/>
  <c r="J23" s="1"/>
  <c r="G860"/>
  <c r="H866"/>
  <c r="G38"/>
  <c r="G878"/>
  <c r="J878" s="1"/>
  <c r="G41"/>
  <c r="H42"/>
  <c r="J42" s="1"/>
  <c r="H882"/>
  <c r="J882" s="1"/>
  <c r="H52"/>
  <c r="G64"/>
  <c r="G916"/>
  <c r="G80"/>
  <c r="J80" s="1"/>
  <c r="H87"/>
  <c r="G928"/>
  <c r="J928" s="1"/>
  <c r="G89"/>
  <c r="H946"/>
  <c r="I101"/>
  <c r="H115"/>
  <c r="H963"/>
  <c r="I120"/>
  <c r="I128"/>
  <c r="H131"/>
  <c r="H976"/>
  <c r="G134"/>
  <c r="J134" s="1"/>
  <c r="H978"/>
  <c r="H146"/>
  <c r="G1006"/>
  <c r="G163"/>
  <c r="H1011"/>
  <c r="J1011" s="1"/>
  <c r="H165"/>
  <c r="J165" s="1"/>
  <c r="G1039"/>
  <c r="H1044"/>
  <c r="H206"/>
  <c r="G1054"/>
  <c r="J1054" s="1"/>
  <c r="H1057"/>
  <c r="H221"/>
  <c r="G1071"/>
  <c r="J1071" s="1"/>
  <c r="G1073"/>
  <c r="H1084"/>
  <c r="G1093"/>
  <c r="G1100"/>
  <c r="J1100" s="1"/>
  <c r="I1107"/>
  <c r="H1121"/>
  <c r="H278"/>
  <c r="H1145"/>
  <c r="H1192"/>
  <c r="I1222"/>
  <c r="H1232"/>
  <c r="G455"/>
  <c r="J455" s="1"/>
  <c r="H1359"/>
  <c r="I537"/>
  <c r="G547"/>
  <c r="I596"/>
  <c r="I597"/>
  <c r="G636"/>
  <c r="I707"/>
  <c r="H1592"/>
  <c r="G784"/>
  <c r="J784" s="1"/>
  <c r="I828"/>
  <c r="I1257"/>
  <c r="H1257"/>
  <c r="J1257" s="1"/>
  <c r="I1296"/>
  <c r="G1296"/>
  <c r="I474"/>
  <c r="G474"/>
  <c r="J474" s="1"/>
  <c r="H480"/>
  <c r="G480"/>
  <c r="H1344"/>
  <c r="J1344" s="1"/>
  <c r="I1344"/>
  <c r="G514"/>
  <c r="H514"/>
  <c r="H1357"/>
  <c r="G1357"/>
  <c r="G1388"/>
  <c r="H1388"/>
  <c r="I1397"/>
  <c r="H1397"/>
  <c r="J1397" s="1"/>
  <c r="H590"/>
  <c r="I590"/>
  <c r="I617"/>
  <c r="G617"/>
  <c r="J617" s="1"/>
  <c r="I650"/>
  <c r="G650"/>
  <c r="J650" s="1"/>
  <c r="G657"/>
  <c r="I657"/>
  <c r="G1493"/>
  <c r="J1493" s="1"/>
  <c r="I1493"/>
  <c r="I1495"/>
  <c r="G1495"/>
  <c r="J1495" s="1"/>
  <c r="I1502"/>
  <c r="H1502"/>
  <c r="J1502" s="1"/>
  <c r="I681"/>
  <c r="G681"/>
  <c r="J681" s="1"/>
  <c r="I1522"/>
  <c r="H1522"/>
  <c r="I711"/>
  <c r="G711"/>
  <c r="J711" s="1"/>
  <c r="H1552"/>
  <c r="G1552"/>
  <c r="G769"/>
  <c r="I769"/>
  <c r="I770"/>
  <c r="G770"/>
  <c r="J770" s="1"/>
  <c r="H783"/>
  <c r="I783"/>
  <c r="I811"/>
  <c r="H811"/>
  <c r="I1643"/>
  <c r="H1643"/>
  <c r="J1643" s="1"/>
  <c r="I1644"/>
  <c r="G1644"/>
  <c r="G1099"/>
  <c r="H1134"/>
  <c r="J1134" s="1"/>
  <c r="H1160"/>
  <c r="J1160" s="1"/>
  <c r="H1172"/>
  <c r="J1172" s="1"/>
  <c r="H341"/>
  <c r="I1197"/>
  <c r="H1201"/>
  <c r="G1203"/>
  <c r="H1207"/>
  <c r="H363"/>
  <c r="G371"/>
  <c r="J371" s="1"/>
  <c r="I377"/>
  <c r="I394"/>
  <c r="H426"/>
  <c r="H434"/>
  <c r="H437"/>
  <c r="G442"/>
  <c r="J442" s="1"/>
  <c r="H479"/>
  <c r="H508"/>
  <c r="G535"/>
  <c r="H566"/>
  <c r="H1429"/>
  <c r="J1429" s="1"/>
  <c r="H1437"/>
  <c r="H600"/>
  <c r="G611"/>
  <c r="H612"/>
  <c r="H615"/>
  <c r="H652"/>
  <c r="I1485"/>
  <c r="H1486"/>
  <c r="I665"/>
  <c r="H1521"/>
  <c r="I690"/>
  <c r="H1536"/>
  <c r="H1538"/>
  <c r="H1579"/>
  <c r="J1579" s="1"/>
  <c r="I1603"/>
  <c r="I771"/>
  <c r="H775"/>
  <c r="G1614"/>
  <c r="J1614" s="1"/>
  <c r="G797"/>
  <c r="I1638"/>
  <c r="G1279"/>
  <c r="H1279"/>
  <c r="H1286"/>
  <c r="G1286"/>
  <c r="I1294"/>
  <c r="G1294"/>
  <c r="J1294" s="1"/>
  <c r="I1314"/>
  <c r="G1314"/>
  <c r="I1334"/>
  <c r="H1334"/>
  <c r="J1334" s="1"/>
  <c r="I1341"/>
  <c r="G1341"/>
  <c r="J1341" s="1"/>
  <c r="I1347"/>
  <c r="H1347"/>
  <c r="J1347" s="1"/>
  <c r="H1348"/>
  <c r="G1348"/>
  <c r="I520"/>
  <c r="G520"/>
  <c r="J520" s="1"/>
  <c r="G554"/>
  <c r="H554"/>
  <c r="H1418"/>
  <c r="I1418"/>
  <c r="H579"/>
  <c r="J579" s="1"/>
  <c r="I579"/>
  <c r="I1456"/>
  <c r="G1456"/>
  <c r="J1456" s="1"/>
  <c r="I1465"/>
  <c r="G1465"/>
  <c r="I1473"/>
  <c r="G1473"/>
  <c r="J1473" s="1"/>
  <c r="H666"/>
  <c r="J666" s="1"/>
  <c r="I666"/>
  <c r="I1519"/>
  <c r="G1519"/>
  <c r="J1519" s="1"/>
  <c r="G709"/>
  <c r="H709"/>
  <c r="H712"/>
  <c r="J712" s="1"/>
  <c r="I712"/>
  <c r="I716"/>
  <c r="G716"/>
  <c r="I1588"/>
  <c r="H1588"/>
  <c r="I760"/>
  <c r="G760"/>
  <c r="J760" s="1"/>
  <c r="H768"/>
  <c r="I768"/>
  <c r="I1613"/>
  <c r="H1613"/>
  <c r="J1613" s="1"/>
  <c r="I782"/>
  <c r="G782"/>
  <c r="J782" s="1"/>
  <c r="H1633"/>
  <c r="G1633"/>
  <c r="I829"/>
  <c r="G829"/>
  <c r="I1262"/>
  <c r="G1264"/>
  <c r="J1264" s="1"/>
  <c r="H1265"/>
  <c r="G449"/>
  <c r="H451"/>
  <c r="G1322"/>
  <c r="G515"/>
  <c r="H1350"/>
  <c r="G522"/>
  <c r="I1375"/>
  <c r="I538"/>
  <c r="G559"/>
  <c r="J559" s="1"/>
  <c r="H565"/>
  <c r="H1424"/>
  <c r="G598"/>
  <c r="J598" s="1"/>
  <c r="H599"/>
  <c r="G620"/>
  <c r="J620" s="1"/>
  <c r="H660"/>
  <c r="J660" s="1"/>
  <c r="H1504"/>
  <c r="J1504" s="1"/>
  <c r="G689"/>
  <c r="J689" s="1"/>
  <c r="H1540"/>
  <c r="J1540" s="1"/>
  <c r="G718"/>
  <c r="H1554"/>
  <c r="J1554" s="1"/>
  <c r="H726"/>
  <c r="G734"/>
  <c r="H814"/>
  <c r="I157" i="18"/>
  <c r="H157"/>
  <c r="G219"/>
  <c r="H219"/>
  <c r="I219"/>
  <c r="I223"/>
  <c r="G223"/>
  <c r="I247"/>
  <c r="G247"/>
  <c r="H247"/>
  <c r="G252"/>
  <c r="H252"/>
  <c r="I321"/>
  <c r="G321"/>
  <c r="I325"/>
  <c r="G325"/>
  <c r="I420"/>
  <c r="G420"/>
  <c r="G461"/>
  <c r="H461"/>
  <c r="I461"/>
  <c r="I959"/>
  <c r="G959"/>
  <c r="H959"/>
  <c r="H10" i="19"/>
  <c r="G10"/>
  <c r="I10"/>
  <c r="I861"/>
  <c r="G861"/>
  <c r="H861"/>
  <c r="H66"/>
  <c r="G66"/>
  <c r="H931"/>
  <c r="G931"/>
  <c r="I931"/>
  <c r="G935"/>
  <c r="H935"/>
  <c r="I935"/>
  <c r="G945"/>
  <c r="H945"/>
  <c r="I945"/>
  <c r="H964"/>
  <c r="G964"/>
  <c r="I964"/>
  <c r="G129"/>
  <c r="H129"/>
  <c r="I129"/>
  <c r="G1001"/>
  <c r="H1001"/>
  <c r="I1001"/>
  <c r="H1028"/>
  <c r="G1028"/>
  <c r="G193"/>
  <c r="H193"/>
  <c r="I193"/>
  <c r="G198"/>
  <c r="H198"/>
  <c r="I198"/>
  <c r="H217"/>
  <c r="G217"/>
  <c r="I217"/>
  <c r="H245"/>
  <c r="G245"/>
  <c r="I245"/>
  <c r="I492" i="18"/>
  <c r="G492"/>
  <c r="H492"/>
  <c r="I604"/>
  <c r="G604"/>
  <c r="H604"/>
  <c r="H698"/>
  <c r="G698"/>
  <c r="G739"/>
  <c r="I739"/>
  <c r="H739"/>
  <c r="I1038"/>
  <c r="H1038"/>
  <c r="G1038"/>
  <c r="I1109"/>
  <c r="G1109"/>
  <c r="H1109"/>
  <c r="I1150"/>
  <c r="G1150"/>
  <c r="H1150"/>
  <c r="I1200"/>
  <c r="H1200"/>
  <c r="G1200"/>
  <c r="H1390"/>
  <c r="I1390"/>
  <c r="I1635"/>
  <c r="H1635"/>
  <c r="H830" i="19"/>
  <c r="G830"/>
  <c r="I830"/>
  <c r="G833"/>
  <c r="H833"/>
  <c r="I833"/>
  <c r="H855"/>
  <c r="G855"/>
  <c r="I855"/>
  <c r="H884"/>
  <c r="G884"/>
  <c r="I884"/>
  <c r="G63"/>
  <c r="H63"/>
  <c r="I63"/>
  <c r="G905"/>
  <c r="H905"/>
  <c r="I905"/>
  <c r="H924"/>
  <c r="G924"/>
  <c r="I924"/>
  <c r="G940"/>
  <c r="H940"/>
  <c r="I940"/>
  <c r="H943"/>
  <c r="I943"/>
  <c r="G943"/>
  <c r="G953"/>
  <c r="H953"/>
  <c r="G1017"/>
  <c r="H1017"/>
  <c r="I1017"/>
  <c r="G178"/>
  <c r="H178"/>
  <c r="I178"/>
  <c r="G180"/>
  <c r="H180"/>
  <c r="I180"/>
  <c r="H1043"/>
  <c r="G1043"/>
  <c r="I1043"/>
  <c r="G1056"/>
  <c r="H1056"/>
  <c r="G1089"/>
  <c r="H1089"/>
  <c r="G1097"/>
  <c r="H1097"/>
  <c r="I1097"/>
  <c r="H260"/>
  <c r="G260"/>
  <c r="I260"/>
  <c r="G851" i="18"/>
  <c r="H851"/>
  <c r="I851"/>
  <c r="G11" i="19"/>
  <c r="H11"/>
  <c r="I11"/>
  <c r="H868"/>
  <c r="G868"/>
  <c r="H54"/>
  <c r="G54"/>
  <c r="G901"/>
  <c r="H901"/>
  <c r="I901"/>
  <c r="I104"/>
  <c r="H104"/>
  <c r="G104"/>
  <c r="G965"/>
  <c r="H965"/>
  <c r="I965"/>
  <c r="G136"/>
  <c r="H136"/>
  <c r="G1009"/>
  <c r="H1009"/>
  <c r="H168"/>
  <c r="G168"/>
  <c r="I168"/>
  <c r="H175"/>
  <c r="G175"/>
  <c r="I175"/>
  <c r="G219"/>
  <c r="H219"/>
  <c r="I219"/>
  <c r="G1075"/>
  <c r="H1075"/>
  <c r="I1075"/>
  <c r="H234"/>
  <c r="G234"/>
  <c r="G246"/>
  <c r="H246"/>
  <c r="I246"/>
  <c r="I19" i="18"/>
  <c r="G19"/>
  <c r="H19"/>
  <c r="H33"/>
  <c r="G33"/>
  <c r="G62"/>
  <c r="I62"/>
  <c r="H62"/>
  <c r="H96"/>
  <c r="G96"/>
  <c r="I98"/>
  <c r="G98"/>
  <c r="H112"/>
  <c r="I112"/>
  <c r="I890"/>
  <c r="G890"/>
  <c r="I897"/>
  <c r="G897"/>
  <c r="H832" i="19"/>
  <c r="G832"/>
  <c r="I832"/>
  <c r="G856"/>
  <c r="H856"/>
  <c r="I856"/>
  <c r="G863"/>
  <c r="H863"/>
  <c r="I863"/>
  <c r="G29"/>
  <c r="H29"/>
  <c r="I29"/>
  <c r="G885"/>
  <c r="H885"/>
  <c r="I885"/>
  <c r="G53"/>
  <c r="H53"/>
  <c r="I53"/>
  <c r="G74"/>
  <c r="H74"/>
  <c r="G925"/>
  <c r="H925"/>
  <c r="I925"/>
  <c r="G91"/>
  <c r="H91"/>
  <c r="I91"/>
  <c r="H971"/>
  <c r="G971"/>
  <c r="G987"/>
  <c r="H987"/>
  <c r="H158"/>
  <c r="G158"/>
  <c r="G1034"/>
  <c r="H1034"/>
  <c r="I1034"/>
  <c r="G204"/>
  <c r="H204"/>
  <c r="H1074"/>
  <c r="G1074"/>
  <c r="I1074"/>
  <c r="G230"/>
  <c r="H230"/>
  <c r="I230"/>
  <c r="G233"/>
  <c r="H233"/>
  <c r="I233"/>
  <c r="G1101"/>
  <c r="H1101"/>
  <c r="I1101"/>
  <c r="G1104"/>
  <c r="H1104"/>
  <c r="I1104"/>
  <c r="G261"/>
  <c r="H261"/>
  <c r="H1113"/>
  <c r="G1113"/>
  <c r="G1119"/>
  <c r="H1119"/>
  <c r="G274"/>
  <c r="H274"/>
  <c r="I274"/>
  <c r="G1128"/>
  <c r="H1128"/>
  <c r="G284"/>
  <c r="H284"/>
  <c r="G1143"/>
  <c r="H1143"/>
  <c r="H1148"/>
  <c r="G1148"/>
  <c r="I303"/>
  <c r="H303"/>
  <c r="G1157"/>
  <c r="H1157"/>
  <c r="H323"/>
  <c r="G323"/>
  <c r="I323"/>
  <c r="G324"/>
  <c r="H324"/>
  <c r="G1186"/>
  <c r="H1186"/>
  <c r="I1186"/>
  <c r="G1198"/>
  <c r="H1198"/>
  <c r="G364"/>
  <c r="H364"/>
  <c r="I364"/>
  <c r="G365"/>
  <c r="H365"/>
  <c r="I365"/>
  <c r="H1224"/>
  <c r="G1224"/>
  <c r="G379"/>
  <c r="H379"/>
  <c r="I379"/>
  <c r="G391"/>
  <c r="I391"/>
  <c r="H391"/>
  <c r="G1241"/>
  <c r="H1241"/>
  <c r="G1247"/>
  <c r="H1247"/>
  <c r="G423"/>
  <c r="H423"/>
  <c r="I423"/>
  <c r="G425"/>
  <c r="H425"/>
  <c r="I425"/>
  <c r="G435"/>
  <c r="H435"/>
  <c r="I435"/>
  <c r="G444"/>
  <c r="I444"/>
  <c r="H444"/>
  <c r="G445"/>
  <c r="H445"/>
  <c r="G454"/>
  <c r="H454"/>
  <c r="I454"/>
  <c r="G456"/>
  <c r="H456"/>
  <c r="I456"/>
  <c r="G1311"/>
  <c r="H1311"/>
  <c r="G1316"/>
  <c r="H1316"/>
  <c r="H1324"/>
  <c r="G1324"/>
  <c r="H484"/>
  <c r="I484"/>
  <c r="G484"/>
  <c r="G1331"/>
  <c r="H1331"/>
  <c r="H499"/>
  <c r="G499"/>
  <c r="H504"/>
  <c r="G504"/>
  <c r="G1343"/>
  <c r="H1343"/>
  <c r="H510"/>
  <c r="G510"/>
  <c r="I510"/>
  <c r="H512"/>
  <c r="I512"/>
  <c r="H523"/>
  <c r="G523"/>
  <c r="H1366"/>
  <c r="I1366"/>
  <c r="G1366"/>
  <c r="G529"/>
  <c r="H529"/>
  <c r="I529"/>
  <c r="H1374"/>
  <c r="G1374"/>
  <c r="I1374"/>
  <c r="G544"/>
  <c r="H544"/>
  <c r="I544"/>
  <c r="G1387"/>
  <c r="I1387"/>
  <c r="H1387"/>
  <c r="G1396"/>
  <c r="H1396"/>
  <c r="I1396"/>
  <c r="G564"/>
  <c r="H564"/>
  <c r="I564"/>
  <c r="H1408"/>
  <c r="G1408"/>
  <c r="I1408"/>
  <c r="H1415"/>
  <c r="G1415"/>
  <c r="G1435"/>
  <c r="H1435"/>
  <c r="G613"/>
  <c r="H613"/>
  <c r="I613"/>
  <c r="G1460"/>
  <c r="H1460"/>
  <c r="I1460"/>
  <c r="H630"/>
  <c r="G630"/>
  <c r="I630"/>
  <c r="H661"/>
  <c r="G661"/>
  <c r="I661"/>
  <c r="H1492"/>
  <c r="G1492"/>
  <c r="I1492"/>
  <c r="G1535"/>
  <c r="H1535"/>
  <c r="G1571"/>
  <c r="H1571"/>
  <c r="H1572"/>
  <c r="I1572"/>
  <c r="H160" i="18"/>
  <c r="G160"/>
  <c r="I162"/>
  <c r="G162"/>
  <c r="I286"/>
  <c r="H286"/>
  <c r="G286"/>
  <c r="I332"/>
  <c r="G332"/>
  <c r="I368"/>
  <c r="G368"/>
  <c r="H417"/>
  <c r="G417"/>
  <c r="I417"/>
  <c r="I436"/>
  <c r="G436"/>
  <c r="H588"/>
  <c r="G588"/>
  <c r="G647"/>
  <c r="I647"/>
  <c r="I649"/>
  <c r="G649"/>
  <c r="G653"/>
  <c r="H653"/>
  <c r="H671"/>
  <c r="G671"/>
  <c r="I673"/>
  <c r="G673"/>
  <c r="I688"/>
  <c r="G688"/>
  <c r="I711"/>
  <c r="G711"/>
  <c r="I746"/>
  <c r="G746"/>
  <c r="I922"/>
  <c r="G922"/>
  <c r="I966"/>
  <c r="H966"/>
  <c r="G966"/>
  <c r="I979"/>
  <c r="G979"/>
  <c r="H979"/>
  <c r="I995"/>
  <c r="G995"/>
  <c r="H995"/>
  <c r="I1032"/>
  <c r="G1032"/>
  <c r="I1035"/>
  <c r="G1035"/>
  <c r="G1244"/>
  <c r="I1244"/>
  <c r="H1244"/>
  <c r="I1329"/>
  <c r="H1329"/>
  <c r="G1329"/>
  <c r="G1366"/>
  <c r="H1366"/>
  <c r="I1366"/>
  <c r="G1399"/>
  <c r="H1399"/>
  <c r="I1457"/>
  <c r="G1457"/>
  <c r="H1457"/>
  <c r="I1493"/>
  <c r="H1493"/>
  <c r="I1520"/>
  <c r="H1520"/>
  <c r="H1569"/>
  <c r="G1569"/>
  <c r="I1569"/>
  <c r="I1590"/>
  <c r="H1590"/>
  <c r="H1603"/>
  <c r="G1603"/>
  <c r="H1611"/>
  <c r="G1611"/>
  <c r="G836" i="19"/>
  <c r="I836"/>
  <c r="G7"/>
  <c r="H7"/>
  <c r="G852"/>
  <c r="H852"/>
  <c r="H867"/>
  <c r="G867"/>
  <c r="G37"/>
  <c r="H37"/>
  <c r="G40"/>
  <c r="H40"/>
  <c r="G48"/>
  <c r="H48"/>
  <c r="H895"/>
  <c r="G895"/>
  <c r="G899"/>
  <c r="H899"/>
  <c r="H65"/>
  <c r="G65"/>
  <c r="G72"/>
  <c r="H72"/>
  <c r="G911"/>
  <c r="H911"/>
  <c r="I911"/>
  <c r="G83"/>
  <c r="H83"/>
  <c r="H92"/>
  <c r="G92"/>
  <c r="I92"/>
  <c r="G93"/>
  <c r="I93"/>
  <c r="H936"/>
  <c r="G936"/>
  <c r="I936"/>
  <c r="G937"/>
  <c r="H937"/>
  <c r="G952"/>
  <c r="H952"/>
  <c r="G110"/>
  <c r="H110"/>
  <c r="I110"/>
  <c r="G962"/>
  <c r="H962"/>
  <c r="G126"/>
  <c r="I126"/>
  <c r="H130"/>
  <c r="G130"/>
  <c r="G977"/>
  <c r="H977"/>
  <c r="G137"/>
  <c r="H137"/>
  <c r="I137"/>
  <c r="G986"/>
  <c r="H986"/>
  <c r="G988"/>
  <c r="H988"/>
  <c r="I988"/>
  <c r="G996"/>
  <c r="H996"/>
  <c r="H157"/>
  <c r="G157"/>
  <c r="G1007"/>
  <c r="H1007"/>
  <c r="G1010"/>
  <c r="H1010"/>
  <c r="I1010"/>
  <c r="H170"/>
  <c r="G170"/>
  <c r="I170"/>
  <c r="G171"/>
  <c r="H171"/>
  <c r="G1022"/>
  <c r="H1022"/>
  <c r="H1027"/>
  <c r="G1027"/>
  <c r="H199"/>
  <c r="G199"/>
  <c r="I199"/>
  <c r="G1051"/>
  <c r="H1051"/>
  <c r="H205"/>
  <c r="I205"/>
  <c r="G1055"/>
  <c r="H1055"/>
  <c r="G1058"/>
  <c r="H1058"/>
  <c r="I1058"/>
  <c r="G1066"/>
  <c r="H1066"/>
  <c r="H226"/>
  <c r="G226"/>
  <c r="I226"/>
  <c r="G227"/>
  <c r="H227"/>
  <c r="H1081"/>
  <c r="G1081"/>
  <c r="G1087"/>
  <c r="H1087"/>
  <c r="G240"/>
  <c r="H240"/>
  <c r="I240"/>
  <c r="G1095"/>
  <c r="H1095"/>
  <c r="I254"/>
  <c r="G254"/>
  <c r="H254"/>
  <c r="H269"/>
  <c r="G269"/>
  <c r="I269"/>
  <c r="G271"/>
  <c r="H271"/>
  <c r="H275"/>
  <c r="G275"/>
  <c r="G1127"/>
  <c r="H1127"/>
  <c r="G1129"/>
  <c r="H1129"/>
  <c r="I1129"/>
  <c r="G283"/>
  <c r="H283"/>
  <c r="G1133"/>
  <c r="H1133"/>
  <c r="I1133"/>
  <c r="H301"/>
  <c r="G301"/>
  <c r="I301"/>
  <c r="G302"/>
  <c r="H302"/>
  <c r="G1156"/>
  <c r="H1156"/>
  <c r="G1159"/>
  <c r="H1159"/>
  <c r="I1159"/>
  <c r="G318"/>
  <c r="H318"/>
  <c r="G320"/>
  <c r="H320"/>
  <c r="I329"/>
  <c r="H329"/>
  <c r="G337"/>
  <c r="H337"/>
  <c r="H342"/>
  <c r="G342"/>
  <c r="G346"/>
  <c r="H346"/>
  <c r="G347"/>
  <c r="H347"/>
  <c r="I347"/>
  <c r="G352"/>
  <c r="I352"/>
  <c r="H352"/>
  <c r="H1200"/>
  <c r="I1200"/>
  <c r="G1200"/>
  <c r="G357"/>
  <c r="I357"/>
  <c r="G1217"/>
  <c r="H1217"/>
  <c r="G375"/>
  <c r="I375"/>
  <c r="H375"/>
  <c r="G381"/>
  <c r="I381"/>
  <c r="G383"/>
  <c r="H383"/>
  <c r="H385"/>
  <c r="G385"/>
  <c r="I385"/>
  <c r="H401"/>
  <c r="G401"/>
  <c r="I401"/>
  <c r="H416"/>
  <c r="G416"/>
  <c r="I416"/>
  <c r="G429"/>
  <c r="H429"/>
  <c r="G439"/>
  <c r="H439"/>
  <c r="H441"/>
  <c r="G441"/>
  <c r="I441"/>
  <c r="G1277"/>
  <c r="I1277"/>
  <c r="H1277"/>
  <c r="H1280"/>
  <c r="I1280"/>
  <c r="G1280"/>
  <c r="G1283"/>
  <c r="I1283"/>
  <c r="G1298"/>
  <c r="H1298"/>
  <c r="H1301"/>
  <c r="G1301"/>
  <c r="I1301"/>
  <c r="G468"/>
  <c r="I468"/>
  <c r="H468"/>
  <c r="I1313"/>
  <c r="H1313"/>
  <c r="H1320"/>
  <c r="G1320"/>
  <c r="I1320"/>
  <c r="G1328"/>
  <c r="H1328"/>
  <c r="I1328"/>
  <c r="G489"/>
  <c r="H489"/>
  <c r="I489"/>
  <c r="G1337"/>
  <c r="I1337"/>
  <c r="H1337"/>
  <c r="G1351"/>
  <c r="I1351"/>
  <c r="H1351"/>
  <c r="G1353"/>
  <c r="H1353"/>
  <c r="G1368"/>
  <c r="H1368"/>
  <c r="I1368"/>
  <c r="G1371"/>
  <c r="H1371"/>
  <c r="I1371"/>
  <c r="H530"/>
  <c r="G530"/>
  <c r="H536"/>
  <c r="G536"/>
  <c r="G1377"/>
  <c r="H1377"/>
  <c r="H1380"/>
  <c r="G1380"/>
  <c r="H1385"/>
  <c r="I1385"/>
  <c r="G1385"/>
  <c r="H553"/>
  <c r="G553"/>
  <c r="I553"/>
  <c r="I1401"/>
  <c r="H1401"/>
  <c r="G1401"/>
  <c r="H1410"/>
  <c r="I1410"/>
  <c r="G571"/>
  <c r="I571"/>
  <c r="H1421"/>
  <c r="G1421"/>
  <c r="I1421"/>
  <c r="G1442"/>
  <c r="H1442"/>
  <c r="I1442"/>
  <c r="H1450"/>
  <c r="I1450"/>
  <c r="H618"/>
  <c r="G618"/>
  <c r="I618"/>
  <c r="H1454"/>
  <c r="G1454"/>
  <c r="I633"/>
  <c r="H633"/>
  <c r="G633"/>
  <c r="H1474"/>
  <c r="I1474"/>
  <c r="G1474"/>
  <c r="G1475"/>
  <c r="H1475"/>
  <c r="G654"/>
  <c r="H654"/>
  <c r="H677"/>
  <c r="G677"/>
  <c r="G680"/>
  <c r="H680"/>
  <c r="I680"/>
  <c r="H686"/>
  <c r="I686"/>
  <c r="H1517"/>
  <c r="G1517"/>
  <c r="I1517"/>
  <c r="H1551"/>
  <c r="I1551"/>
  <c r="G1551"/>
  <c r="H720"/>
  <c r="I720"/>
  <c r="G720"/>
  <c r="G733"/>
  <c r="I733"/>
  <c r="H733"/>
  <c r="G1618"/>
  <c r="H1618"/>
  <c r="I807"/>
  <c r="G807"/>
  <c r="I825"/>
  <c r="H825"/>
  <c r="H22" i="18"/>
  <c r="G22"/>
  <c r="G28"/>
  <c r="I28"/>
  <c r="G65"/>
  <c r="H65"/>
  <c r="I183"/>
  <c r="G183"/>
  <c r="G221"/>
  <c r="H221"/>
  <c r="I221"/>
  <c r="I267"/>
  <c r="G267"/>
  <c r="G275"/>
  <c r="H275"/>
  <c r="I275"/>
  <c r="I336"/>
  <c r="G336"/>
  <c r="H336"/>
  <c r="G403"/>
  <c r="H403"/>
  <c r="I460"/>
  <c r="G460"/>
  <c r="H460"/>
  <c r="H549"/>
  <c r="G549"/>
  <c r="I554"/>
  <c r="G554"/>
  <c r="I738"/>
  <c r="H738"/>
  <c r="G738"/>
  <c r="G859"/>
  <c r="I859"/>
  <c r="H859"/>
  <c r="G923"/>
  <c r="H923"/>
  <c r="G1033"/>
  <c r="H1033"/>
  <c r="G1039"/>
  <c r="I1039"/>
  <c r="H1039"/>
  <c r="G1110"/>
  <c r="H1110"/>
  <c r="I1110"/>
  <c r="G1151"/>
  <c r="H1151"/>
  <c r="I1151"/>
  <c r="I1172"/>
  <c r="H1172"/>
  <c r="G1172"/>
  <c r="G1177"/>
  <c r="H1177"/>
  <c r="I1177"/>
  <c r="I1254"/>
  <c r="G1254"/>
  <c r="H1254"/>
  <c r="I1373"/>
  <c r="H1373"/>
  <c r="G1373"/>
  <c r="I1439"/>
  <c r="G1439"/>
  <c r="I1539"/>
  <c r="H1539"/>
  <c r="G1620"/>
  <c r="H1620"/>
  <c r="I1620"/>
  <c r="H1652"/>
  <c r="G1652"/>
  <c r="I1652"/>
  <c r="G6" i="19"/>
  <c r="H6"/>
  <c r="G8"/>
  <c r="H8"/>
  <c r="I8"/>
  <c r="G15"/>
  <c r="H15"/>
  <c r="G17"/>
  <c r="H17"/>
  <c r="I17"/>
  <c r="G25"/>
  <c r="H25"/>
  <c r="H870"/>
  <c r="G870"/>
  <c r="I870"/>
  <c r="G874"/>
  <c r="H874"/>
  <c r="H877"/>
  <c r="I877"/>
  <c r="G39"/>
  <c r="H39"/>
  <c r="G880"/>
  <c r="H880"/>
  <c r="I880"/>
  <c r="G889"/>
  <c r="H889"/>
  <c r="G892"/>
  <c r="H892"/>
  <c r="I892"/>
  <c r="H56"/>
  <c r="G56"/>
  <c r="I56"/>
  <c r="G58"/>
  <c r="H58"/>
  <c r="H68"/>
  <c r="G68"/>
  <c r="I68"/>
  <c r="G907"/>
  <c r="H907"/>
  <c r="H75"/>
  <c r="G75"/>
  <c r="G917"/>
  <c r="H917"/>
  <c r="G82"/>
  <c r="H82"/>
  <c r="G921"/>
  <c r="H921"/>
  <c r="I921"/>
  <c r="G930"/>
  <c r="H930"/>
  <c r="G103"/>
  <c r="I103"/>
  <c r="H106"/>
  <c r="G106"/>
  <c r="I106"/>
  <c r="G949"/>
  <c r="H949"/>
  <c r="H955"/>
  <c r="G955"/>
  <c r="G116"/>
  <c r="H116"/>
  <c r="G117"/>
  <c r="H117"/>
  <c r="I117"/>
  <c r="H973"/>
  <c r="G973"/>
  <c r="I973"/>
  <c r="G974"/>
  <c r="H974"/>
  <c r="H138"/>
  <c r="G138"/>
  <c r="G985"/>
  <c r="H985"/>
  <c r="H147"/>
  <c r="G147"/>
  <c r="G995"/>
  <c r="H995"/>
  <c r="G997"/>
  <c r="H997"/>
  <c r="I997"/>
  <c r="H159"/>
  <c r="G159"/>
  <c r="I159"/>
  <c r="G160"/>
  <c r="H160"/>
  <c r="H164"/>
  <c r="G164"/>
  <c r="H182"/>
  <c r="G182"/>
  <c r="I182"/>
  <c r="G183"/>
  <c r="H183"/>
  <c r="G1041"/>
  <c r="H1041"/>
  <c r="H1047"/>
  <c r="G1047"/>
  <c r="I1047"/>
  <c r="G1049"/>
  <c r="H1049"/>
  <c r="H1059"/>
  <c r="G1059"/>
  <c r="G213"/>
  <c r="H213"/>
  <c r="G215"/>
  <c r="H215"/>
  <c r="I215"/>
  <c r="G223"/>
  <c r="H223"/>
  <c r="H236"/>
  <c r="G236"/>
  <c r="I236"/>
  <c r="G237"/>
  <c r="H237"/>
  <c r="H241"/>
  <c r="G241"/>
  <c r="G255"/>
  <c r="H255"/>
  <c r="I255"/>
  <c r="G1110"/>
  <c r="H1110"/>
  <c r="G266"/>
  <c r="H266"/>
  <c r="H1124"/>
  <c r="G1124"/>
  <c r="I1124"/>
  <c r="G1125"/>
  <c r="H1125"/>
  <c r="H286"/>
  <c r="G286"/>
  <c r="H291"/>
  <c r="G291"/>
  <c r="I291"/>
  <c r="G296"/>
  <c r="H296"/>
  <c r="G1152"/>
  <c r="I1152"/>
  <c r="H305"/>
  <c r="G305"/>
  <c r="I305"/>
  <c r="G306"/>
  <c r="H306"/>
  <c r="H311"/>
  <c r="G311"/>
  <c r="G315"/>
  <c r="H315"/>
  <c r="G317"/>
  <c r="H317"/>
  <c r="G321"/>
  <c r="H321"/>
  <c r="I321"/>
  <c r="G1181"/>
  <c r="H1181"/>
  <c r="G1182"/>
  <c r="H1182"/>
  <c r="I1182"/>
  <c r="H1189"/>
  <c r="G1189"/>
  <c r="I1189"/>
  <c r="G344"/>
  <c r="H344"/>
  <c r="H348"/>
  <c r="G348"/>
  <c r="H353"/>
  <c r="G353"/>
  <c r="I353"/>
  <c r="H355"/>
  <c r="I355"/>
  <c r="G1208"/>
  <c r="H1208"/>
  <c r="I1208"/>
  <c r="H1214"/>
  <c r="G1214"/>
  <c r="I1214"/>
  <c r="H370"/>
  <c r="G370"/>
  <c r="I370"/>
  <c r="G1231"/>
  <c r="H1231"/>
  <c r="G388"/>
  <c r="H388"/>
  <c r="I388"/>
  <c r="H1234"/>
  <c r="G1234"/>
  <c r="I1234"/>
  <c r="I398"/>
  <c r="G398"/>
  <c r="H398"/>
  <c r="G413"/>
  <c r="H413"/>
  <c r="G418"/>
  <c r="I418"/>
  <c r="H418"/>
  <c r="G1252"/>
  <c r="H1252"/>
  <c r="I1252"/>
  <c r="H1258"/>
  <c r="G1258"/>
  <c r="I1258"/>
  <c r="H1263"/>
  <c r="G1263"/>
  <c r="H436"/>
  <c r="G436"/>
  <c r="I436"/>
  <c r="G1270"/>
  <c r="H1270"/>
  <c r="G443"/>
  <c r="H443"/>
  <c r="I443"/>
  <c r="H1276"/>
  <c r="G1276"/>
  <c r="I1276"/>
  <c r="H446"/>
  <c r="G446"/>
  <c r="I446"/>
  <c r="H447"/>
  <c r="I447"/>
  <c r="G1290"/>
  <c r="H1290"/>
  <c r="I1290"/>
  <c r="H1295"/>
  <c r="G1295"/>
  <c r="I1295"/>
  <c r="G461"/>
  <c r="H461"/>
  <c r="G1304"/>
  <c r="I1304"/>
  <c r="G465"/>
  <c r="H465"/>
  <c r="H1312"/>
  <c r="G1312"/>
  <c r="I1312"/>
  <c r="H471"/>
  <c r="I471"/>
  <c r="G1317"/>
  <c r="H1317"/>
  <c r="H478"/>
  <c r="G478"/>
  <c r="I478"/>
  <c r="G1332"/>
  <c r="H1332"/>
  <c r="H495"/>
  <c r="G495"/>
  <c r="I495"/>
  <c r="G509"/>
  <c r="H509"/>
  <c r="G1354"/>
  <c r="I1354"/>
  <c r="H1354"/>
  <c r="H519"/>
  <c r="I519"/>
  <c r="G519"/>
  <c r="G1358"/>
  <c r="I1358"/>
  <c r="G532"/>
  <c r="I532"/>
  <c r="H532"/>
  <c r="H1386"/>
  <c r="G1386"/>
  <c r="H1391"/>
  <c r="I1391"/>
  <c r="G558"/>
  <c r="H558"/>
  <c r="I558"/>
  <c r="I561"/>
  <c r="G561"/>
  <c r="H561"/>
  <c r="G586"/>
  <c r="H586"/>
  <c r="I586"/>
  <c r="H1428"/>
  <c r="I1428"/>
  <c r="G601"/>
  <c r="H601"/>
  <c r="G610"/>
  <c r="H610"/>
  <c r="I610"/>
  <c r="H1447"/>
  <c r="G1447"/>
  <c r="I1447"/>
  <c r="G629"/>
  <c r="I629"/>
  <c r="H629"/>
  <c r="G1469"/>
  <c r="H1469"/>
  <c r="I1469"/>
  <c r="G651"/>
  <c r="H651"/>
  <c r="I651"/>
  <c r="G1482"/>
  <c r="I1482"/>
  <c r="H1482"/>
  <c r="G1488"/>
  <c r="I1488"/>
  <c r="H1488"/>
  <c r="G669"/>
  <c r="H669"/>
  <c r="H670"/>
  <c r="I670"/>
  <c r="G675"/>
  <c r="H675"/>
  <c r="I675"/>
  <c r="I693"/>
  <c r="G693"/>
  <c r="H693"/>
  <c r="H1542"/>
  <c r="G1542"/>
  <c r="I1542"/>
  <c r="G1548"/>
  <c r="I1548"/>
  <c r="H1548"/>
  <c r="G1558"/>
  <c r="H1558"/>
  <c r="I1558"/>
  <c r="I728"/>
  <c r="H728"/>
  <c r="G1606"/>
  <c r="H1606"/>
  <c r="I1606"/>
  <c r="H773"/>
  <c r="G773"/>
  <c r="I773"/>
  <c r="G1621"/>
  <c r="I1621"/>
  <c r="H1621"/>
  <c r="G1636"/>
  <c r="H1636"/>
  <c r="I1636"/>
  <c r="H40" i="18"/>
  <c r="G40"/>
  <c r="I93"/>
  <c r="H93"/>
  <c r="I121"/>
  <c r="G121"/>
  <c r="I395"/>
  <c r="G395"/>
  <c r="G422"/>
  <c r="H422"/>
  <c r="I535"/>
  <c r="H535"/>
  <c r="G535"/>
  <c r="H557"/>
  <c r="G557"/>
  <c r="I597"/>
  <c r="H597"/>
  <c r="G597"/>
  <c r="H654"/>
  <c r="I654"/>
  <c r="I668"/>
  <c r="H668"/>
  <c r="I670"/>
  <c r="H670"/>
  <c r="G670"/>
  <c r="I850"/>
  <c r="G850"/>
  <c r="J850" s="1"/>
  <c r="I953"/>
  <c r="H953"/>
  <c r="G953"/>
  <c r="G976"/>
  <c r="H976"/>
  <c r="G992"/>
  <c r="H992"/>
  <c r="I992"/>
  <c r="H1002"/>
  <c r="G1002"/>
  <c r="I1002"/>
  <c r="I1243"/>
  <c r="H1243"/>
  <c r="G1243"/>
  <c r="I1365"/>
  <c r="G1365"/>
  <c r="H1365"/>
  <c r="G1385"/>
  <c r="I1385"/>
  <c r="H1458"/>
  <c r="G1458"/>
  <c r="I1462"/>
  <c r="G1462"/>
  <c r="H1462"/>
  <c r="H1544"/>
  <c r="G1544"/>
  <c r="H1585"/>
  <c r="G1585"/>
  <c r="I1585"/>
  <c r="H4" i="19"/>
  <c r="G4"/>
  <c r="I4"/>
  <c r="G838"/>
  <c r="H838"/>
  <c r="H844"/>
  <c r="G844"/>
  <c r="H18"/>
  <c r="G18"/>
  <c r="G859"/>
  <c r="H859"/>
  <c r="G26"/>
  <c r="H26"/>
  <c r="I26"/>
  <c r="G865"/>
  <c r="H865"/>
  <c r="H871"/>
  <c r="G871"/>
  <c r="I871"/>
  <c r="G872"/>
  <c r="H872"/>
  <c r="H881"/>
  <c r="G881"/>
  <c r="G46"/>
  <c r="H46"/>
  <c r="H893"/>
  <c r="G893"/>
  <c r="G894"/>
  <c r="H894"/>
  <c r="G904"/>
  <c r="H904"/>
  <c r="H77"/>
  <c r="G77"/>
  <c r="I77"/>
  <c r="G915"/>
  <c r="H915"/>
  <c r="H84"/>
  <c r="G84"/>
  <c r="G929"/>
  <c r="H929"/>
  <c r="G90"/>
  <c r="H90"/>
  <c r="I90"/>
  <c r="I94"/>
  <c r="H94"/>
  <c r="G99"/>
  <c r="H99"/>
  <c r="H113"/>
  <c r="G113"/>
  <c r="I113"/>
  <c r="G958"/>
  <c r="H958"/>
  <c r="H118"/>
  <c r="G118"/>
  <c r="H968"/>
  <c r="G968"/>
  <c r="I968"/>
  <c r="G969"/>
  <c r="H969"/>
  <c r="H140"/>
  <c r="G140"/>
  <c r="I140"/>
  <c r="G141"/>
  <c r="H141"/>
  <c r="H991"/>
  <c r="G991"/>
  <c r="I991"/>
  <c r="G992"/>
  <c r="H992"/>
  <c r="H998"/>
  <c r="G998"/>
  <c r="G1000"/>
  <c r="H1000"/>
  <c r="H1013"/>
  <c r="G1013"/>
  <c r="I1013"/>
  <c r="G1014"/>
  <c r="H1014"/>
  <c r="G1016"/>
  <c r="H1016"/>
  <c r="I1016"/>
  <c r="G1026"/>
  <c r="H1026"/>
  <c r="H1031"/>
  <c r="G1031"/>
  <c r="I1031"/>
  <c r="G1032"/>
  <c r="H1032"/>
  <c r="H1036"/>
  <c r="G1036"/>
  <c r="I1036"/>
  <c r="G1040"/>
  <c r="H1040"/>
  <c r="G1042"/>
  <c r="H1042"/>
  <c r="I1042"/>
  <c r="H210"/>
  <c r="G210"/>
  <c r="I210"/>
  <c r="G1062"/>
  <c r="H1062"/>
  <c r="H1067"/>
  <c r="G1067"/>
  <c r="G222"/>
  <c r="H222"/>
  <c r="G224"/>
  <c r="H224"/>
  <c r="I224"/>
  <c r="G231"/>
  <c r="H231"/>
  <c r="H1091"/>
  <c r="G1091"/>
  <c r="I1091"/>
  <c r="G1102"/>
  <c r="H1102"/>
  <c r="H256"/>
  <c r="G256"/>
  <c r="G1109"/>
  <c r="H1109"/>
  <c r="G267"/>
  <c r="H267"/>
  <c r="I267"/>
  <c r="G273"/>
  <c r="H273"/>
  <c r="H1135"/>
  <c r="G1135"/>
  <c r="I1135"/>
  <c r="G289"/>
  <c r="H289"/>
  <c r="G1141"/>
  <c r="H1141"/>
  <c r="G295"/>
  <c r="H295"/>
  <c r="G297"/>
  <c r="H297"/>
  <c r="I297"/>
  <c r="H312"/>
  <c r="G312"/>
  <c r="I312"/>
  <c r="G313"/>
  <c r="H313"/>
  <c r="H1171"/>
  <c r="G1171"/>
  <c r="H1177"/>
  <c r="G1177"/>
  <c r="I1177"/>
  <c r="H331"/>
  <c r="G331"/>
  <c r="I331"/>
  <c r="G1180"/>
  <c r="H1180"/>
  <c r="H1183"/>
  <c r="G1183"/>
  <c r="G1185"/>
  <c r="H1185"/>
  <c r="H1205"/>
  <c r="G1205"/>
  <c r="H1209"/>
  <c r="I1209"/>
  <c r="G1209"/>
  <c r="G1216"/>
  <c r="H1216"/>
  <c r="G1221"/>
  <c r="H1221"/>
  <c r="G372"/>
  <c r="H372"/>
  <c r="I372"/>
  <c r="H1225"/>
  <c r="G1225"/>
  <c r="I1225"/>
  <c r="I380"/>
  <c r="H380"/>
  <c r="G1228"/>
  <c r="H1228"/>
  <c r="H389"/>
  <c r="G389"/>
  <c r="G1238"/>
  <c r="H1238"/>
  <c r="I1238"/>
  <c r="H405"/>
  <c r="I405"/>
  <c r="G1244"/>
  <c r="I1244"/>
  <c r="G1249"/>
  <c r="I1249"/>
  <c r="H1249"/>
  <c r="I419"/>
  <c r="H419"/>
  <c r="G419"/>
  <c r="H422"/>
  <c r="I422"/>
  <c r="G422"/>
  <c r="G428"/>
  <c r="H428"/>
  <c r="G1267"/>
  <c r="H1267"/>
  <c r="H1273"/>
  <c r="G1273"/>
  <c r="H450"/>
  <c r="G450"/>
  <c r="H453"/>
  <c r="I453"/>
  <c r="G453"/>
  <c r="G459"/>
  <c r="H459"/>
  <c r="G472"/>
  <c r="H472"/>
  <c r="I472"/>
  <c r="G1319"/>
  <c r="I1319"/>
  <c r="H1319"/>
  <c r="G1327"/>
  <c r="H1327"/>
  <c r="I1327"/>
  <c r="H490"/>
  <c r="G490"/>
  <c r="I490"/>
  <c r="G496"/>
  <c r="H496"/>
  <c r="G498"/>
  <c r="H498"/>
  <c r="I498"/>
  <c r="H1338"/>
  <c r="G1338"/>
  <c r="I1338"/>
  <c r="G1345"/>
  <c r="I1345"/>
  <c r="H1345"/>
  <c r="H513"/>
  <c r="I513"/>
  <c r="G513"/>
  <c r="G1349"/>
  <c r="I1349"/>
  <c r="I1352"/>
  <c r="H1352"/>
  <c r="H517"/>
  <c r="G517"/>
  <c r="I517"/>
  <c r="H1356"/>
  <c r="I1356"/>
  <c r="G1365"/>
  <c r="H1365"/>
  <c r="I1365"/>
  <c r="I528"/>
  <c r="G528"/>
  <c r="G542"/>
  <c r="H542"/>
  <c r="G1389"/>
  <c r="I1389"/>
  <c r="H1389"/>
  <c r="G1400"/>
  <c r="I1400"/>
  <c r="H1400"/>
  <c r="G575"/>
  <c r="H575"/>
  <c r="G585"/>
  <c r="H585"/>
  <c r="H1433"/>
  <c r="G1433"/>
  <c r="I1433"/>
  <c r="G1451"/>
  <c r="H1451"/>
  <c r="I1451"/>
  <c r="G649"/>
  <c r="H649"/>
  <c r="G673"/>
  <c r="I673"/>
  <c r="H1506"/>
  <c r="I1506"/>
  <c r="G1506"/>
  <c r="G688"/>
  <c r="H688"/>
  <c r="I688"/>
  <c r="G703"/>
  <c r="H703"/>
  <c r="I703"/>
  <c r="I710"/>
  <c r="G710"/>
  <c r="G1553"/>
  <c r="I1553"/>
  <c r="G1583"/>
  <c r="I1583"/>
  <c r="H1583"/>
  <c r="H1585"/>
  <c r="I1585"/>
  <c r="G1585"/>
  <c r="H1596"/>
  <c r="G1596"/>
  <c r="I1596"/>
  <c r="H815"/>
  <c r="G815"/>
  <c r="I74"/>
  <c r="I953"/>
  <c r="I136"/>
  <c r="I987"/>
  <c r="I1009"/>
  <c r="I204"/>
  <c r="I1056"/>
  <c r="I1089"/>
  <c r="I1114"/>
  <c r="I1128"/>
  <c r="I284"/>
  <c r="I299"/>
  <c r="I1157"/>
  <c r="I432"/>
  <c r="I1324"/>
  <c r="I1343"/>
  <c r="I523"/>
  <c r="I7"/>
  <c r="I852"/>
  <c r="I869"/>
  <c r="I37"/>
  <c r="I40"/>
  <c r="I48"/>
  <c r="I896"/>
  <c r="I906"/>
  <c r="I83"/>
  <c r="I947"/>
  <c r="I962"/>
  <c r="I972"/>
  <c r="I996"/>
  <c r="I1002"/>
  <c r="I181"/>
  <c r="I1066"/>
  <c r="I1082"/>
  <c r="I261"/>
  <c r="I1113"/>
  <c r="H1114"/>
  <c r="I1119"/>
  <c r="I1123"/>
  <c r="I1143"/>
  <c r="I1148"/>
  <c r="H299"/>
  <c r="J299" s="1"/>
  <c r="I1153"/>
  <c r="I318"/>
  <c r="I320"/>
  <c r="I324"/>
  <c r="I337"/>
  <c r="I343"/>
  <c r="I1198"/>
  <c r="I360"/>
  <c r="I1224"/>
  <c r="I1241"/>
  <c r="I1250"/>
  <c r="H432"/>
  <c r="J432" s="1"/>
  <c r="I445"/>
  <c r="I1287"/>
  <c r="I1311"/>
  <c r="I499"/>
  <c r="I504"/>
  <c r="I1377"/>
  <c r="I1380"/>
  <c r="G147" i="18"/>
  <c r="H339"/>
  <c r="H343"/>
  <c r="J343" s="1"/>
  <c r="H420"/>
  <c r="H922"/>
  <c r="H1032"/>
  <c r="H1083"/>
  <c r="G1344"/>
  <c r="I1351"/>
  <c r="I25" i="19"/>
  <c r="I867"/>
  <c r="H869"/>
  <c r="J869" s="1"/>
  <c r="I895"/>
  <c r="H896"/>
  <c r="J896" s="1"/>
  <c r="I899"/>
  <c r="I65"/>
  <c r="H906"/>
  <c r="J906" s="1"/>
  <c r="I72"/>
  <c r="I76"/>
  <c r="I930"/>
  <c r="I937"/>
  <c r="H947"/>
  <c r="J947" s="1"/>
  <c r="I952"/>
  <c r="I956"/>
  <c r="I130"/>
  <c r="H972"/>
  <c r="J972" s="1"/>
  <c r="I977"/>
  <c r="I979"/>
  <c r="I986"/>
  <c r="I990"/>
  <c r="I157"/>
  <c r="H1002"/>
  <c r="J1002" s="1"/>
  <c r="I1007"/>
  <c r="I165"/>
  <c r="I171"/>
  <c r="I1022"/>
  <c r="I1027"/>
  <c r="H181"/>
  <c r="J181" s="1"/>
  <c r="I186"/>
  <c r="I1041"/>
  <c r="I1051"/>
  <c r="I1055"/>
  <c r="I209"/>
  <c r="I223"/>
  <c r="I227"/>
  <c r="I1081"/>
  <c r="H1082"/>
  <c r="I1087"/>
  <c r="I1090"/>
  <c r="I1095"/>
  <c r="I1110"/>
  <c r="I266"/>
  <c r="I271"/>
  <c r="I275"/>
  <c r="G1122"/>
  <c r="H1123"/>
  <c r="I1127"/>
  <c r="I283"/>
  <c r="I287"/>
  <c r="I296"/>
  <c r="I302"/>
  <c r="G303"/>
  <c r="H1153"/>
  <c r="I1156"/>
  <c r="I1161"/>
  <c r="I1178"/>
  <c r="I342"/>
  <c r="G1187"/>
  <c r="H343"/>
  <c r="J343" s="1"/>
  <c r="I346"/>
  <c r="H1195"/>
  <c r="H360"/>
  <c r="J360" s="1"/>
  <c r="G1207"/>
  <c r="I1217"/>
  <c r="I383"/>
  <c r="H1250"/>
  <c r="J1250" s="1"/>
  <c r="G421"/>
  <c r="I429"/>
  <c r="I1263"/>
  <c r="I439"/>
  <c r="H1287"/>
  <c r="J1287" s="1"/>
  <c r="G451"/>
  <c r="I1298"/>
  <c r="I465"/>
  <c r="I481"/>
  <c r="G508"/>
  <c r="I1353"/>
  <c r="I1362"/>
  <c r="I530"/>
  <c r="I536"/>
  <c r="G538"/>
  <c r="I1475"/>
  <c r="H548"/>
  <c r="G548"/>
  <c r="H1392"/>
  <c r="I1392"/>
  <c r="G567"/>
  <c r="I567"/>
  <c r="H568"/>
  <c r="G568"/>
  <c r="H1411"/>
  <c r="I1411"/>
  <c r="G584"/>
  <c r="I584"/>
  <c r="H588"/>
  <c r="I588"/>
  <c r="G1430"/>
  <c r="I1430"/>
  <c r="H592"/>
  <c r="G592"/>
  <c r="G1438"/>
  <c r="H1438"/>
  <c r="G604"/>
  <c r="I604"/>
  <c r="H605"/>
  <c r="G605"/>
  <c r="H1446"/>
  <c r="I1446"/>
  <c r="G1455"/>
  <c r="H1455"/>
  <c r="H1458"/>
  <c r="G1458"/>
  <c r="I1463"/>
  <c r="G1463"/>
  <c r="H1463"/>
  <c r="G634"/>
  <c r="H634"/>
  <c r="H1467"/>
  <c r="I1467"/>
  <c r="H638"/>
  <c r="I638"/>
  <c r="I1471"/>
  <c r="H1471"/>
  <c r="H1480"/>
  <c r="G1480"/>
  <c r="H653"/>
  <c r="G653"/>
  <c r="G659"/>
  <c r="H659"/>
  <c r="H1489"/>
  <c r="G1489"/>
  <c r="I1489"/>
  <c r="H1491"/>
  <c r="I1491"/>
  <c r="G1499"/>
  <c r="I1499"/>
  <c r="G1501"/>
  <c r="I1501"/>
  <c r="H676"/>
  <c r="I676"/>
  <c r="G683"/>
  <c r="H683"/>
  <c r="I683"/>
  <c r="G1513"/>
  <c r="I1513"/>
  <c r="G1523"/>
  <c r="I1523"/>
  <c r="H696"/>
  <c r="I696"/>
  <c r="G1528"/>
  <c r="H1528"/>
  <c r="G702"/>
  <c r="H702"/>
  <c r="I702"/>
  <c r="H1539"/>
  <c r="G1539"/>
  <c r="H1544"/>
  <c r="G1544"/>
  <c r="G1545"/>
  <c r="H1545"/>
  <c r="H714"/>
  <c r="G714"/>
  <c r="I714"/>
  <c r="H1550"/>
  <c r="I1550"/>
  <c r="G1575"/>
  <c r="I1575"/>
  <c r="H735"/>
  <c r="I735"/>
  <c r="G735"/>
  <c r="G737"/>
  <c r="H737"/>
  <c r="H747"/>
  <c r="G747"/>
  <c r="H1593"/>
  <c r="G1593"/>
  <c r="I1593"/>
  <c r="G762"/>
  <c r="H762"/>
  <c r="H1598"/>
  <c r="G1598"/>
  <c r="I1598"/>
  <c r="H1605"/>
  <c r="G1605"/>
  <c r="G1608"/>
  <c r="I1608"/>
  <c r="H1608"/>
  <c r="H1612"/>
  <c r="I1612"/>
  <c r="G1612"/>
  <c r="H787"/>
  <c r="G787"/>
  <c r="I787"/>
  <c r="H794"/>
  <c r="I794"/>
  <c r="G794"/>
  <c r="H810"/>
  <c r="G810"/>
  <c r="H1640"/>
  <c r="I1640"/>
  <c r="G1640"/>
  <c r="G827"/>
  <c r="H827"/>
  <c r="I827"/>
  <c r="I107" i="18"/>
  <c r="G107"/>
  <c r="I143"/>
  <c r="G143"/>
  <c r="J143" s="1"/>
  <c r="I250"/>
  <c r="G250"/>
  <c r="I324"/>
  <c r="G324"/>
  <c r="I402"/>
  <c r="G402"/>
  <c r="I440"/>
  <c r="H440"/>
  <c r="J440" s="1"/>
  <c r="G493"/>
  <c r="H493"/>
  <c r="I585"/>
  <c r="G585"/>
  <c r="G605"/>
  <c r="H605"/>
  <c r="G747"/>
  <c r="H747"/>
  <c r="I784"/>
  <c r="G784"/>
  <c r="I829"/>
  <c r="H829"/>
  <c r="J829" s="1"/>
  <c r="I871"/>
  <c r="H871"/>
  <c r="J871" s="1"/>
  <c r="I891"/>
  <c r="G891"/>
  <c r="J891" s="1"/>
  <c r="I963"/>
  <c r="G963"/>
  <c r="J963" s="1"/>
  <c r="G981"/>
  <c r="H981"/>
  <c r="I1024"/>
  <c r="G1024"/>
  <c r="G1201"/>
  <c r="J1201" s="1"/>
  <c r="I1201"/>
  <c r="G1255"/>
  <c r="H1255"/>
  <c r="I1325"/>
  <c r="H1325"/>
  <c r="J1325" s="1"/>
  <c r="I1369"/>
  <c r="G1369"/>
  <c r="J1369" s="1"/>
  <c r="G1374"/>
  <c r="J1374" s="1"/>
  <c r="I1374"/>
  <c r="I1377"/>
  <c r="G1377"/>
  <c r="J1377" s="1"/>
  <c r="I1402"/>
  <c r="H1402"/>
  <c r="J1402" s="1"/>
  <c r="I1404"/>
  <c r="H1404"/>
  <c r="I1449"/>
  <c r="H1449"/>
  <c r="J1449" s="1"/>
  <c r="H1496"/>
  <c r="J1496" s="1"/>
  <c r="I1496"/>
  <c r="H1536"/>
  <c r="G1536"/>
  <c r="H1636"/>
  <c r="J1636" s="1"/>
  <c r="I1636"/>
  <c r="G1657"/>
  <c r="H1657"/>
  <c r="G350" i="19"/>
  <c r="H350"/>
  <c r="G1204"/>
  <c r="H1204"/>
  <c r="G1215"/>
  <c r="I1215"/>
  <c r="H368"/>
  <c r="G368"/>
  <c r="H1219"/>
  <c r="I1219"/>
  <c r="H378"/>
  <c r="J378" s="1"/>
  <c r="I378"/>
  <c r="H382"/>
  <c r="G382"/>
  <c r="G396"/>
  <c r="I396"/>
  <c r="G403"/>
  <c r="I403"/>
  <c r="H404"/>
  <c r="G404"/>
  <c r="G410"/>
  <c r="I410"/>
  <c r="G412"/>
  <c r="J412" s="1"/>
  <c r="I412"/>
  <c r="H1246"/>
  <c r="G1246"/>
  <c r="G1259"/>
  <c r="I1259"/>
  <c r="H1260"/>
  <c r="G1260"/>
  <c r="G1262"/>
  <c r="H1262"/>
  <c r="G438"/>
  <c r="J438" s="1"/>
  <c r="I438"/>
  <c r="H1266"/>
  <c r="G1266"/>
  <c r="G1285"/>
  <c r="H1285"/>
  <c r="G457"/>
  <c r="J457" s="1"/>
  <c r="I457"/>
  <c r="H458"/>
  <c r="G458"/>
  <c r="G1306"/>
  <c r="H1306"/>
  <c r="I1307"/>
  <c r="G1307"/>
  <c r="G1315"/>
  <c r="J1315" s="1"/>
  <c r="I1315"/>
  <c r="H475"/>
  <c r="G475"/>
  <c r="G1323"/>
  <c r="H1323"/>
  <c r="G492"/>
  <c r="J492" s="1"/>
  <c r="I492"/>
  <c r="H493"/>
  <c r="G493"/>
  <c r="H1340"/>
  <c r="J1340" s="1"/>
  <c r="I1340"/>
  <c r="G1360"/>
  <c r="H1360"/>
  <c r="H535"/>
  <c r="I535"/>
  <c r="G1403"/>
  <c r="J1403" s="1"/>
  <c r="I1403"/>
  <c r="I1404"/>
  <c r="H1404"/>
  <c r="G573"/>
  <c r="H573"/>
  <c r="H1425"/>
  <c r="G1425"/>
  <c r="H594"/>
  <c r="J594" s="1"/>
  <c r="I594"/>
  <c r="G1440"/>
  <c r="J1440" s="1"/>
  <c r="I1440"/>
  <c r="H1441"/>
  <c r="G1441"/>
  <c r="H607"/>
  <c r="J607" s="1"/>
  <c r="I607"/>
  <c r="G1449"/>
  <c r="H1449"/>
  <c r="G1453"/>
  <c r="H1453"/>
  <c r="G623"/>
  <c r="H623"/>
  <c r="H1457"/>
  <c r="G1457"/>
  <c r="G1466"/>
  <c r="H1466"/>
  <c r="I639"/>
  <c r="H639"/>
  <c r="G1472"/>
  <c r="H1472"/>
  <c r="H647"/>
  <c r="J647" s="1"/>
  <c r="I647"/>
  <c r="G648"/>
  <c r="H648"/>
  <c r="G1494"/>
  <c r="H1494"/>
  <c r="G668"/>
  <c r="J668" s="1"/>
  <c r="I668"/>
  <c r="H1498"/>
  <c r="G1498"/>
  <c r="H671"/>
  <c r="I671"/>
  <c r="G671"/>
  <c r="H1511"/>
  <c r="G1511"/>
  <c r="H685"/>
  <c r="G685"/>
  <c r="H1520"/>
  <c r="I1520"/>
  <c r="G1520"/>
  <c r="G691"/>
  <c r="I691"/>
  <c r="G692"/>
  <c r="I692"/>
  <c r="G1525"/>
  <c r="H1525"/>
  <c r="H1527"/>
  <c r="I1527"/>
  <c r="H1534"/>
  <c r="J1534" s="1"/>
  <c r="I1534"/>
  <c r="G700"/>
  <c r="H700"/>
  <c r="G1541"/>
  <c r="I1541"/>
  <c r="H1541"/>
  <c r="G719"/>
  <c r="I719"/>
  <c r="H719"/>
  <c r="H1557"/>
  <c r="I1557"/>
  <c r="G1557"/>
  <c r="H736"/>
  <c r="G736"/>
  <c r="G1580"/>
  <c r="H1580"/>
  <c r="I1580"/>
  <c r="H743"/>
  <c r="G743"/>
  <c r="I743"/>
  <c r="G757"/>
  <c r="H757"/>
  <c r="H1601"/>
  <c r="I1601"/>
  <c r="G1601"/>
  <c r="G1604"/>
  <c r="H1604"/>
  <c r="G1607"/>
  <c r="I1607"/>
  <c r="H1607"/>
  <c r="H776"/>
  <c r="I776"/>
  <c r="G776"/>
  <c r="H786"/>
  <c r="G786"/>
  <c r="G791"/>
  <c r="H791"/>
  <c r="I791"/>
  <c r="H792"/>
  <c r="G792"/>
  <c r="I792"/>
  <c r="G1625"/>
  <c r="I1625"/>
  <c r="H1625"/>
  <c r="H808"/>
  <c r="G808"/>
  <c r="I808"/>
  <c r="H813"/>
  <c r="G813"/>
  <c r="H818"/>
  <c r="I818"/>
  <c r="G818"/>
  <c r="H1651"/>
  <c r="G1651"/>
  <c r="I1651"/>
  <c r="H4" i="18"/>
  <c r="G4"/>
  <c r="G73"/>
  <c r="I73"/>
  <c r="H144"/>
  <c r="G144"/>
  <c r="I178"/>
  <c r="G178"/>
  <c r="I251"/>
  <c r="G251"/>
  <c r="J251" s="1"/>
  <c r="I274"/>
  <c r="G274"/>
  <c r="J274" s="1"/>
  <c r="I414"/>
  <c r="G414"/>
  <c r="J414" s="1"/>
  <c r="I421"/>
  <c r="H421"/>
  <c r="J421" s="1"/>
  <c r="I429"/>
  <c r="G429"/>
  <c r="I472"/>
  <c r="G472"/>
  <c r="J472" s="1"/>
  <c r="H596"/>
  <c r="G596"/>
  <c r="G758"/>
  <c r="I758"/>
  <c r="I806"/>
  <c r="G806"/>
  <c r="I826"/>
  <c r="G826"/>
  <c r="G830"/>
  <c r="J830" s="1"/>
  <c r="I830"/>
  <c r="I858"/>
  <c r="H858"/>
  <c r="G892"/>
  <c r="H892"/>
  <c r="G1025"/>
  <c r="H1025"/>
  <c r="I1036"/>
  <c r="H1036"/>
  <c r="J1036" s="1"/>
  <c r="I1045"/>
  <c r="H1045"/>
  <c r="J1045" s="1"/>
  <c r="I1171"/>
  <c r="G1171"/>
  <c r="I1321"/>
  <c r="G1321"/>
  <c r="J1321" s="1"/>
  <c r="G1326"/>
  <c r="I1326"/>
  <c r="G1384"/>
  <c r="H1384"/>
  <c r="I1398"/>
  <c r="G1398"/>
  <c r="J1398" s="1"/>
  <c r="I1431"/>
  <c r="G1431"/>
  <c r="J1431" s="1"/>
  <c r="G1450"/>
  <c r="I1450"/>
  <c r="H1578"/>
  <c r="G1578"/>
  <c r="H1593"/>
  <c r="I1593"/>
  <c r="H1630"/>
  <c r="G1630"/>
  <c r="G1206" i="19"/>
  <c r="J1206" s="1"/>
  <c r="I1206"/>
  <c r="H361"/>
  <c r="G361"/>
  <c r="H384"/>
  <c r="J384" s="1"/>
  <c r="I384"/>
  <c r="I1235"/>
  <c r="H1235"/>
  <c r="G397"/>
  <c r="H397"/>
  <c r="I411"/>
  <c r="H411"/>
  <c r="G1251"/>
  <c r="J1251" s="1"/>
  <c r="I1251"/>
  <c r="H420"/>
  <c r="G420"/>
  <c r="H1269"/>
  <c r="J1269" s="1"/>
  <c r="I1269"/>
  <c r="G1288"/>
  <c r="I1288"/>
  <c r="H1289"/>
  <c r="G1289"/>
  <c r="H1300"/>
  <c r="J1300" s="1"/>
  <c r="I1300"/>
  <c r="G1310"/>
  <c r="H1310"/>
  <c r="G1325"/>
  <c r="J1325" s="1"/>
  <c r="I1325"/>
  <c r="H1326"/>
  <c r="G1326"/>
  <c r="H1333"/>
  <c r="J1333" s="1"/>
  <c r="I1333"/>
  <c r="G507"/>
  <c r="H507"/>
  <c r="G1363"/>
  <c r="J1363" s="1"/>
  <c r="I1363"/>
  <c r="H524"/>
  <c r="G524"/>
  <c r="G1378"/>
  <c r="H1378"/>
  <c r="G1382"/>
  <c r="J1382" s="1"/>
  <c r="I1382"/>
  <c r="H1383"/>
  <c r="G1383"/>
  <c r="G562"/>
  <c r="H562"/>
  <c r="G1407"/>
  <c r="I1407"/>
  <c r="G1416"/>
  <c r="J1416" s="1"/>
  <c r="I1416"/>
  <c r="H1417"/>
  <c r="G1417"/>
  <c r="G1419"/>
  <c r="H1419"/>
  <c r="H582"/>
  <c r="G582"/>
  <c r="G1423"/>
  <c r="J1423" s="1"/>
  <c r="I1423"/>
  <c r="H583"/>
  <c r="G583"/>
  <c r="H1427"/>
  <c r="J1427" s="1"/>
  <c r="I1427"/>
  <c r="H624"/>
  <c r="J624" s="1"/>
  <c r="I624"/>
  <c r="G625"/>
  <c r="H625"/>
  <c r="I625"/>
  <c r="G631"/>
  <c r="I631"/>
  <c r="G1470"/>
  <c r="I1470"/>
  <c r="G641"/>
  <c r="H641"/>
  <c r="H642"/>
  <c r="G642"/>
  <c r="G645"/>
  <c r="H645"/>
  <c r="H646"/>
  <c r="J646" s="1"/>
  <c r="I646"/>
  <c r="H1484"/>
  <c r="G1484"/>
  <c r="H1507"/>
  <c r="I1507"/>
  <c r="G1508"/>
  <c r="H1508"/>
  <c r="H1531"/>
  <c r="I1531"/>
  <c r="H699"/>
  <c r="J699" s="1"/>
  <c r="I699"/>
  <c r="I1537"/>
  <c r="G1537"/>
  <c r="G713"/>
  <c r="H713"/>
  <c r="H723"/>
  <c r="I723"/>
  <c r="G723"/>
  <c r="G731"/>
  <c r="I731"/>
  <c r="H731"/>
  <c r="G1577"/>
  <c r="H1577"/>
  <c r="I1577"/>
  <c r="H739"/>
  <c r="I739"/>
  <c r="G739"/>
  <c r="G1595"/>
  <c r="I1595"/>
  <c r="G764"/>
  <c r="H764"/>
  <c r="I764"/>
  <c r="H1609"/>
  <c r="I1609"/>
  <c r="G1609"/>
  <c r="G777"/>
  <c r="H777"/>
  <c r="I777"/>
  <c r="G788"/>
  <c r="I788"/>
  <c r="H788"/>
  <c r="H1620"/>
  <c r="G1620"/>
  <c r="G793"/>
  <c r="I793"/>
  <c r="H793"/>
  <c r="H799"/>
  <c r="I799"/>
  <c r="G799"/>
  <c r="G1639"/>
  <c r="H1639"/>
  <c r="I1639"/>
  <c r="G1641"/>
  <c r="H1641"/>
  <c r="I1641"/>
  <c r="H1648"/>
  <c r="G1648"/>
  <c r="I1648"/>
  <c r="G1652"/>
  <c r="H1652"/>
  <c r="I552"/>
  <c r="I1399"/>
  <c r="I1415"/>
  <c r="I1420"/>
  <c r="I1435"/>
  <c r="I677"/>
  <c r="I678"/>
  <c r="I1"/>
  <c r="G2"/>
  <c r="J2" s="1"/>
  <c r="H839"/>
  <c r="J839" s="1"/>
  <c r="I841"/>
  <c r="I845"/>
  <c r="G846"/>
  <c r="J846" s="1"/>
  <c r="H12"/>
  <c r="J12" s="1"/>
  <c r="H14"/>
  <c r="J14" s="1"/>
  <c r="I851"/>
  <c r="I19"/>
  <c r="G20"/>
  <c r="J20" s="1"/>
  <c r="H857"/>
  <c r="J857" s="1"/>
  <c r="I23"/>
  <c r="I868"/>
  <c r="G30"/>
  <c r="G32"/>
  <c r="H873"/>
  <c r="J873" s="1"/>
  <c r="I36"/>
  <c r="I878"/>
  <c r="I42"/>
  <c r="G883"/>
  <c r="J883" s="1"/>
  <c r="H886"/>
  <c r="J886" s="1"/>
  <c r="I887"/>
  <c r="I49"/>
  <c r="I54"/>
  <c r="G55"/>
  <c r="H59"/>
  <c r="J59" s="1"/>
  <c r="I60"/>
  <c r="I902"/>
  <c r="I66"/>
  <c r="G67"/>
  <c r="H908"/>
  <c r="J908" s="1"/>
  <c r="I909"/>
  <c r="I912"/>
  <c r="G913"/>
  <c r="J913" s="1"/>
  <c r="H79"/>
  <c r="J79" s="1"/>
  <c r="I80"/>
  <c r="I918"/>
  <c r="I922"/>
  <c r="G923"/>
  <c r="J923" s="1"/>
  <c r="H927"/>
  <c r="J927" s="1"/>
  <c r="I928"/>
  <c r="I932"/>
  <c r="G933"/>
  <c r="J933" s="1"/>
  <c r="G95"/>
  <c r="J95" s="1"/>
  <c r="H939"/>
  <c r="I98"/>
  <c r="I100"/>
  <c r="G105"/>
  <c r="H950"/>
  <c r="J950" s="1"/>
  <c r="I951"/>
  <c r="I111"/>
  <c r="G112"/>
  <c r="J112" s="1"/>
  <c r="H959"/>
  <c r="I960"/>
  <c r="I119"/>
  <c r="G121"/>
  <c r="J121" s="1"/>
  <c r="H966"/>
  <c r="J966" s="1"/>
  <c r="I971"/>
  <c r="G131"/>
  <c r="H133"/>
  <c r="J133" s="1"/>
  <c r="I134"/>
  <c r="I139"/>
  <c r="G980"/>
  <c r="J980" s="1"/>
  <c r="H983"/>
  <c r="I142"/>
  <c r="I989"/>
  <c r="G148"/>
  <c r="J148" s="1"/>
  <c r="H993"/>
  <c r="J993" s="1"/>
  <c r="I994"/>
  <c r="I999"/>
  <c r="I158"/>
  <c r="G1003"/>
  <c r="H161"/>
  <c r="J161" s="1"/>
  <c r="I162"/>
  <c r="I1011"/>
  <c r="G1012"/>
  <c r="J1012" s="1"/>
  <c r="I169"/>
  <c r="G1018"/>
  <c r="J1018" s="1"/>
  <c r="H1020"/>
  <c r="I174"/>
  <c r="H177"/>
  <c r="I1024"/>
  <c r="I1028"/>
  <c r="G1029"/>
  <c r="I185"/>
  <c r="G187"/>
  <c r="J187" s="1"/>
  <c r="H191"/>
  <c r="J191" s="1"/>
  <c r="I192"/>
  <c r="H1038"/>
  <c r="J1038" s="1"/>
  <c r="I195"/>
  <c r="I1044"/>
  <c r="G1045"/>
  <c r="G200"/>
  <c r="H202"/>
  <c r="I1050"/>
  <c r="I1054"/>
  <c r="I208"/>
  <c r="G1060"/>
  <c r="J1060" s="1"/>
  <c r="H1063"/>
  <c r="J1063" s="1"/>
  <c r="I1064"/>
  <c r="I1068"/>
  <c r="G1069"/>
  <c r="J1069" s="1"/>
  <c r="H220"/>
  <c r="I1071"/>
  <c r="I225"/>
  <c r="G1076"/>
  <c r="H1078"/>
  <c r="I1079"/>
  <c r="I234"/>
  <c r="G235"/>
  <c r="H1085"/>
  <c r="J1085" s="1"/>
  <c r="I238"/>
  <c r="I242"/>
  <c r="G243"/>
  <c r="J243" s="1"/>
  <c r="G1092"/>
  <c r="J1092" s="1"/>
  <c r="H1096"/>
  <c r="I250"/>
  <c r="H1099"/>
  <c r="I1100"/>
  <c r="I257"/>
  <c r="G259"/>
  <c r="J259" s="1"/>
  <c r="H262"/>
  <c r="I1108"/>
  <c r="I268"/>
  <c r="G1115"/>
  <c r="J1115" s="1"/>
  <c r="H1117"/>
  <c r="I1118"/>
  <c r="I1122"/>
  <c r="G276"/>
  <c r="H279"/>
  <c r="J279" s="1"/>
  <c r="I1126"/>
  <c r="I1131"/>
  <c r="I1134"/>
  <c r="G288"/>
  <c r="J288" s="1"/>
  <c r="H1138"/>
  <c r="J1138" s="1"/>
  <c r="I290"/>
  <c r="H1144"/>
  <c r="J1144" s="1"/>
  <c r="I294"/>
  <c r="I298"/>
  <c r="G300"/>
  <c r="J300" s="1"/>
  <c r="G304"/>
  <c r="H307"/>
  <c r="J307" s="1"/>
  <c r="I309"/>
  <c r="I1160"/>
  <c r="G1162"/>
  <c r="H1165"/>
  <c r="J1165" s="1"/>
  <c r="I314"/>
  <c r="I1167"/>
  <c r="I1172"/>
  <c r="G1173"/>
  <c r="J1173" s="1"/>
  <c r="H325"/>
  <c r="I326"/>
  <c r="G328"/>
  <c r="J328" s="1"/>
  <c r="G330"/>
  <c r="J330" s="1"/>
  <c r="H333"/>
  <c r="I335"/>
  <c r="I339"/>
  <c r="I1187"/>
  <c r="G1188"/>
  <c r="H1191"/>
  <c r="J1191" s="1"/>
  <c r="I1193"/>
  <c r="I1195"/>
  <c r="I351"/>
  <c r="I371"/>
  <c r="I374"/>
  <c r="I387"/>
  <c r="I1233"/>
  <c r="I1242"/>
  <c r="I415"/>
  <c r="I442"/>
  <c r="I1275"/>
  <c r="I467"/>
  <c r="I477"/>
  <c r="I1335"/>
  <c r="I501"/>
  <c r="I508"/>
  <c r="I516"/>
  <c r="I1373"/>
  <c r="I541"/>
  <c r="I551"/>
  <c r="H552"/>
  <c r="J552" s="1"/>
  <c r="I1394"/>
  <c r="I559"/>
  <c r="I563"/>
  <c r="H1399"/>
  <c r="J1399" s="1"/>
  <c r="I1402"/>
  <c r="I1405"/>
  <c r="I577"/>
  <c r="I580"/>
  <c r="H1420"/>
  <c r="J1420" s="1"/>
  <c r="I591"/>
  <c r="I1439"/>
  <c r="I603"/>
  <c r="I1653"/>
  <c r="I658"/>
  <c r="I1487"/>
  <c r="I667"/>
  <c r="H678"/>
  <c r="J678" s="1"/>
  <c r="I1545"/>
  <c r="I762"/>
  <c r="I1605"/>
  <c r="I1628"/>
  <c r="H36" i="18"/>
  <c r="J36" s="1"/>
  <c r="H227"/>
  <c r="H285"/>
  <c r="J285" s="1"/>
  <c r="H357"/>
  <c r="H361"/>
  <c r="J361" s="1"/>
  <c r="H368"/>
  <c r="H380"/>
  <c r="J380" s="1"/>
  <c r="H406"/>
  <c r="H439"/>
  <c r="J439" s="1"/>
  <c r="H475"/>
  <c r="H479"/>
  <c r="J479" s="1"/>
  <c r="H750"/>
  <c r="H835"/>
  <c r="J835" s="1"/>
  <c r="H870"/>
  <c r="J870" s="1"/>
  <c r="H897"/>
  <c r="H941"/>
  <c r="H947"/>
  <c r="I948"/>
  <c r="H1057"/>
  <c r="I1058"/>
  <c r="H1061"/>
  <c r="H1075"/>
  <c r="I1142"/>
  <c r="H1157"/>
  <c r="H1158"/>
  <c r="I1159"/>
  <c r="H1264"/>
  <c r="I1265"/>
  <c r="H1309"/>
  <c r="I1310"/>
  <c r="G1332"/>
  <c r="J1332" s="1"/>
  <c r="G1336"/>
  <c r="I1359"/>
  <c r="H1394"/>
  <c r="H1479"/>
  <c r="I1550"/>
  <c r="I1576"/>
  <c r="H1594"/>
  <c r="H1633"/>
  <c r="G1635"/>
  <c r="I2" i="19"/>
  <c r="I3"/>
  <c r="G834"/>
  <c r="J834" s="1"/>
  <c r="I837"/>
  <c r="G5"/>
  <c r="I839"/>
  <c r="H842"/>
  <c r="J842" s="1"/>
  <c r="I846"/>
  <c r="I847"/>
  <c r="G848"/>
  <c r="I12"/>
  <c r="G849"/>
  <c r="J849" s="1"/>
  <c r="I14"/>
  <c r="H16"/>
  <c r="I20"/>
  <c r="I21"/>
  <c r="G22"/>
  <c r="J22" s="1"/>
  <c r="I857"/>
  <c r="H24"/>
  <c r="J24" s="1"/>
  <c r="H862"/>
  <c r="H864"/>
  <c r="I30"/>
  <c r="I32"/>
  <c r="I33"/>
  <c r="G34"/>
  <c r="I873"/>
  <c r="H875"/>
  <c r="J875" s="1"/>
  <c r="H879"/>
  <c r="I883"/>
  <c r="I43"/>
  <c r="G44"/>
  <c r="I886"/>
  <c r="H888"/>
  <c r="H890"/>
  <c r="J890" s="1"/>
  <c r="I55"/>
  <c r="I57"/>
  <c r="G897"/>
  <c r="J897" s="1"/>
  <c r="I59"/>
  <c r="H900"/>
  <c r="H903"/>
  <c r="I67"/>
  <c r="I69"/>
  <c r="G70"/>
  <c r="I908"/>
  <c r="H73"/>
  <c r="J73" s="1"/>
  <c r="I913"/>
  <c r="I914"/>
  <c r="G78"/>
  <c r="I79"/>
  <c r="H919"/>
  <c r="I923"/>
  <c r="I86"/>
  <c r="G926"/>
  <c r="J926" s="1"/>
  <c r="I927"/>
  <c r="H88"/>
  <c r="J88" s="1"/>
  <c r="I933"/>
  <c r="I934"/>
  <c r="I95"/>
  <c r="I96"/>
  <c r="G938"/>
  <c r="I939"/>
  <c r="H941"/>
  <c r="I105"/>
  <c r="I948"/>
  <c r="G107"/>
  <c r="J107" s="1"/>
  <c r="I950"/>
  <c r="H109"/>
  <c r="I112"/>
  <c r="I957"/>
  <c r="G114"/>
  <c r="J114" s="1"/>
  <c r="I959"/>
  <c r="H961"/>
  <c r="I121"/>
  <c r="I122"/>
  <c r="G123"/>
  <c r="J123" s="1"/>
  <c r="I966"/>
  <c r="I131"/>
  <c r="I132"/>
  <c r="G975"/>
  <c r="J975" s="1"/>
  <c r="I133"/>
  <c r="H135"/>
  <c r="I980"/>
  <c r="I981"/>
  <c r="G982"/>
  <c r="J982" s="1"/>
  <c r="I983"/>
  <c r="H143"/>
  <c r="H145"/>
  <c r="I148"/>
  <c r="I149"/>
  <c r="G150"/>
  <c r="J150" s="1"/>
  <c r="I993"/>
  <c r="H152"/>
  <c r="I1003"/>
  <c r="I1004"/>
  <c r="G1005"/>
  <c r="I161"/>
  <c r="H1008"/>
  <c r="I1012"/>
  <c r="I166"/>
  <c r="I1018"/>
  <c r="I1019"/>
  <c r="G172"/>
  <c r="I1020"/>
  <c r="I1021"/>
  <c r="G176"/>
  <c r="J176" s="1"/>
  <c r="I177"/>
  <c r="H1025"/>
  <c r="J1025" s="1"/>
  <c r="I1029"/>
  <c r="I1030"/>
  <c r="I187"/>
  <c r="I188"/>
  <c r="G189"/>
  <c r="J189" s="1"/>
  <c r="G190"/>
  <c r="I191"/>
  <c r="I1037"/>
  <c r="G194"/>
  <c r="I1038"/>
  <c r="H196"/>
  <c r="I1045"/>
  <c r="I200"/>
  <c r="I1048"/>
  <c r="G201"/>
  <c r="I202"/>
  <c r="H1052"/>
  <c r="H207"/>
  <c r="I1060"/>
  <c r="I1061"/>
  <c r="G211"/>
  <c r="I1063"/>
  <c r="H1065"/>
  <c r="I1069"/>
  <c r="I218"/>
  <c r="G1070"/>
  <c r="J1070" s="1"/>
  <c r="I220"/>
  <c r="H1072"/>
  <c r="I1076"/>
  <c r="I1077"/>
  <c r="G228"/>
  <c r="J228" s="1"/>
  <c r="I1078"/>
  <c r="H1080"/>
  <c r="J1080" s="1"/>
  <c r="I235"/>
  <c r="I1083"/>
  <c r="G1084"/>
  <c r="I1085"/>
  <c r="H1088"/>
  <c r="I243"/>
  <c r="I1092"/>
  <c r="I1093"/>
  <c r="G1094"/>
  <c r="G248"/>
  <c r="J248" s="1"/>
  <c r="I1096"/>
  <c r="I1099"/>
  <c r="H253"/>
  <c r="I259"/>
  <c r="I1106"/>
  <c r="G1107"/>
  <c r="J1107" s="1"/>
  <c r="I262"/>
  <c r="H264"/>
  <c r="J264" s="1"/>
  <c r="H1111"/>
  <c r="J1111" s="1"/>
  <c r="I1115"/>
  <c r="I270"/>
  <c r="G1116"/>
  <c r="J1116" s="1"/>
  <c r="I1117"/>
  <c r="H1120"/>
  <c r="J1120" s="1"/>
  <c r="I276"/>
  <c r="I277"/>
  <c r="G278"/>
  <c r="I279"/>
  <c r="H281"/>
  <c r="H1132"/>
  <c r="I288"/>
  <c r="I1136"/>
  <c r="G1137"/>
  <c r="I1138"/>
  <c r="I1140"/>
  <c r="G1142"/>
  <c r="J1142" s="1"/>
  <c r="G293"/>
  <c r="I1144"/>
  <c r="H1146"/>
  <c r="I300"/>
  <c r="I1149"/>
  <c r="G1150"/>
  <c r="I304"/>
  <c r="I1154"/>
  <c r="G1155"/>
  <c r="I307"/>
  <c r="H310"/>
  <c r="I1162"/>
  <c r="I1163"/>
  <c r="G1164"/>
  <c r="I1165"/>
  <c r="H1168"/>
  <c r="H1169"/>
  <c r="J1169" s="1"/>
  <c r="I1173"/>
  <c r="I1174"/>
  <c r="G1175"/>
  <c r="I325"/>
  <c r="I328"/>
  <c r="I330"/>
  <c r="I1179"/>
  <c r="G332"/>
  <c r="I333"/>
  <c r="H336"/>
  <c r="I1188"/>
  <c r="I1190"/>
  <c r="G345"/>
  <c r="I1191"/>
  <c r="I349"/>
  <c r="I1199"/>
  <c r="I1202"/>
  <c r="I359"/>
  <c r="I1210"/>
  <c r="I1212"/>
  <c r="I373"/>
  <c r="I390"/>
  <c r="I399"/>
  <c r="I414"/>
  <c r="I1255"/>
  <c r="I1256"/>
  <c r="I431"/>
  <c r="I1264"/>
  <c r="I1274"/>
  <c r="I1279"/>
  <c r="I1282"/>
  <c r="I1286"/>
  <c r="I1292"/>
  <c r="I455"/>
  <c r="I462"/>
  <c r="I470"/>
  <c r="I1318"/>
  <c r="I480"/>
  <c r="I486"/>
  <c r="I1329"/>
  <c r="I500"/>
  <c r="I511"/>
  <c r="I514"/>
  <c r="I1350"/>
  <c r="I1355"/>
  <c r="I521"/>
  <c r="I1361"/>
  <c r="I1367"/>
  <c r="I1369"/>
  <c r="I531"/>
  <c r="I1379"/>
  <c r="I546"/>
  <c r="I548"/>
  <c r="I554"/>
  <c r="G1392"/>
  <c r="I1393"/>
  <c r="G1394"/>
  <c r="J1394" s="1"/>
  <c r="G1402"/>
  <c r="J1402" s="1"/>
  <c r="H567"/>
  <c r="I568"/>
  <c r="I1409"/>
  <c r="G1411"/>
  <c r="I1413"/>
  <c r="I574"/>
  <c r="H577"/>
  <c r="J577" s="1"/>
  <c r="G588"/>
  <c r="I1429"/>
  <c r="H1430"/>
  <c r="I592"/>
  <c r="I598"/>
  <c r="I1438"/>
  <c r="G1439"/>
  <c r="J1439" s="1"/>
  <c r="I1443"/>
  <c r="H604"/>
  <c r="I605"/>
  <c r="G1446"/>
  <c r="I614"/>
  <c r="I620"/>
  <c r="I621"/>
  <c r="I1457"/>
  <c r="I1458"/>
  <c r="I634"/>
  <c r="G1467"/>
  <c r="G638"/>
  <c r="I1480"/>
  <c r="I653"/>
  <c r="H1653"/>
  <c r="J1653" s="1"/>
  <c r="I659"/>
  <c r="G1487"/>
  <c r="J1487" s="1"/>
  <c r="G1491"/>
  <c r="I1494"/>
  <c r="I1497"/>
  <c r="H1499"/>
  <c r="H1501"/>
  <c r="G676"/>
  <c r="H1513"/>
  <c r="I1515"/>
  <c r="I689"/>
  <c r="G696"/>
  <c r="I1528"/>
  <c r="I1539"/>
  <c r="I1544"/>
  <c r="I736"/>
  <c r="I737"/>
  <c r="I747"/>
  <c r="H1628"/>
  <c r="J1628" s="1"/>
  <c r="H708"/>
  <c r="I708"/>
  <c r="G1561"/>
  <c r="H1561"/>
  <c r="I1561"/>
  <c r="G1566"/>
  <c r="I1566"/>
  <c r="H1566"/>
  <c r="H1573"/>
  <c r="I1573"/>
  <c r="G1573"/>
  <c r="G748"/>
  <c r="H748"/>
  <c r="G751"/>
  <c r="H751"/>
  <c r="H1590"/>
  <c r="G1590"/>
  <c r="G755"/>
  <c r="I755"/>
  <c r="H761"/>
  <c r="G761"/>
  <c r="G780"/>
  <c r="H780"/>
  <c r="I780"/>
  <c r="G1616"/>
  <c r="H1616"/>
  <c r="H804"/>
  <c r="J804" s="1"/>
  <c r="I804"/>
  <c r="G1632"/>
  <c r="H1632"/>
  <c r="H812"/>
  <c r="I812"/>
  <c r="G820"/>
  <c r="H820"/>
  <c r="I820"/>
  <c r="G822"/>
  <c r="I822"/>
  <c r="H611"/>
  <c r="I611"/>
  <c r="H616"/>
  <c r="I616"/>
  <c r="I622"/>
  <c r="G622"/>
  <c r="G627"/>
  <c r="H627"/>
  <c r="I1462"/>
  <c r="H1462"/>
  <c r="G632"/>
  <c r="H632"/>
  <c r="I640"/>
  <c r="G640"/>
  <c r="G643"/>
  <c r="J643" s="1"/>
  <c r="I643"/>
  <c r="H1476"/>
  <c r="G1476"/>
  <c r="H655"/>
  <c r="J655" s="1"/>
  <c r="I655"/>
  <c r="G1496"/>
  <c r="H1496"/>
  <c r="G1503"/>
  <c r="J1503" s="1"/>
  <c r="I1503"/>
  <c r="H679"/>
  <c r="G679"/>
  <c r="H1516"/>
  <c r="I1516"/>
  <c r="H1524"/>
  <c r="G1524"/>
  <c r="G1546"/>
  <c r="H1546"/>
  <c r="H1562"/>
  <c r="G1562"/>
  <c r="H727"/>
  <c r="G727"/>
  <c r="I727"/>
  <c r="H1569"/>
  <c r="J1569" s="1"/>
  <c r="I1569"/>
  <c r="H740"/>
  <c r="I740"/>
  <c r="H741"/>
  <c r="G741"/>
  <c r="H752"/>
  <c r="I752"/>
  <c r="G766"/>
  <c r="I766"/>
  <c r="H766"/>
  <c r="H781"/>
  <c r="G781"/>
  <c r="G798"/>
  <c r="H798"/>
  <c r="H1627"/>
  <c r="G1627"/>
  <c r="G802"/>
  <c r="H802"/>
  <c r="H803"/>
  <c r="I803"/>
  <c r="H821"/>
  <c r="G821"/>
  <c r="H1646"/>
  <c r="G1646"/>
  <c r="I704"/>
  <c r="I1547"/>
  <c r="I1555"/>
  <c r="I1604"/>
  <c r="I1618"/>
  <c r="I813"/>
  <c r="I1637"/>
  <c r="H52" i="18"/>
  <c r="J52" s="1"/>
  <c r="H151"/>
  <c r="J151" s="1"/>
  <c r="H212"/>
  <c r="J212" s="1"/>
  <c r="H254"/>
  <c r="J254" s="1"/>
  <c r="H258"/>
  <c r="H297"/>
  <c r="H304"/>
  <c r="J304" s="1"/>
  <c r="H365"/>
  <c r="H391"/>
  <c r="H405"/>
  <c r="J405" s="1"/>
  <c r="H409"/>
  <c r="H413"/>
  <c r="H428"/>
  <c r="H451"/>
  <c r="I709"/>
  <c r="H757"/>
  <c r="J757" s="1"/>
  <c r="H783"/>
  <c r="J783" s="1"/>
  <c r="I908"/>
  <c r="H991"/>
  <c r="I1009"/>
  <c r="H1044"/>
  <c r="J1044" s="1"/>
  <c r="H1068"/>
  <c r="I1132"/>
  <c r="H1195"/>
  <c r="H1242"/>
  <c r="G1434"/>
  <c r="J1434" s="1"/>
  <c r="G1495"/>
  <c r="J1495" s="1"/>
  <c r="H1507"/>
  <c r="G1509"/>
  <c r="G1543"/>
  <c r="J1543" s="1"/>
  <c r="G1551"/>
  <c r="H1553"/>
  <c r="G1555"/>
  <c r="H1564"/>
  <c r="G1566"/>
  <c r="H1572"/>
  <c r="G1577"/>
  <c r="H1194" i="19"/>
  <c r="I354"/>
  <c r="G355"/>
  <c r="H357"/>
  <c r="I1207"/>
  <c r="G362"/>
  <c r="J362" s="1"/>
  <c r="H1211"/>
  <c r="I1216"/>
  <c r="H1222"/>
  <c r="J1222" s="1"/>
  <c r="I376"/>
  <c r="G1226"/>
  <c r="J1226" s="1"/>
  <c r="I1228"/>
  <c r="G1229"/>
  <c r="J1229" s="1"/>
  <c r="H386"/>
  <c r="J386" s="1"/>
  <c r="I392"/>
  <c r="G394"/>
  <c r="J394" s="1"/>
  <c r="H1237"/>
  <c r="J1237" s="1"/>
  <c r="H407"/>
  <c r="I1247"/>
  <c r="I421"/>
  <c r="G1253"/>
  <c r="H424"/>
  <c r="I428"/>
  <c r="I1267"/>
  <c r="G1268"/>
  <c r="H1271"/>
  <c r="I1278"/>
  <c r="G447"/>
  <c r="H1283"/>
  <c r="I451"/>
  <c r="G452"/>
  <c r="H1293"/>
  <c r="I459"/>
  <c r="G1299"/>
  <c r="H1304"/>
  <c r="H1308"/>
  <c r="J1308" s="1"/>
  <c r="I469"/>
  <c r="G471"/>
  <c r="I1316"/>
  <c r="I482"/>
  <c r="G483"/>
  <c r="H487"/>
  <c r="I1331"/>
  <c r="G494"/>
  <c r="H497"/>
  <c r="J497" s="1"/>
  <c r="I502"/>
  <c r="G1339"/>
  <c r="J1339" s="1"/>
  <c r="H505"/>
  <c r="J505" s="1"/>
  <c r="I1346"/>
  <c r="G512"/>
  <c r="H1349"/>
  <c r="I518"/>
  <c r="G1356"/>
  <c r="H1358"/>
  <c r="I1364"/>
  <c r="G525"/>
  <c r="H527"/>
  <c r="J527" s="1"/>
  <c r="I533"/>
  <c r="G1375"/>
  <c r="J1375" s="1"/>
  <c r="H538"/>
  <c r="I543"/>
  <c r="G1384"/>
  <c r="J1384" s="1"/>
  <c r="I549"/>
  <c r="I1390"/>
  <c r="G1391"/>
  <c r="H1395"/>
  <c r="J1395" s="1"/>
  <c r="I1406"/>
  <c r="I569"/>
  <c r="G1410"/>
  <c r="H571"/>
  <c r="I576"/>
  <c r="I1424"/>
  <c r="I585"/>
  <c r="G1426"/>
  <c r="G1428"/>
  <c r="I1431"/>
  <c r="G1432"/>
  <c r="J1432" s="1"/>
  <c r="H596"/>
  <c r="J596" s="1"/>
  <c r="H1436"/>
  <c r="I601"/>
  <c r="I1444"/>
  <c r="G606"/>
  <c r="J606" s="1"/>
  <c r="I1454"/>
  <c r="I649"/>
  <c r="I660"/>
  <c r="I1510"/>
  <c r="I1530"/>
  <c r="I1535"/>
  <c r="I1540"/>
  <c r="I715"/>
  <c r="I717"/>
  <c r="I1554"/>
  <c r="I1565"/>
  <c r="I730"/>
  <c r="I748"/>
  <c r="I1590"/>
  <c r="I1594"/>
  <c r="I784"/>
  <c r="I1617"/>
  <c r="I1633"/>
  <c r="G725"/>
  <c r="H725"/>
  <c r="H1570"/>
  <c r="G1570"/>
  <c r="G1578"/>
  <c r="J1578" s="1"/>
  <c r="I1578"/>
  <c r="H738"/>
  <c r="G738"/>
  <c r="G1589"/>
  <c r="H1589"/>
  <c r="I749"/>
  <c r="G749"/>
  <c r="G1591"/>
  <c r="J1591" s="1"/>
  <c r="I1591"/>
  <c r="H754"/>
  <c r="G754"/>
  <c r="H759"/>
  <c r="I759"/>
  <c r="G771"/>
  <c r="H771"/>
  <c r="G1619"/>
  <c r="H1619"/>
  <c r="G800"/>
  <c r="J800" s="1"/>
  <c r="I800"/>
  <c r="H1629"/>
  <c r="G1629"/>
  <c r="G814"/>
  <c r="I814"/>
  <c r="H1638"/>
  <c r="G1638"/>
  <c r="H1647"/>
  <c r="J1647" s="1"/>
  <c r="I1647"/>
  <c r="G608"/>
  <c r="H1448"/>
  <c r="G1450"/>
  <c r="H619"/>
  <c r="I1461"/>
  <c r="G635"/>
  <c r="G637"/>
  <c r="J637" s="1"/>
  <c r="I644"/>
  <c r="G1477"/>
  <c r="J1477" s="1"/>
  <c r="H1479"/>
  <c r="J1479" s="1"/>
  <c r="I654"/>
  <c r="G1483"/>
  <c r="H1485"/>
  <c r="J1485" s="1"/>
  <c r="I662"/>
  <c r="G1490"/>
  <c r="J1490" s="1"/>
  <c r="H665"/>
  <c r="J665" s="1"/>
  <c r="I669"/>
  <c r="G670"/>
  <c r="H673"/>
  <c r="I1504"/>
  <c r="G1505"/>
  <c r="J1505" s="1"/>
  <c r="H1509"/>
  <c r="I1514"/>
  <c r="G686"/>
  <c r="H1518"/>
  <c r="I694"/>
  <c r="G1526"/>
  <c r="J1526" s="1"/>
  <c r="H1529"/>
  <c r="J1529" s="1"/>
  <c r="G1532"/>
  <c r="H701"/>
  <c r="I705"/>
  <c r="G707"/>
  <c r="J707" s="1"/>
  <c r="H710"/>
  <c r="I1549"/>
  <c r="G1550"/>
  <c r="H1553"/>
  <c r="I1559"/>
  <c r="I726"/>
  <c r="I1597"/>
  <c r="I1614"/>
  <c r="I786"/>
  <c r="I819"/>
  <c r="H724"/>
  <c r="J724" s="1"/>
  <c r="I1567"/>
  <c r="G728"/>
  <c r="I1571"/>
  <c r="G1572"/>
  <c r="H1575"/>
  <c r="I1579"/>
  <c r="G1581"/>
  <c r="J1581" s="1"/>
  <c r="I1584"/>
  <c r="G745"/>
  <c r="J745" s="1"/>
  <c r="H1587"/>
  <c r="J1587" s="1"/>
  <c r="I1592"/>
  <c r="I756"/>
  <c r="G758"/>
  <c r="H1595"/>
  <c r="I767"/>
  <c r="G1600"/>
  <c r="J1600" s="1"/>
  <c r="H1603"/>
  <c r="J1603" s="1"/>
  <c r="I774"/>
  <c r="G775"/>
  <c r="H778"/>
  <c r="I1622"/>
  <c r="G1623"/>
  <c r="H796"/>
  <c r="I801"/>
  <c r="G1630"/>
  <c r="H807"/>
  <c r="I815"/>
  <c r="G816"/>
  <c r="H1642"/>
  <c r="I823"/>
  <c r="G825"/>
  <c r="H1649"/>
  <c r="I255" i="18"/>
  <c r="H255"/>
  <c r="I282"/>
  <c r="H282"/>
  <c r="I308"/>
  <c r="G308"/>
  <c r="G341"/>
  <c r="H341"/>
  <c r="I341"/>
  <c r="I348"/>
  <c r="G348"/>
  <c r="I358"/>
  <c r="G358"/>
  <c r="H358"/>
  <c r="I373"/>
  <c r="G373"/>
  <c r="H373"/>
  <c r="I377"/>
  <c r="G377"/>
  <c r="H377"/>
  <c r="I385"/>
  <c r="G385"/>
  <c r="I392"/>
  <c r="G392"/>
  <c r="G411"/>
  <c r="H411"/>
  <c r="I411"/>
  <c r="I432"/>
  <c r="G432"/>
  <c r="I444"/>
  <c r="G444"/>
  <c r="H444"/>
  <c r="I456"/>
  <c r="G456"/>
  <c r="H456"/>
  <c r="G477"/>
  <c r="H477"/>
  <c r="I477"/>
  <c r="I484"/>
  <c r="G484"/>
  <c r="I504"/>
  <c r="G504"/>
  <c r="H504"/>
  <c r="I518"/>
  <c r="G518"/>
  <c r="H518"/>
  <c r="I524"/>
  <c r="G524"/>
  <c r="H524"/>
  <c r="I531"/>
  <c r="G531"/>
  <c r="H531"/>
  <c r="G551"/>
  <c r="H551"/>
  <c r="I574"/>
  <c r="G574"/>
  <c r="G583"/>
  <c r="H583"/>
  <c r="G608"/>
  <c r="H608"/>
  <c r="I611"/>
  <c r="G611"/>
  <c r="G631"/>
  <c r="I631"/>
  <c r="I644"/>
  <c r="G644"/>
  <c r="H644"/>
  <c r="I656"/>
  <c r="G656"/>
  <c r="H656"/>
  <c r="G666"/>
  <c r="H666"/>
  <c r="G675"/>
  <c r="H675"/>
  <c r="I675"/>
  <c r="H677"/>
  <c r="G677"/>
  <c r="H681"/>
  <c r="I681"/>
  <c r="I714"/>
  <c r="G714"/>
  <c r="G716"/>
  <c r="H716"/>
  <c r="G731"/>
  <c r="H731"/>
  <c r="G772"/>
  <c r="H772"/>
  <c r="G804"/>
  <c r="H804"/>
  <c r="I810"/>
  <c r="G810"/>
  <c r="G817"/>
  <c r="I817"/>
  <c r="I819"/>
  <c r="G819"/>
  <c r="G938"/>
  <c r="H938"/>
  <c r="I938"/>
  <c r="H943"/>
  <c r="I943"/>
  <c r="G943"/>
  <c r="I984"/>
  <c r="G984"/>
  <c r="H984"/>
  <c r="I1065"/>
  <c r="G1065"/>
  <c r="H1065"/>
  <c r="I1069"/>
  <c r="G1069"/>
  <c r="H1069"/>
  <c r="I1179"/>
  <c r="G1179"/>
  <c r="I1183"/>
  <c r="G1183"/>
  <c r="H1183"/>
  <c r="I1192"/>
  <c r="G1192"/>
  <c r="H1192"/>
  <c r="I1203"/>
  <c r="G1203"/>
  <c r="G1227"/>
  <c r="H1227"/>
  <c r="I1227"/>
  <c r="G1267"/>
  <c r="I1267"/>
  <c r="I1276"/>
  <c r="G1276"/>
  <c r="H1276"/>
  <c r="I1408"/>
  <c r="G1408"/>
  <c r="H1408"/>
  <c r="I1415"/>
  <c r="G1415"/>
  <c r="H1415"/>
  <c r="G1420"/>
  <c r="H1420"/>
  <c r="I1427"/>
  <c r="G1427"/>
  <c r="H1427"/>
  <c r="H1500"/>
  <c r="G1500"/>
  <c r="I1500"/>
  <c r="H1504"/>
  <c r="G1504"/>
  <c r="I1504"/>
  <c r="H1542"/>
  <c r="G1542"/>
  <c r="I1542"/>
  <c r="H1552"/>
  <c r="G1552"/>
  <c r="H1563"/>
  <c r="G1563"/>
  <c r="H1571"/>
  <c r="G1571"/>
  <c r="I1581"/>
  <c r="H1581"/>
  <c r="H1622"/>
  <c r="G1622"/>
  <c r="I1622"/>
  <c r="H1644"/>
  <c r="G1644"/>
  <c r="I1644"/>
  <c r="G283"/>
  <c r="I283"/>
  <c r="I290"/>
  <c r="G290"/>
  <c r="I298"/>
  <c r="G298"/>
  <c r="H301"/>
  <c r="I301"/>
  <c r="I309"/>
  <c r="G309"/>
  <c r="G349"/>
  <c r="H349"/>
  <c r="G393"/>
  <c r="H393"/>
  <c r="G485"/>
  <c r="H485"/>
  <c r="I496"/>
  <c r="G496"/>
  <c r="H496"/>
  <c r="I539"/>
  <c r="G539"/>
  <c r="H539"/>
  <c r="I566"/>
  <c r="G566"/>
  <c r="G575"/>
  <c r="H575"/>
  <c r="H614"/>
  <c r="G614"/>
  <c r="G616"/>
  <c r="H616"/>
  <c r="G623"/>
  <c r="H623"/>
  <c r="H684"/>
  <c r="G684"/>
  <c r="I722"/>
  <c r="G722"/>
  <c r="H722"/>
  <c r="I734"/>
  <c r="G734"/>
  <c r="H734"/>
  <c r="G755"/>
  <c r="H755"/>
  <c r="I755"/>
  <c r="G760"/>
  <c r="I760"/>
  <c r="I762"/>
  <c r="G762"/>
  <c r="I767"/>
  <c r="G767"/>
  <c r="G781"/>
  <c r="H781"/>
  <c r="I781"/>
  <c r="I788"/>
  <c r="G788"/>
  <c r="I800"/>
  <c r="G800"/>
  <c r="G811"/>
  <c r="H811"/>
  <c r="G822"/>
  <c r="H822"/>
  <c r="G833"/>
  <c r="H833"/>
  <c r="I833"/>
  <c r="G862"/>
  <c r="I862"/>
  <c r="I864"/>
  <c r="G864"/>
  <c r="H864"/>
  <c r="I883"/>
  <c r="G883"/>
  <c r="H883"/>
  <c r="G899"/>
  <c r="H899"/>
  <c r="I902"/>
  <c r="G902"/>
  <c r="H902"/>
  <c r="I906"/>
  <c r="G906"/>
  <c r="H906"/>
  <c r="G1041"/>
  <c r="H1041"/>
  <c r="I1095"/>
  <c r="G1095"/>
  <c r="H1095"/>
  <c r="I1103"/>
  <c r="G1103"/>
  <c r="H1103"/>
  <c r="I1112"/>
  <c r="G1112"/>
  <c r="H1112"/>
  <c r="G1121"/>
  <c r="H1121"/>
  <c r="I1121"/>
  <c r="G1141"/>
  <c r="H1141"/>
  <c r="I1141"/>
  <c r="I1162"/>
  <c r="G1162"/>
  <c r="H1162"/>
  <c r="I1195"/>
  <c r="G1195"/>
  <c r="G1280"/>
  <c r="H1280"/>
  <c r="I1280"/>
  <c r="G1294"/>
  <c r="H1294"/>
  <c r="I1294"/>
  <c r="I1317"/>
  <c r="G1317"/>
  <c r="H1317"/>
  <c r="I1341"/>
  <c r="G1341"/>
  <c r="H1341"/>
  <c r="I1353"/>
  <c r="G1353"/>
  <c r="H1353"/>
  <c r="G1436"/>
  <c r="H1436"/>
  <c r="I1436"/>
  <c r="G1482"/>
  <c r="I1482"/>
  <c r="H1638"/>
  <c r="G1638"/>
  <c r="I1638"/>
  <c r="I259"/>
  <c r="H259"/>
  <c r="J259" s="1"/>
  <c r="G263"/>
  <c r="I263"/>
  <c r="G265"/>
  <c r="H265"/>
  <c r="I270"/>
  <c r="G270"/>
  <c r="J270" s="1"/>
  <c r="G291"/>
  <c r="H291"/>
  <c r="I294"/>
  <c r="H294"/>
  <c r="J294" s="1"/>
  <c r="G299"/>
  <c r="H299"/>
  <c r="G310"/>
  <c r="H310"/>
  <c r="I328"/>
  <c r="G328"/>
  <c r="J328" s="1"/>
  <c r="I340"/>
  <c r="G340"/>
  <c r="H340"/>
  <c r="I352"/>
  <c r="G352"/>
  <c r="H352"/>
  <c r="G359"/>
  <c r="H359"/>
  <c r="I359"/>
  <c r="I366"/>
  <c r="G366"/>
  <c r="J366" s="1"/>
  <c r="I376"/>
  <c r="G376"/>
  <c r="G378"/>
  <c r="H378"/>
  <c r="I381"/>
  <c r="G381"/>
  <c r="J381" s="1"/>
  <c r="I399"/>
  <c r="G399"/>
  <c r="H399"/>
  <c r="I410"/>
  <c r="G410"/>
  <c r="H410"/>
  <c r="G445"/>
  <c r="H445"/>
  <c r="I445"/>
  <c r="I452"/>
  <c r="G452"/>
  <c r="J452" s="1"/>
  <c r="I464"/>
  <c r="G464"/>
  <c r="J464" s="1"/>
  <c r="I476"/>
  <c r="G476"/>
  <c r="H476"/>
  <c r="I488"/>
  <c r="G488"/>
  <c r="H488"/>
  <c r="I507"/>
  <c r="H507"/>
  <c r="I511"/>
  <c r="G511"/>
  <c r="J511" s="1"/>
  <c r="H523"/>
  <c r="G523"/>
  <c r="G525"/>
  <c r="H525"/>
  <c r="I528"/>
  <c r="G528"/>
  <c r="G532"/>
  <c r="H532"/>
  <c r="I532"/>
  <c r="H547"/>
  <c r="I547"/>
  <c r="I558"/>
  <c r="G558"/>
  <c r="J558" s="1"/>
  <c r="G567"/>
  <c r="H567"/>
  <c r="I607"/>
  <c r="G607"/>
  <c r="H607"/>
  <c r="H645"/>
  <c r="G645"/>
  <c r="H659"/>
  <c r="I659"/>
  <c r="I676"/>
  <c r="G676"/>
  <c r="H676"/>
  <c r="I715"/>
  <c r="G715"/>
  <c r="H715"/>
  <c r="I763"/>
  <c r="G763"/>
  <c r="J763" s="1"/>
  <c r="I770"/>
  <c r="G770"/>
  <c r="G789"/>
  <c r="H789"/>
  <c r="I814"/>
  <c r="G814"/>
  <c r="H814"/>
  <c r="I854"/>
  <c r="G854"/>
  <c r="H854"/>
  <c r="G956"/>
  <c r="H956"/>
  <c r="I956"/>
  <c r="G997"/>
  <c r="H997"/>
  <c r="I997"/>
  <c r="I999"/>
  <c r="H999"/>
  <c r="I1004"/>
  <c r="G1004"/>
  <c r="H1004"/>
  <c r="G1072"/>
  <c r="H1072"/>
  <c r="G1128"/>
  <c r="H1128"/>
  <c r="I1128"/>
  <c r="I1134"/>
  <c r="G1134"/>
  <c r="H1134"/>
  <c r="I1154"/>
  <c r="G1154"/>
  <c r="H1154"/>
  <c r="I1204"/>
  <c r="G1204"/>
  <c r="H1204"/>
  <c r="I1215"/>
  <c r="G1215"/>
  <c r="H1215"/>
  <c r="G1282"/>
  <c r="H1282"/>
  <c r="I1282"/>
  <c r="G1286"/>
  <c r="H1286"/>
  <c r="I1286"/>
  <c r="I1349"/>
  <c r="G1349"/>
  <c r="H1349"/>
  <c r="G1428"/>
  <c r="H1428"/>
  <c r="H1515"/>
  <c r="G1515"/>
  <c r="I1515"/>
  <c r="I1582"/>
  <c r="H1582"/>
  <c r="H1595"/>
  <c r="G1595"/>
  <c r="H1617"/>
  <c r="I1617"/>
  <c r="G1617"/>
  <c r="H5"/>
  <c r="I23"/>
  <c r="I47"/>
  <c r="H56"/>
  <c r="J56" s="1"/>
  <c r="I67"/>
  <c r="H95"/>
  <c r="H100"/>
  <c r="H114"/>
  <c r="I124"/>
  <c r="I133"/>
  <c r="H139"/>
  <c r="J139" s="1"/>
  <c r="H159"/>
  <c r="H164"/>
  <c r="I181"/>
  <c r="H191"/>
  <c r="H213"/>
  <c r="H239"/>
  <c r="H243"/>
  <c r="G5"/>
  <c r="G8"/>
  <c r="H9"/>
  <c r="H11"/>
  <c r="H25"/>
  <c r="G26"/>
  <c r="J26" s="1"/>
  <c r="G29"/>
  <c r="H30"/>
  <c r="I33"/>
  <c r="I42"/>
  <c r="H60"/>
  <c r="H69"/>
  <c r="G70"/>
  <c r="J70" s="1"/>
  <c r="I75"/>
  <c r="H80"/>
  <c r="J80" s="1"/>
  <c r="H84"/>
  <c r="J84" s="1"/>
  <c r="G86"/>
  <c r="H87"/>
  <c r="J87" s="1"/>
  <c r="H91"/>
  <c r="J91" s="1"/>
  <c r="G95"/>
  <c r="G100"/>
  <c r="H110"/>
  <c r="G114"/>
  <c r="I119"/>
  <c r="H133"/>
  <c r="I146"/>
  <c r="H155"/>
  <c r="J155" s="1"/>
  <c r="G159"/>
  <c r="G164"/>
  <c r="I176"/>
  <c r="G191"/>
  <c r="H205"/>
  <c r="H209"/>
  <c r="G213"/>
  <c r="H216"/>
  <c r="I217"/>
  <c r="H231"/>
  <c r="H235"/>
  <c r="H238"/>
  <c r="G239"/>
  <c r="G242"/>
  <c r="G243"/>
  <c r="H244"/>
  <c r="J244" s="1"/>
  <c r="H246"/>
  <c r="J246" s="1"/>
  <c r="G255"/>
  <c r="H273"/>
  <c r="G282"/>
  <c r="H348"/>
  <c r="H385"/>
  <c r="H392"/>
  <c r="H432"/>
  <c r="H484"/>
  <c r="G499"/>
  <c r="H574"/>
  <c r="H611"/>
  <c r="H619"/>
  <c r="J619" s="1"/>
  <c r="I731"/>
  <c r="H733"/>
  <c r="J733" s="1"/>
  <c r="H810"/>
  <c r="H819"/>
  <c r="G1608"/>
  <c r="G302"/>
  <c r="H302"/>
  <c r="I305"/>
  <c r="G305"/>
  <c r="J305" s="1"/>
  <c r="I384"/>
  <c r="G384"/>
  <c r="G453"/>
  <c r="H453"/>
  <c r="G512"/>
  <c r="H512"/>
  <c r="G540"/>
  <c r="H540"/>
  <c r="I540"/>
  <c r="I550"/>
  <c r="G550"/>
  <c r="J550" s="1"/>
  <c r="G559"/>
  <c r="H559"/>
  <c r="I582"/>
  <c r="G582"/>
  <c r="J582" s="1"/>
  <c r="I615"/>
  <c r="G615"/>
  <c r="H615"/>
  <c r="H703"/>
  <c r="G703"/>
  <c r="G723"/>
  <c r="H723"/>
  <c r="I723"/>
  <c r="I730"/>
  <c r="G730"/>
  <c r="J730" s="1"/>
  <c r="I742"/>
  <c r="G742"/>
  <c r="J742" s="1"/>
  <c r="I754"/>
  <c r="G754"/>
  <c r="H754"/>
  <c r="G764"/>
  <c r="H764"/>
  <c r="I771"/>
  <c r="G771"/>
  <c r="J771" s="1"/>
  <c r="H780"/>
  <c r="I780"/>
  <c r="I792"/>
  <c r="G792"/>
  <c r="H792"/>
  <c r="G865"/>
  <c r="H865"/>
  <c r="G884"/>
  <c r="H884"/>
  <c r="I898"/>
  <c r="H898"/>
  <c r="G898"/>
  <c r="I905"/>
  <c r="G905"/>
  <c r="G907"/>
  <c r="H907"/>
  <c r="I929"/>
  <c r="G929"/>
  <c r="G931"/>
  <c r="H931"/>
  <c r="I934"/>
  <c r="G934"/>
  <c r="H934"/>
  <c r="I958"/>
  <c r="H958"/>
  <c r="I1011"/>
  <c r="G1011"/>
  <c r="H1011"/>
  <c r="I1019"/>
  <c r="G1019"/>
  <c r="I1028"/>
  <c r="G1028"/>
  <c r="H1028"/>
  <c r="G1219"/>
  <c r="H1219"/>
  <c r="I1219"/>
  <c r="I1239"/>
  <c r="G1239"/>
  <c r="H1239"/>
  <c r="G1273"/>
  <c r="I1273"/>
  <c r="H1273"/>
  <c r="G1318"/>
  <c r="H1318"/>
  <c r="I1318"/>
  <c r="G1358"/>
  <c r="H1358"/>
  <c r="I1358"/>
  <c r="I1381"/>
  <c r="G1381"/>
  <c r="H1381"/>
  <c r="I1387"/>
  <c r="G1387"/>
  <c r="H1387"/>
  <c r="H1397"/>
  <c r="G1397"/>
  <c r="I1443"/>
  <c r="G1443"/>
  <c r="H1443"/>
  <c r="I1465"/>
  <c r="G1465"/>
  <c r="H1465"/>
  <c r="H1528"/>
  <c r="G1528"/>
  <c r="I1608"/>
  <c r="H1608"/>
  <c r="J1608" s="1"/>
  <c r="G9"/>
  <c r="G11"/>
  <c r="G14"/>
  <c r="J14" s="1"/>
  <c r="G25"/>
  <c r="G30"/>
  <c r="G45"/>
  <c r="J45" s="1"/>
  <c r="G48"/>
  <c r="G69"/>
  <c r="H103"/>
  <c r="J103" s="1"/>
  <c r="H121"/>
  <c r="G122"/>
  <c r="J122" s="1"/>
  <c r="G125"/>
  <c r="H126"/>
  <c r="H167"/>
  <c r="G170"/>
  <c r="H178"/>
  <c r="G179"/>
  <c r="G182"/>
  <c r="H183"/>
  <c r="H190"/>
  <c r="J190" s="1"/>
  <c r="H194"/>
  <c r="H195"/>
  <c r="I196"/>
  <c r="H201"/>
  <c r="H204"/>
  <c r="G205"/>
  <c r="G208"/>
  <c r="G209"/>
  <c r="H210"/>
  <c r="J210" s="1"/>
  <c r="G216"/>
  <c r="H217"/>
  <c r="J217" s="1"/>
  <c r="H223"/>
  <c r="H230"/>
  <c r="J230" s="1"/>
  <c r="G231"/>
  <c r="G234"/>
  <c r="G235"/>
  <c r="H236"/>
  <c r="J236" s="1"/>
  <c r="H242"/>
  <c r="G258"/>
  <c r="H283"/>
  <c r="H290"/>
  <c r="H298"/>
  <c r="H309"/>
  <c r="I349"/>
  <c r="H351"/>
  <c r="J351" s="1"/>
  <c r="I393"/>
  <c r="H424"/>
  <c r="J424" s="1"/>
  <c r="I485"/>
  <c r="H487"/>
  <c r="J487" s="1"/>
  <c r="G491"/>
  <c r="H566"/>
  <c r="I642"/>
  <c r="H662"/>
  <c r="H664"/>
  <c r="H679"/>
  <c r="J679" s="1"/>
  <c r="I686"/>
  <c r="H714"/>
  <c r="H767"/>
  <c r="H788"/>
  <c r="H800"/>
  <c r="I804"/>
  <c r="I811"/>
  <c r="H813"/>
  <c r="J813" s="1"/>
  <c r="H817"/>
  <c r="H1267"/>
  <c r="G1324"/>
  <c r="G1401"/>
  <c r="G868"/>
  <c r="H868"/>
  <c r="I887"/>
  <c r="G887"/>
  <c r="J887" s="1"/>
  <c r="I894"/>
  <c r="H894"/>
  <c r="J894" s="1"/>
  <c r="I926"/>
  <c r="G926"/>
  <c r="H926"/>
  <c r="I930"/>
  <c r="G930"/>
  <c r="H930"/>
  <c r="I937"/>
  <c r="G937"/>
  <c r="H937"/>
  <c r="I951"/>
  <c r="G951"/>
  <c r="J951" s="1"/>
  <c r="I972"/>
  <c r="G972"/>
  <c r="H972"/>
  <c r="I1000"/>
  <c r="G1000"/>
  <c r="H1000"/>
  <c r="I1015"/>
  <c r="H1015"/>
  <c r="I1020"/>
  <c r="G1020"/>
  <c r="H1020"/>
  <c r="G1066"/>
  <c r="H1066"/>
  <c r="I1066"/>
  <c r="I1075"/>
  <c r="G1075"/>
  <c r="I1080"/>
  <c r="G1080"/>
  <c r="J1080" s="1"/>
  <c r="I1083"/>
  <c r="G1083"/>
  <c r="I1088"/>
  <c r="G1088"/>
  <c r="J1088" s="1"/>
  <c r="I1091"/>
  <c r="G1091"/>
  <c r="G1113"/>
  <c r="H1113"/>
  <c r="I1113"/>
  <c r="I1120"/>
  <c r="G1120"/>
  <c r="H1120"/>
  <c r="I1140"/>
  <c r="G1140"/>
  <c r="H1140"/>
  <c r="G1193"/>
  <c r="H1193"/>
  <c r="I1218"/>
  <c r="G1218"/>
  <c r="H1218"/>
  <c r="I1237"/>
  <c r="G1237"/>
  <c r="H1237"/>
  <c r="I1257"/>
  <c r="G1257"/>
  <c r="H1257"/>
  <c r="G1269"/>
  <c r="I1269"/>
  <c r="I1279"/>
  <c r="G1279"/>
  <c r="H1279"/>
  <c r="I1293"/>
  <c r="G1293"/>
  <c r="H1293"/>
  <c r="I1297"/>
  <c r="G1297"/>
  <c r="H1297"/>
  <c r="G1342"/>
  <c r="H1342"/>
  <c r="G1382"/>
  <c r="H1382"/>
  <c r="H1418"/>
  <c r="G1418"/>
  <c r="I1423"/>
  <c r="G1423"/>
  <c r="J1423" s="1"/>
  <c r="G1444"/>
  <c r="H1444"/>
  <c r="G1499"/>
  <c r="H1499"/>
  <c r="H1512"/>
  <c r="G1512"/>
  <c r="I1512"/>
  <c r="H1534"/>
  <c r="G1534"/>
  <c r="I1555"/>
  <c r="H1555"/>
  <c r="I1566"/>
  <c r="H1566"/>
  <c r="H1574"/>
  <c r="I1574"/>
  <c r="I1598"/>
  <c r="H1598"/>
  <c r="H1601"/>
  <c r="G1601"/>
  <c r="H1614"/>
  <c r="G1614"/>
  <c r="I1614"/>
  <c r="I1627"/>
  <c r="H1627"/>
  <c r="I1643"/>
  <c r="H1643"/>
  <c r="I839"/>
  <c r="H839"/>
  <c r="J839" s="1"/>
  <c r="I846"/>
  <c r="G846"/>
  <c r="J846" s="1"/>
  <c r="I879"/>
  <c r="H879"/>
  <c r="J879" s="1"/>
  <c r="I882"/>
  <c r="G882"/>
  <c r="H955"/>
  <c r="G955"/>
  <c r="H961"/>
  <c r="G961"/>
  <c r="I983"/>
  <c r="H983"/>
  <c r="H986"/>
  <c r="G986"/>
  <c r="I986"/>
  <c r="I1027"/>
  <c r="G1027"/>
  <c r="G1042"/>
  <c r="H1042"/>
  <c r="G1073"/>
  <c r="H1073"/>
  <c r="G1081"/>
  <c r="H1081"/>
  <c r="G1089"/>
  <c r="H1089"/>
  <c r="G1106"/>
  <c r="I1106"/>
  <c r="I1116"/>
  <c r="G1116"/>
  <c r="I1127"/>
  <c r="G1127"/>
  <c r="H1127"/>
  <c r="G1137"/>
  <c r="H1137"/>
  <c r="I1147"/>
  <c r="G1147"/>
  <c r="H1147"/>
  <c r="G1169"/>
  <c r="I1169"/>
  <c r="I1180"/>
  <c r="G1180"/>
  <c r="H1180"/>
  <c r="G1190"/>
  <c r="H1190"/>
  <c r="I1190"/>
  <c r="I1196"/>
  <c r="G1196"/>
  <c r="H1196"/>
  <c r="I1207"/>
  <c r="G1207"/>
  <c r="J1207" s="1"/>
  <c r="I1226"/>
  <c r="G1226"/>
  <c r="H1226"/>
  <c r="I1233"/>
  <c r="G1233"/>
  <c r="J1233" s="1"/>
  <c r="I1247"/>
  <c r="G1247"/>
  <c r="H1247"/>
  <c r="H1252"/>
  <c r="G1252"/>
  <c r="I1252"/>
  <c r="G1271"/>
  <c r="I1271"/>
  <c r="G1284"/>
  <c r="H1284"/>
  <c r="I1284"/>
  <c r="I1289"/>
  <c r="G1289"/>
  <c r="G1350"/>
  <c r="H1350"/>
  <c r="I1350"/>
  <c r="I1357"/>
  <c r="G1357"/>
  <c r="H1357"/>
  <c r="I1361"/>
  <c r="G1361"/>
  <c r="H1361"/>
  <c r="G1391"/>
  <c r="H1391"/>
  <c r="G1409"/>
  <c r="H1409"/>
  <c r="I1409"/>
  <c r="I1419"/>
  <c r="G1419"/>
  <c r="J1419" s="1"/>
  <c r="H1426"/>
  <c r="G1426"/>
  <c r="I1435"/>
  <c r="G1435"/>
  <c r="J1435" s="1"/>
  <c r="G1453"/>
  <c r="H1453"/>
  <c r="G1460"/>
  <c r="I1460"/>
  <c r="I1485"/>
  <c r="H1485"/>
  <c r="H1488"/>
  <c r="G1488"/>
  <c r="I1501"/>
  <c r="H1501"/>
  <c r="H1506"/>
  <c r="G1506"/>
  <c r="H1558"/>
  <c r="G1558"/>
  <c r="H1587"/>
  <c r="G1587"/>
  <c r="H1628"/>
  <c r="G1628"/>
  <c r="H262"/>
  <c r="J262" s="1"/>
  <c r="H269"/>
  <c r="H277"/>
  <c r="J277" s="1"/>
  <c r="H281"/>
  <c r="H308"/>
  <c r="H321"/>
  <c r="H325"/>
  <c r="H327"/>
  <c r="J327" s="1"/>
  <c r="H331"/>
  <c r="H332"/>
  <c r="I333"/>
  <c r="H344"/>
  <c r="H362"/>
  <c r="H369"/>
  <c r="H372"/>
  <c r="J372" s="1"/>
  <c r="H384"/>
  <c r="H388"/>
  <c r="H395"/>
  <c r="H398"/>
  <c r="J398" s="1"/>
  <c r="H401"/>
  <c r="H402"/>
  <c r="I403"/>
  <c r="H425"/>
  <c r="H429"/>
  <c r="H431"/>
  <c r="J431" s="1"/>
  <c r="H435"/>
  <c r="H436"/>
  <c r="I437"/>
  <c r="H448"/>
  <c r="H463"/>
  <c r="J463" s="1"/>
  <c r="H467"/>
  <c r="H468"/>
  <c r="I469"/>
  <c r="H480"/>
  <c r="H514"/>
  <c r="H585"/>
  <c r="H593"/>
  <c r="H601"/>
  <c r="I620"/>
  <c r="H628"/>
  <c r="H649"/>
  <c r="I653"/>
  <c r="H683"/>
  <c r="H688"/>
  <c r="G701"/>
  <c r="H702"/>
  <c r="H707"/>
  <c r="H711"/>
  <c r="H726"/>
  <c r="H741"/>
  <c r="H746"/>
  <c r="I747"/>
  <c r="H762"/>
  <c r="H770"/>
  <c r="H784"/>
  <c r="H799"/>
  <c r="J799" s="1"/>
  <c r="H832"/>
  <c r="J832" s="1"/>
  <c r="H836"/>
  <c r="H867"/>
  <c r="H893"/>
  <c r="J893" s="1"/>
  <c r="H929"/>
  <c r="G999"/>
  <c r="H1019"/>
  <c r="J1019" s="1"/>
  <c r="H1056"/>
  <c r="I1114"/>
  <c r="H1263"/>
  <c r="I1287"/>
  <c r="G1592"/>
  <c r="J1592" s="1"/>
  <c r="H845"/>
  <c r="J845" s="1"/>
  <c r="H853"/>
  <c r="J853" s="1"/>
  <c r="H861"/>
  <c r="J861" s="1"/>
  <c r="H886"/>
  <c r="J886" s="1"/>
  <c r="H890"/>
  <c r="H901"/>
  <c r="J901" s="1"/>
  <c r="H905"/>
  <c r="H933"/>
  <c r="I977"/>
  <c r="I982"/>
  <c r="I993"/>
  <c r="H1035"/>
  <c r="I1051"/>
  <c r="I1059"/>
  <c r="H1064"/>
  <c r="H1115"/>
  <c r="J1115" s="1"/>
  <c r="H1119"/>
  <c r="H1139"/>
  <c r="H1171"/>
  <c r="H1175"/>
  <c r="H1187"/>
  <c r="H1214"/>
  <c r="J1214" s="1"/>
  <c r="H1232"/>
  <c r="J1232" s="1"/>
  <c r="H1236"/>
  <c r="I1251"/>
  <c r="H1275"/>
  <c r="J1275" s="1"/>
  <c r="G1292"/>
  <c r="J1292" s="1"/>
  <c r="G1296"/>
  <c r="I1327"/>
  <c r="I1335"/>
  <c r="G1340"/>
  <c r="J1340" s="1"/>
  <c r="G1348"/>
  <c r="G1356"/>
  <c r="J1356" s="1"/>
  <c r="G1360"/>
  <c r="G1390"/>
  <c r="I1400"/>
  <c r="G1407"/>
  <c r="G1487"/>
  <c r="J1487" s="1"/>
  <c r="H1518"/>
  <c r="G1520"/>
  <c r="H1537"/>
  <c r="G1539"/>
  <c r="H1545"/>
  <c r="G1547"/>
  <c r="H1561"/>
  <c r="G1570"/>
  <c r="J1570" s="1"/>
  <c r="G1584"/>
  <c r="J1584" s="1"/>
  <c r="H1586"/>
  <c r="G1600"/>
  <c r="J1600" s="1"/>
  <c r="H1637"/>
  <c r="H1649"/>
  <c r="H917"/>
  <c r="H925"/>
  <c r="J925" s="1"/>
  <c r="H950"/>
  <c r="J950" s="1"/>
  <c r="H975"/>
  <c r="G983"/>
  <c r="I998"/>
  <c r="H1007"/>
  <c r="J1007" s="1"/>
  <c r="H1027"/>
  <c r="H1094"/>
  <c r="J1094" s="1"/>
  <c r="H1098"/>
  <c r="H1102"/>
  <c r="J1102" s="1"/>
  <c r="H1133"/>
  <c r="J1133" s="1"/>
  <c r="H1149"/>
  <c r="H1161"/>
  <c r="J1161" s="1"/>
  <c r="H1179"/>
  <c r="H1203"/>
  <c r="H1210"/>
  <c r="H1246"/>
  <c r="G1300"/>
  <c r="J1300" s="1"/>
  <c r="G1304"/>
  <c r="G1312"/>
  <c r="G1364"/>
  <c r="J1364" s="1"/>
  <c r="G1368"/>
  <c r="G1376"/>
  <c r="I1437"/>
  <c r="I1445"/>
  <c r="G1448"/>
  <c r="I1454"/>
  <c r="H1468"/>
  <c r="J1468" s="1"/>
  <c r="G1475"/>
  <c r="H1489"/>
  <c r="G1505"/>
  <c r="J1505" s="1"/>
  <c r="H1579"/>
  <c r="G1581"/>
  <c r="H1602"/>
  <c r="H1625"/>
  <c r="G1627"/>
  <c r="H1629"/>
  <c r="G1643"/>
  <c r="G207"/>
  <c r="H207"/>
  <c r="G225"/>
  <c r="H225"/>
  <c r="G307"/>
  <c r="H307"/>
  <c r="G315"/>
  <c r="H315"/>
  <c r="G375"/>
  <c r="H375"/>
  <c r="G400"/>
  <c r="H400"/>
  <c r="G427"/>
  <c r="H427"/>
  <c r="G522"/>
  <c r="H522"/>
  <c r="G556"/>
  <c r="H556"/>
  <c r="G580"/>
  <c r="H580"/>
  <c r="G624"/>
  <c r="H624"/>
  <c r="H627"/>
  <c r="I627"/>
  <c r="G630"/>
  <c r="H630"/>
  <c r="G648"/>
  <c r="H648"/>
  <c r="H721"/>
  <c r="G721"/>
  <c r="H737"/>
  <c r="G737"/>
  <c r="H745"/>
  <c r="G745"/>
  <c r="H753"/>
  <c r="G753"/>
  <c r="G776"/>
  <c r="H776"/>
  <c r="H795"/>
  <c r="G795"/>
  <c r="G823"/>
  <c r="H823"/>
  <c r="I823"/>
  <c r="G827"/>
  <c r="H827"/>
  <c r="I827"/>
  <c r="G856"/>
  <c r="H856"/>
  <c r="I856"/>
  <c r="G872"/>
  <c r="H872"/>
  <c r="G895"/>
  <c r="H895"/>
  <c r="G927"/>
  <c r="H927"/>
  <c r="H994"/>
  <c r="G994"/>
  <c r="I994"/>
  <c r="G1021"/>
  <c r="H1021"/>
  <c r="I1021"/>
  <c r="H1087"/>
  <c r="G1087"/>
  <c r="G1097"/>
  <c r="H1097"/>
  <c r="I1097"/>
  <c r="G1208"/>
  <c r="H1208"/>
  <c r="I1208"/>
  <c r="G1249"/>
  <c r="H1249"/>
  <c r="I1249"/>
  <c r="H1259"/>
  <c r="G1259"/>
  <c r="G1631"/>
  <c r="H1631"/>
  <c r="G193"/>
  <c r="H193"/>
  <c r="H222"/>
  <c r="I222"/>
  <c r="G288"/>
  <c r="H288"/>
  <c r="G296"/>
  <c r="H296"/>
  <c r="G330"/>
  <c r="H330"/>
  <c r="G364"/>
  <c r="H364"/>
  <c r="G416"/>
  <c r="H416"/>
  <c r="G434"/>
  <c r="H434"/>
  <c r="G442"/>
  <c r="H442"/>
  <c r="G450"/>
  <c r="H450"/>
  <c r="G466"/>
  <c r="H466"/>
  <c r="G474"/>
  <c r="H474"/>
  <c r="G490"/>
  <c r="H490"/>
  <c r="G498"/>
  <c r="H498"/>
  <c r="G506"/>
  <c r="H506"/>
  <c r="G509"/>
  <c r="H509"/>
  <c r="G537"/>
  <c r="H537"/>
  <c r="G545"/>
  <c r="H545"/>
  <c r="H635"/>
  <c r="G635"/>
  <c r="G646"/>
  <c r="H646"/>
  <c r="H661"/>
  <c r="G661"/>
  <c r="G672"/>
  <c r="H672"/>
  <c r="H678"/>
  <c r="G678"/>
  <c r="I678"/>
  <c r="G685"/>
  <c r="H685"/>
  <c r="G735"/>
  <c r="H735"/>
  <c r="I735"/>
  <c r="G751"/>
  <c r="H751"/>
  <c r="I751"/>
  <c r="G768"/>
  <c r="H768"/>
  <c r="G801"/>
  <c r="H801"/>
  <c r="G808"/>
  <c r="H808"/>
  <c r="I808"/>
  <c r="H816"/>
  <c r="I816"/>
  <c r="H841"/>
  <c r="G841"/>
  <c r="G967"/>
  <c r="H967"/>
  <c r="I967"/>
  <c r="H1010"/>
  <c r="G1010"/>
  <c r="I1010"/>
  <c r="G1029"/>
  <c r="H1029"/>
  <c r="I1029"/>
  <c r="G1093"/>
  <c r="H1093"/>
  <c r="H1206"/>
  <c r="G1206"/>
  <c r="G1240"/>
  <c r="H1240"/>
  <c r="I1240"/>
  <c r="G1346"/>
  <c r="H1346"/>
  <c r="I1346"/>
  <c r="G1406"/>
  <c r="H1406"/>
  <c r="I1406"/>
  <c r="G203"/>
  <c r="H203"/>
  <c r="G211"/>
  <c r="H211"/>
  <c r="G229"/>
  <c r="H229"/>
  <c r="G237"/>
  <c r="H237"/>
  <c r="G245"/>
  <c r="H245"/>
  <c r="G253"/>
  <c r="H253"/>
  <c r="G261"/>
  <c r="H261"/>
  <c r="H264"/>
  <c r="I264"/>
  <c r="G268"/>
  <c r="H268"/>
  <c r="G303"/>
  <c r="H303"/>
  <c r="G311"/>
  <c r="H311"/>
  <c r="G319"/>
  <c r="H319"/>
  <c r="G326"/>
  <c r="H326"/>
  <c r="G371"/>
  <c r="H371"/>
  <c r="G379"/>
  <c r="H379"/>
  <c r="G386"/>
  <c r="H386"/>
  <c r="G397"/>
  <c r="H397"/>
  <c r="G423"/>
  <c r="H423"/>
  <c r="G430"/>
  <c r="H430"/>
  <c r="G516"/>
  <c r="H516"/>
  <c r="G526"/>
  <c r="H526"/>
  <c r="G552"/>
  <c r="H552"/>
  <c r="G560"/>
  <c r="H560"/>
  <c r="G568"/>
  <c r="H568"/>
  <c r="G576"/>
  <c r="H576"/>
  <c r="G591"/>
  <c r="H591"/>
  <c r="G599"/>
  <c r="H599"/>
  <c r="G609"/>
  <c r="H609"/>
  <c r="G617"/>
  <c r="H617"/>
  <c r="I617"/>
  <c r="H639"/>
  <c r="G639"/>
  <c r="I639"/>
  <c r="G641"/>
  <c r="H641"/>
  <c r="H651"/>
  <c r="G651"/>
  <c r="G655"/>
  <c r="H655"/>
  <c r="H665"/>
  <c r="G665"/>
  <c r="I665"/>
  <c r="G667"/>
  <c r="H667"/>
  <c r="G680"/>
  <c r="H680"/>
  <c r="H690"/>
  <c r="G690"/>
  <c r="G712"/>
  <c r="H712"/>
  <c r="G769"/>
  <c r="H769"/>
  <c r="I769"/>
  <c r="H809"/>
  <c r="G809"/>
  <c r="G825"/>
  <c r="H825"/>
  <c r="I825"/>
  <c r="H828"/>
  <c r="G828"/>
  <c r="H838"/>
  <c r="I838"/>
  <c r="G847"/>
  <c r="H847"/>
  <c r="I847"/>
  <c r="G855"/>
  <c r="H855"/>
  <c r="I855"/>
  <c r="G888"/>
  <c r="H888"/>
  <c r="G911"/>
  <c r="H911"/>
  <c r="G920"/>
  <c r="H920"/>
  <c r="I920"/>
  <c r="G942"/>
  <c r="H942"/>
  <c r="G945"/>
  <c r="H945"/>
  <c r="I945"/>
  <c r="I965"/>
  <c r="G965"/>
  <c r="H965"/>
  <c r="G973"/>
  <c r="H973"/>
  <c r="I973"/>
  <c r="H1006"/>
  <c r="G1006"/>
  <c r="I1006"/>
  <c r="G1062"/>
  <c r="H1062"/>
  <c r="I1062"/>
  <c r="G1124"/>
  <c r="H1124"/>
  <c r="I1124"/>
  <c r="G1145"/>
  <c r="H1145"/>
  <c r="I1145"/>
  <c r="G1173"/>
  <c r="H1173"/>
  <c r="I1173"/>
  <c r="G1184"/>
  <c r="H1184"/>
  <c r="I1184"/>
  <c r="G1188"/>
  <c r="H1188"/>
  <c r="I1188"/>
  <c r="G1198"/>
  <c r="H1198"/>
  <c r="I1198"/>
  <c r="H1217"/>
  <c r="I1217"/>
  <c r="G1217"/>
  <c r="G1235"/>
  <c r="H1235"/>
  <c r="I1235"/>
  <c r="H1283"/>
  <c r="I1283"/>
  <c r="G1283"/>
  <c r="G1306"/>
  <c r="H1306"/>
  <c r="I1306"/>
  <c r="G1315"/>
  <c r="H1315"/>
  <c r="I1315"/>
  <c r="G1433"/>
  <c r="H1433"/>
  <c r="I1433"/>
  <c r="G1461"/>
  <c r="H1461"/>
  <c r="I81"/>
  <c r="I88"/>
  <c r="I130"/>
  <c r="H2"/>
  <c r="I3"/>
  <c r="H6"/>
  <c r="H16"/>
  <c r="I17"/>
  <c r="H20"/>
  <c r="I21"/>
  <c r="I27"/>
  <c r="I29"/>
  <c r="G34"/>
  <c r="H37"/>
  <c r="H39"/>
  <c r="G50"/>
  <c r="H53"/>
  <c r="H55"/>
  <c r="H61"/>
  <c r="I66"/>
  <c r="I74"/>
  <c r="I76"/>
  <c r="I79"/>
  <c r="I92"/>
  <c r="G101"/>
  <c r="H109"/>
  <c r="I111"/>
  <c r="I118"/>
  <c r="I123"/>
  <c r="I125"/>
  <c r="G127"/>
  <c r="H130"/>
  <c r="J130" s="1"/>
  <c r="H152"/>
  <c r="H154"/>
  <c r="I161"/>
  <c r="I163"/>
  <c r="G165"/>
  <c r="I166"/>
  <c r="H171"/>
  <c r="H173"/>
  <c r="I175"/>
  <c r="I232"/>
  <c r="I248"/>
  <c r="I273"/>
  <c r="I306"/>
  <c r="I314"/>
  <c r="I331"/>
  <c r="I347"/>
  <c r="I357"/>
  <c r="I374"/>
  <c r="I391"/>
  <c r="I409"/>
  <c r="I467"/>
  <c r="H491"/>
  <c r="H499"/>
  <c r="I519"/>
  <c r="H538"/>
  <c r="I555"/>
  <c r="I571"/>
  <c r="I579"/>
  <c r="I594"/>
  <c r="I648"/>
  <c r="I674"/>
  <c r="I721"/>
  <c r="I729"/>
  <c r="I745"/>
  <c r="I787"/>
  <c r="I795"/>
  <c r="I1079"/>
  <c r="I1087"/>
  <c r="G2"/>
  <c r="H3"/>
  <c r="I4"/>
  <c r="G6"/>
  <c r="H7"/>
  <c r="J7" s="1"/>
  <c r="I8"/>
  <c r="H10"/>
  <c r="G12"/>
  <c r="J12" s="1"/>
  <c r="H13"/>
  <c r="J13" s="1"/>
  <c r="I14"/>
  <c r="G16"/>
  <c r="H17"/>
  <c r="J17" s="1"/>
  <c r="I18"/>
  <c r="G20"/>
  <c r="H21"/>
  <c r="J21" s="1"/>
  <c r="I22"/>
  <c r="H24"/>
  <c r="I26"/>
  <c r="H27"/>
  <c r="J27" s="1"/>
  <c r="H29"/>
  <c r="G32"/>
  <c r="J32" s="1"/>
  <c r="I34"/>
  <c r="G35"/>
  <c r="J35" s="1"/>
  <c r="I36"/>
  <c r="G37"/>
  <c r="G38"/>
  <c r="J38" s="1"/>
  <c r="I39"/>
  <c r="H41"/>
  <c r="J41" s="1"/>
  <c r="H43"/>
  <c r="J43" s="1"/>
  <c r="I45"/>
  <c r="H46"/>
  <c r="J46" s="1"/>
  <c r="H48"/>
  <c r="I50"/>
  <c r="G51"/>
  <c r="J51" s="1"/>
  <c r="I52"/>
  <c r="G53"/>
  <c r="G54"/>
  <c r="J54" s="1"/>
  <c r="I55"/>
  <c r="H57"/>
  <c r="J57" s="1"/>
  <c r="I61"/>
  <c r="G63"/>
  <c r="J63" s="1"/>
  <c r="H66"/>
  <c r="J66" s="1"/>
  <c r="H68"/>
  <c r="J68" s="1"/>
  <c r="I70"/>
  <c r="H71"/>
  <c r="J71" s="1"/>
  <c r="H74"/>
  <c r="H76"/>
  <c r="G79"/>
  <c r="J79" s="1"/>
  <c r="I80"/>
  <c r="G81"/>
  <c r="G82"/>
  <c r="J82" s="1"/>
  <c r="H85"/>
  <c r="J85" s="1"/>
  <c r="I87"/>
  <c r="G88"/>
  <c r="J88" s="1"/>
  <c r="G89"/>
  <c r="J89" s="1"/>
  <c r="H92"/>
  <c r="J92" s="1"/>
  <c r="H94"/>
  <c r="J94" s="1"/>
  <c r="I96"/>
  <c r="H97"/>
  <c r="J97" s="1"/>
  <c r="H99"/>
  <c r="I101"/>
  <c r="G102"/>
  <c r="J102" s="1"/>
  <c r="I103"/>
  <c r="G104"/>
  <c r="J104" s="1"/>
  <c r="G105"/>
  <c r="J105" s="1"/>
  <c r="G108"/>
  <c r="J108" s="1"/>
  <c r="I109"/>
  <c r="H111"/>
  <c r="J111" s="1"/>
  <c r="H113"/>
  <c r="J113" s="1"/>
  <c r="I115"/>
  <c r="I116"/>
  <c r="H118"/>
  <c r="J118" s="1"/>
  <c r="H120"/>
  <c r="J120" s="1"/>
  <c r="I122"/>
  <c r="H123"/>
  <c r="J123" s="1"/>
  <c r="H125"/>
  <c r="I127"/>
  <c r="G128"/>
  <c r="J128" s="1"/>
  <c r="I129"/>
  <c r="G131"/>
  <c r="J131" s="1"/>
  <c r="G134"/>
  <c r="J134" s="1"/>
  <c r="G136"/>
  <c r="J136" s="1"/>
  <c r="G137"/>
  <c r="J137" s="1"/>
  <c r="H140"/>
  <c r="H142"/>
  <c r="J142" s="1"/>
  <c r="I144"/>
  <c r="H145"/>
  <c r="J145" s="1"/>
  <c r="H147"/>
  <c r="G150"/>
  <c r="J150" s="1"/>
  <c r="I151"/>
  <c r="G152"/>
  <c r="G153"/>
  <c r="J153" s="1"/>
  <c r="I154"/>
  <c r="H156"/>
  <c r="J156" s="1"/>
  <c r="H158"/>
  <c r="J158" s="1"/>
  <c r="I160"/>
  <c r="H161"/>
  <c r="J161" s="1"/>
  <c r="H163"/>
  <c r="I165"/>
  <c r="G166"/>
  <c r="J166" s="1"/>
  <c r="I167"/>
  <c r="G168"/>
  <c r="J168" s="1"/>
  <c r="G169"/>
  <c r="J169" s="1"/>
  <c r="G171"/>
  <c r="G172"/>
  <c r="I173"/>
  <c r="H175"/>
  <c r="J175" s="1"/>
  <c r="H177"/>
  <c r="I179"/>
  <c r="H180"/>
  <c r="J180" s="1"/>
  <c r="H182"/>
  <c r="G185"/>
  <c r="J185" s="1"/>
  <c r="I186"/>
  <c r="I192"/>
  <c r="I204"/>
  <c r="H206"/>
  <c r="I207"/>
  <c r="I212"/>
  <c r="H224"/>
  <c r="J224" s="1"/>
  <c r="I225"/>
  <c r="I230"/>
  <c r="H232"/>
  <c r="J232" s="1"/>
  <c r="I238"/>
  <c r="H240"/>
  <c r="J240" s="1"/>
  <c r="I246"/>
  <c r="H248"/>
  <c r="J248" s="1"/>
  <c r="I254"/>
  <c r="H256"/>
  <c r="J256" s="1"/>
  <c r="I262"/>
  <c r="I271"/>
  <c r="I279"/>
  <c r="I287"/>
  <c r="I295"/>
  <c r="I304"/>
  <c r="H306"/>
  <c r="J306" s="1"/>
  <c r="I307"/>
  <c r="I312"/>
  <c r="H314"/>
  <c r="J314" s="1"/>
  <c r="I315"/>
  <c r="I320"/>
  <c r="H322"/>
  <c r="J322" s="1"/>
  <c r="I329"/>
  <c r="I337"/>
  <c r="I345"/>
  <c r="I355"/>
  <c r="I363"/>
  <c r="I372"/>
  <c r="H374"/>
  <c r="J374" s="1"/>
  <c r="I375"/>
  <c r="I380"/>
  <c r="H382"/>
  <c r="J382" s="1"/>
  <c r="I389"/>
  <c r="I398"/>
  <c r="I407"/>
  <c r="I415"/>
  <c r="H418"/>
  <c r="J418" s="1"/>
  <c r="I424"/>
  <c r="H426"/>
  <c r="J426" s="1"/>
  <c r="I427"/>
  <c r="I433"/>
  <c r="I441"/>
  <c r="I449"/>
  <c r="I457"/>
  <c r="I465"/>
  <c r="I473"/>
  <c r="I481"/>
  <c r="I489"/>
  <c r="I497"/>
  <c r="I505"/>
  <c r="I508"/>
  <c r="H517"/>
  <c r="J517" s="1"/>
  <c r="H519"/>
  <c r="J519" s="1"/>
  <c r="I522"/>
  <c r="H527"/>
  <c r="J527" s="1"/>
  <c r="H529"/>
  <c r="J529" s="1"/>
  <c r="I536"/>
  <c r="I544"/>
  <c r="H553"/>
  <c r="J553" s="1"/>
  <c r="H555"/>
  <c r="J555" s="1"/>
  <c r="I556"/>
  <c r="H561"/>
  <c r="J561" s="1"/>
  <c r="H563"/>
  <c r="J563" s="1"/>
  <c r="H569"/>
  <c r="J569" s="1"/>
  <c r="H571"/>
  <c r="J571" s="1"/>
  <c r="H577"/>
  <c r="J577" s="1"/>
  <c r="H579"/>
  <c r="J579" s="1"/>
  <c r="I580"/>
  <c r="H584"/>
  <c r="J584" s="1"/>
  <c r="H586"/>
  <c r="J586" s="1"/>
  <c r="H592"/>
  <c r="J592" s="1"/>
  <c r="H594"/>
  <c r="J594" s="1"/>
  <c r="H600"/>
  <c r="J600" s="1"/>
  <c r="H610"/>
  <c r="J610" s="1"/>
  <c r="H612"/>
  <c r="J612" s="1"/>
  <c r="I624"/>
  <c r="I630"/>
  <c r="I637"/>
  <c r="I663"/>
  <c r="I776"/>
  <c r="I841"/>
  <c r="I849"/>
  <c r="I857"/>
  <c r="I872"/>
  <c r="I895"/>
  <c r="I927"/>
  <c r="I936"/>
  <c r="I1126"/>
  <c r="G214"/>
  <c r="H214"/>
  <c r="H220"/>
  <c r="I220"/>
  <c r="G233"/>
  <c r="H233"/>
  <c r="G241"/>
  <c r="H241"/>
  <c r="G249"/>
  <c r="H249"/>
  <c r="G257"/>
  <c r="H257"/>
  <c r="G323"/>
  <c r="H323"/>
  <c r="G383"/>
  <c r="H383"/>
  <c r="G419"/>
  <c r="H419"/>
  <c r="H520"/>
  <c r="I520"/>
  <c r="H530"/>
  <c r="I530"/>
  <c r="G548"/>
  <c r="H548"/>
  <c r="G564"/>
  <c r="H564"/>
  <c r="G572"/>
  <c r="H572"/>
  <c r="G587"/>
  <c r="H587"/>
  <c r="G595"/>
  <c r="H595"/>
  <c r="G602"/>
  <c r="H602"/>
  <c r="G613"/>
  <c r="H613"/>
  <c r="H622"/>
  <c r="G622"/>
  <c r="I622"/>
  <c r="G634"/>
  <c r="H634"/>
  <c r="I634"/>
  <c r="H658"/>
  <c r="G658"/>
  <c r="G660"/>
  <c r="H660"/>
  <c r="I660"/>
  <c r="G674"/>
  <c r="H674"/>
  <c r="G687"/>
  <c r="H687"/>
  <c r="G704"/>
  <c r="H704"/>
  <c r="H729"/>
  <c r="G729"/>
  <c r="H787"/>
  <c r="G787"/>
  <c r="G837"/>
  <c r="H837"/>
  <c r="I837"/>
  <c r="G848"/>
  <c r="H848"/>
  <c r="I848"/>
  <c r="G881"/>
  <c r="H881"/>
  <c r="I881"/>
  <c r="G904"/>
  <c r="H904"/>
  <c r="I904"/>
  <c r="G944"/>
  <c r="H944"/>
  <c r="I944"/>
  <c r="I952"/>
  <c r="G952"/>
  <c r="H952"/>
  <c r="G987"/>
  <c r="H987"/>
  <c r="I1014"/>
  <c r="G1014"/>
  <c r="G1047"/>
  <c r="H1047"/>
  <c r="I1047"/>
  <c r="H1079"/>
  <c r="G1079"/>
  <c r="H1153"/>
  <c r="G1153"/>
  <c r="G1216"/>
  <c r="H1216"/>
  <c r="I1216"/>
  <c r="G1224"/>
  <c r="H1224"/>
  <c r="I1224"/>
  <c r="G272"/>
  <c r="H272"/>
  <c r="G280"/>
  <c r="H280"/>
  <c r="G338"/>
  <c r="H338"/>
  <c r="G346"/>
  <c r="H346"/>
  <c r="G353"/>
  <c r="H353"/>
  <c r="G356"/>
  <c r="H356"/>
  <c r="G390"/>
  <c r="H390"/>
  <c r="G408"/>
  <c r="H408"/>
  <c r="G458"/>
  <c r="H458"/>
  <c r="G482"/>
  <c r="H482"/>
  <c r="G650"/>
  <c r="H650"/>
  <c r="I650"/>
  <c r="G689"/>
  <c r="H689"/>
  <c r="I689"/>
  <c r="H697"/>
  <c r="G697"/>
  <c r="I697"/>
  <c r="G699"/>
  <c r="H699"/>
  <c r="G719"/>
  <c r="H719"/>
  <c r="I719"/>
  <c r="G727"/>
  <c r="H727"/>
  <c r="I727"/>
  <c r="G743"/>
  <c r="H743"/>
  <c r="I743"/>
  <c r="G777"/>
  <c r="H777"/>
  <c r="I777"/>
  <c r="G785"/>
  <c r="H785"/>
  <c r="I785"/>
  <c r="G793"/>
  <c r="H793"/>
  <c r="I793"/>
  <c r="G805"/>
  <c r="H805"/>
  <c r="G820"/>
  <c r="H820"/>
  <c r="I820"/>
  <c r="H849"/>
  <c r="G849"/>
  <c r="H857"/>
  <c r="G857"/>
  <c r="G873"/>
  <c r="H873"/>
  <c r="I873"/>
  <c r="G896"/>
  <c r="H896"/>
  <c r="I896"/>
  <c r="G919"/>
  <c r="H919"/>
  <c r="G928"/>
  <c r="H928"/>
  <c r="I928"/>
  <c r="H936"/>
  <c r="G936"/>
  <c r="G954"/>
  <c r="H954"/>
  <c r="I954"/>
  <c r="G996"/>
  <c r="H996"/>
  <c r="I996"/>
  <c r="G1071"/>
  <c r="H1071"/>
  <c r="I1071"/>
  <c r="G1077"/>
  <c r="H1077"/>
  <c r="I1077"/>
  <c r="G1085"/>
  <c r="H1085"/>
  <c r="I1085"/>
  <c r="H1126"/>
  <c r="G1126"/>
  <c r="G1164"/>
  <c r="H1164"/>
  <c r="I1164"/>
  <c r="H1225"/>
  <c r="G1225"/>
  <c r="H1278"/>
  <c r="G1278"/>
  <c r="G189"/>
  <c r="H189"/>
  <c r="G197"/>
  <c r="H197"/>
  <c r="H200"/>
  <c r="I200"/>
  <c r="H218"/>
  <c r="I218"/>
  <c r="G266"/>
  <c r="H266"/>
  <c r="G276"/>
  <c r="H276"/>
  <c r="G284"/>
  <c r="H284"/>
  <c r="G292"/>
  <c r="H292"/>
  <c r="G300"/>
  <c r="H300"/>
  <c r="G334"/>
  <c r="H334"/>
  <c r="G342"/>
  <c r="H342"/>
  <c r="G350"/>
  <c r="H350"/>
  <c r="G360"/>
  <c r="H360"/>
  <c r="G367"/>
  <c r="H367"/>
  <c r="H394"/>
  <c r="I394"/>
  <c r="G404"/>
  <c r="H404"/>
  <c r="G412"/>
  <c r="H412"/>
  <c r="G438"/>
  <c r="H438"/>
  <c r="G446"/>
  <c r="H446"/>
  <c r="G454"/>
  <c r="H454"/>
  <c r="G462"/>
  <c r="H462"/>
  <c r="G470"/>
  <c r="H470"/>
  <c r="G478"/>
  <c r="H478"/>
  <c r="G486"/>
  <c r="H486"/>
  <c r="G494"/>
  <c r="H494"/>
  <c r="G502"/>
  <c r="H502"/>
  <c r="H513"/>
  <c r="I513"/>
  <c r="G533"/>
  <c r="H533"/>
  <c r="G541"/>
  <c r="H541"/>
  <c r="H606"/>
  <c r="I606"/>
  <c r="H618"/>
  <c r="G618"/>
  <c r="G632"/>
  <c r="H632"/>
  <c r="G657"/>
  <c r="H657"/>
  <c r="I657"/>
  <c r="H694"/>
  <c r="G694"/>
  <c r="I694"/>
  <c r="G696"/>
  <c r="I696"/>
  <c r="G706"/>
  <c r="H706"/>
  <c r="G713"/>
  <c r="H713"/>
  <c r="I713"/>
  <c r="G720"/>
  <c r="H720"/>
  <c r="I720"/>
  <c r="G728"/>
  <c r="H728"/>
  <c r="I728"/>
  <c r="G736"/>
  <c r="H736"/>
  <c r="I736"/>
  <c r="G744"/>
  <c r="H744"/>
  <c r="I744"/>
  <c r="G752"/>
  <c r="H752"/>
  <c r="I752"/>
  <c r="G761"/>
  <c r="H761"/>
  <c r="I761"/>
  <c r="G786"/>
  <c r="H786"/>
  <c r="I786"/>
  <c r="G794"/>
  <c r="H794"/>
  <c r="I794"/>
  <c r="G803"/>
  <c r="H803"/>
  <c r="G807"/>
  <c r="H807"/>
  <c r="I807"/>
  <c r="G815"/>
  <c r="H815"/>
  <c r="I815"/>
  <c r="G821"/>
  <c r="H821"/>
  <c r="I821"/>
  <c r="G840"/>
  <c r="H840"/>
  <c r="I840"/>
  <c r="G880"/>
  <c r="H880"/>
  <c r="G889"/>
  <c r="H889"/>
  <c r="I889"/>
  <c r="G903"/>
  <c r="H903"/>
  <c r="G912"/>
  <c r="H912"/>
  <c r="I912"/>
  <c r="G935"/>
  <c r="H935"/>
  <c r="I935"/>
  <c r="H946"/>
  <c r="G946"/>
  <c r="I971"/>
  <c r="G971"/>
  <c r="H971"/>
  <c r="G1008"/>
  <c r="H1008"/>
  <c r="G1012"/>
  <c r="H1012"/>
  <c r="I1012"/>
  <c r="G1017"/>
  <c r="H1017"/>
  <c r="I1017"/>
  <c r="H1060"/>
  <c r="G1060"/>
  <c r="G1070"/>
  <c r="H1070"/>
  <c r="I1070"/>
  <c r="H1146"/>
  <c r="G1146"/>
  <c r="G1155"/>
  <c r="H1155"/>
  <c r="I1155"/>
  <c r="G1163"/>
  <c r="H1163"/>
  <c r="I1163"/>
  <c r="H1182"/>
  <c r="G1182"/>
  <c r="G1241"/>
  <c r="H1241"/>
  <c r="I1241"/>
  <c r="G1323"/>
  <c r="H1323"/>
  <c r="I1323"/>
  <c r="G1370"/>
  <c r="H1370"/>
  <c r="I1370"/>
  <c r="G1379"/>
  <c r="H1379"/>
  <c r="I1379"/>
  <c r="G1396"/>
  <c r="H1396"/>
  <c r="I1396"/>
  <c r="I12"/>
  <c r="I104"/>
  <c r="I136"/>
  <c r="I168"/>
  <c r="I7"/>
  <c r="I10"/>
  <c r="I13"/>
  <c r="G31"/>
  <c r="I32"/>
  <c r="I35"/>
  <c r="I41"/>
  <c r="I46"/>
  <c r="I48"/>
  <c r="I51"/>
  <c r="I57"/>
  <c r="H64"/>
  <c r="I71"/>
  <c r="G78"/>
  <c r="H83"/>
  <c r="I85"/>
  <c r="H90"/>
  <c r="I97"/>
  <c r="I99"/>
  <c r="I102"/>
  <c r="H106"/>
  <c r="I128"/>
  <c r="H132"/>
  <c r="H138"/>
  <c r="I140"/>
  <c r="I145"/>
  <c r="I147"/>
  <c r="G149"/>
  <c r="I150"/>
  <c r="I156"/>
  <c r="I180"/>
  <c r="I182"/>
  <c r="G184"/>
  <c r="I185"/>
  <c r="I194"/>
  <c r="I206"/>
  <c r="I215"/>
  <c r="I224"/>
  <c r="I240"/>
  <c r="I256"/>
  <c r="I281"/>
  <c r="I289"/>
  <c r="I297"/>
  <c r="I322"/>
  <c r="I339"/>
  <c r="I365"/>
  <c r="I382"/>
  <c r="I401"/>
  <c r="I418"/>
  <c r="I426"/>
  <c r="I435"/>
  <c r="I443"/>
  <c r="I451"/>
  <c r="I459"/>
  <c r="I475"/>
  <c r="I483"/>
  <c r="H510"/>
  <c r="I529"/>
  <c r="H546"/>
  <c r="I563"/>
  <c r="I586"/>
  <c r="H603"/>
  <c r="I612"/>
  <c r="I687"/>
  <c r="I737"/>
  <c r="I753"/>
  <c r="G23"/>
  <c r="J23" s="1"/>
  <c r="I24"/>
  <c r="H28"/>
  <c r="H31"/>
  <c r="H34"/>
  <c r="I38"/>
  <c r="G39"/>
  <c r="I40"/>
  <c r="G42"/>
  <c r="J42" s="1"/>
  <c r="I43"/>
  <c r="H47"/>
  <c r="J47" s="1"/>
  <c r="H50"/>
  <c r="I54"/>
  <c r="G55"/>
  <c r="I56"/>
  <c r="G58"/>
  <c r="I60"/>
  <c r="G61"/>
  <c r="I63"/>
  <c r="G64"/>
  <c r="I65"/>
  <c r="G67"/>
  <c r="J67" s="1"/>
  <c r="I68"/>
  <c r="H72"/>
  <c r="J72" s="1"/>
  <c r="H75"/>
  <c r="J75" s="1"/>
  <c r="H78"/>
  <c r="I82"/>
  <c r="G83"/>
  <c r="I84"/>
  <c r="I89"/>
  <c r="G90"/>
  <c r="I91"/>
  <c r="G93"/>
  <c r="I94"/>
  <c r="H98"/>
  <c r="H101"/>
  <c r="I105"/>
  <c r="G106"/>
  <c r="I108"/>
  <c r="G109"/>
  <c r="I110"/>
  <c r="G112"/>
  <c r="I113"/>
  <c r="G116"/>
  <c r="I117"/>
  <c r="G119"/>
  <c r="J119" s="1"/>
  <c r="I120"/>
  <c r="H124"/>
  <c r="J124" s="1"/>
  <c r="H127"/>
  <c r="I131"/>
  <c r="G132"/>
  <c r="I134"/>
  <c r="H135"/>
  <c r="I137"/>
  <c r="G138"/>
  <c r="I139"/>
  <c r="G141"/>
  <c r="I142"/>
  <c r="H146"/>
  <c r="J146" s="1"/>
  <c r="H149"/>
  <c r="I153"/>
  <c r="G154"/>
  <c r="I155"/>
  <c r="G157"/>
  <c r="I158"/>
  <c r="H162"/>
  <c r="H165"/>
  <c r="I169"/>
  <c r="H170"/>
  <c r="I172"/>
  <c r="G173"/>
  <c r="I174"/>
  <c r="G176"/>
  <c r="J176" s="1"/>
  <c r="I177"/>
  <c r="H181"/>
  <c r="J181" s="1"/>
  <c r="H184"/>
  <c r="I190"/>
  <c r="H192"/>
  <c r="J192" s="1"/>
  <c r="I193"/>
  <c r="G194"/>
  <c r="I198"/>
  <c r="I202"/>
  <c r="I210"/>
  <c r="I214"/>
  <c r="G215"/>
  <c r="G220"/>
  <c r="I228"/>
  <c r="I236"/>
  <c r="I244"/>
  <c r="I252"/>
  <c r="I260"/>
  <c r="I269"/>
  <c r="H271"/>
  <c r="J271" s="1"/>
  <c r="I272"/>
  <c r="G273"/>
  <c r="I277"/>
  <c r="H279"/>
  <c r="J279" s="1"/>
  <c r="I280"/>
  <c r="G281"/>
  <c r="I285"/>
  <c r="H287"/>
  <c r="J287" s="1"/>
  <c r="I288"/>
  <c r="G289"/>
  <c r="I293"/>
  <c r="H295"/>
  <c r="J295" s="1"/>
  <c r="I296"/>
  <c r="G297"/>
  <c r="I302"/>
  <c r="I310"/>
  <c r="I318"/>
  <c r="I327"/>
  <c r="H329"/>
  <c r="J329" s="1"/>
  <c r="I330"/>
  <c r="G331"/>
  <c r="I335"/>
  <c r="H337"/>
  <c r="J337" s="1"/>
  <c r="I338"/>
  <c r="G339"/>
  <c r="I343"/>
  <c r="H345"/>
  <c r="J345" s="1"/>
  <c r="I346"/>
  <c r="G347"/>
  <c r="I351"/>
  <c r="H355"/>
  <c r="J355" s="1"/>
  <c r="I356"/>
  <c r="G357"/>
  <c r="I361"/>
  <c r="H363"/>
  <c r="I364"/>
  <c r="G365"/>
  <c r="I370"/>
  <c r="I378"/>
  <c r="I387"/>
  <c r="H389"/>
  <c r="J389" s="1"/>
  <c r="I390"/>
  <c r="G391"/>
  <c r="I396"/>
  <c r="I400"/>
  <c r="G401"/>
  <c r="I405"/>
  <c r="H407"/>
  <c r="I408"/>
  <c r="G409"/>
  <c r="I413"/>
  <c r="H415"/>
  <c r="I416"/>
  <c r="I422"/>
  <c r="I431"/>
  <c r="H433"/>
  <c r="J433" s="1"/>
  <c r="I434"/>
  <c r="G435"/>
  <c r="I439"/>
  <c r="H441"/>
  <c r="J441" s="1"/>
  <c r="I442"/>
  <c r="G443"/>
  <c r="I447"/>
  <c r="H449"/>
  <c r="J449" s="1"/>
  <c r="I450"/>
  <c r="G451"/>
  <c r="I455"/>
  <c r="H457"/>
  <c r="J457" s="1"/>
  <c r="I458"/>
  <c r="G459"/>
  <c r="I463"/>
  <c r="H465"/>
  <c r="J465" s="1"/>
  <c r="I466"/>
  <c r="G467"/>
  <c r="I471"/>
  <c r="H473"/>
  <c r="I474"/>
  <c r="G475"/>
  <c r="I479"/>
  <c r="H481"/>
  <c r="J481" s="1"/>
  <c r="I482"/>
  <c r="G483"/>
  <c r="I487"/>
  <c r="H489"/>
  <c r="J489" s="1"/>
  <c r="I490"/>
  <c r="H495"/>
  <c r="J495" s="1"/>
  <c r="H497"/>
  <c r="I498"/>
  <c r="H503"/>
  <c r="J503" s="1"/>
  <c r="H505"/>
  <c r="J505" s="1"/>
  <c r="I506"/>
  <c r="H508"/>
  <c r="J508" s="1"/>
  <c r="I509"/>
  <c r="I515"/>
  <c r="G520"/>
  <c r="I525"/>
  <c r="G530"/>
  <c r="H534"/>
  <c r="J534" s="1"/>
  <c r="H536"/>
  <c r="J536" s="1"/>
  <c r="I537"/>
  <c r="H542"/>
  <c r="J542" s="1"/>
  <c r="H544"/>
  <c r="J544" s="1"/>
  <c r="I545"/>
  <c r="I551"/>
  <c r="I559"/>
  <c r="I567"/>
  <c r="I575"/>
  <c r="I583"/>
  <c r="I590"/>
  <c r="I598"/>
  <c r="I602"/>
  <c r="I608"/>
  <c r="I616"/>
  <c r="G627"/>
  <c r="I635"/>
  <c r="G636"/>
  <c r="H637"/>
  <c r="J637" s="1"/>
  <c r="I646"/>
  <c r="I661"/>
  <c r="G662"/>
  <c r="H663"/>
  <c r="J663" s="1"/>
  <c r="I672"/>
  <c r="I685"/>
  <c r="I692"/>
  <c r="I699"/>
  <c r="G766"/>
  <c r="I768"/>
  <c r="I809"/>
  <c r="I828"/>
  <c r="G867"/>
  <c r="G917"/>
  <c r="I919"/>
  <c r="G975"/>
  <c r="G709"/>
  <c r="H709"/>
  <c r="G717"/>
  <c r="H717"/>
  <c r="G765"/>
  <c r="H765"/>
  <c r="G773"/>
  <c r="H773"/>
  <c r="H818"/>
  <c r="I818"/>
  <c r="G866"/>
  <c r="H866"/>
  <c r="G869"/>
  <c r="H869"/>
  <c r="G877"/>
  <c r="H877"/>
  <c r="G885"/>
  <c r="H885"/>
  <c r="G900"/>
  <c r="H900"/>
  <c r="G908"/>
  <c r="H908"/>
  <c r="G916"/>
  <c r="H916"/>
  <c r="G924"/>
  <c r="H924"/>
  <c r="G932"/>
  <c r="H932"/>
  <c r="G962"/>
  <c r="H962"/>
  <c r="H968"/>
  <c r="G968"/>
  <c r="G970"/>
  <c r="H970"/>
  <c r="I970"/>
  <c r="H974"/>
  <c r="G974"/>
  <c r="G985"/>
  <c r="H985"/>
  <c r="G989"/>
  <c r="H989"/>
  <c r="I989"/>
  <c r="G1003"/>
  <c r="H1003"/>
  <c r="G1022"/>
  <c r="H1022"/>
  <c r="I1022"/>
  <c r="G1030"/>
  <c r="H1030"/>
  <c r="I1030"/>
  <c r="G1054"/>
  <c r="H1054"/>
  <c r="G1063"/>
  <c r="H1063"/>
  <c r="I1063"/>
  <c r="G1104"/>
  <c r="H1104"/>
  <c r="G1107"/>
  <c r="H1107"/>
  <c r="I1107"/>
  <c r="G1117"/>
  <c r="H1117"/>
  <c r="G1135"/>
  <c r="H1135"/>
  <c r="G1144"/>
  <c r="H1144"/>
  <c r="I1144"/>
  <c r="G1156"/>
  <c r="H1156"/>
  <c r="I1156"/>
  <c r="H1174"/>
  <c r="I1174"/>
  <c r="G1185"/>
  <c r="H1185"/>
  <c r="I1185"/>
  <c r="H1191"/>
  <c r="I1191"/>
  <c r="G1191"/>
  <c r="H1199"/>
  <c r="G1199"/>
  <c r="G1209"/>
  <c r="H1209"/>
  <c r="I1209"/>
  <c r="G1223"/>
  <c r="H1223"/>
  <c r="I1223"/>
  <c r="I1250"/>
  <c r="G1250"/>
  <c r="H1250"/>
  <c r="G1258"/>
  <c r="H1258"/>
  <c r="I1258"/>
  <c r="H1270"/>
  <c r="I1270"/>
  <c r="G1270"/>
  <c r="G1314"/>
  <c r="H1314"/>
  <c r="I1314"/>
  <c r="G1347"/>
  <c r="H1347"/>
  <c r="I1347"/>
  <c r="G1378"/>
  <c r="H1378"/>
  <c r="I1378"/>
  <c r="G1424"/>
  <c r="H1424"/>
  <c r="I1424"/>
  <c r="H1508"/>
  <c r="G1508"/>
  <c r="I1508"/>
  <c r="G1513"/>
  <c r="H1513"/>
  <c r="I491"/>
  <c r="I495"/>
  <c r="I499"/>
  <c r="I503"/>
  <c r="I510"/>
  <c r="I517"/>
  <c r="I523"/>
  <c r="I527"/>
  <c r="I534"/>
  <c r="I538"/>
  <c r="I542"/>
  <c r="I546"/>
  <c r="I549"/>
  <c r="I553"/>
  <c r="I557"/>
  <c r="I561"/>
  <c r="I565"/>
  <c r="I569"/>
  <c r="I573"/>
  <c r="I577"/>
  <c r="I581"/>
  <c r="I584"/>
  <c r="I588"/>
  <c r="I592"/>
  <c r="I596"/>
  <c r="I600"/>
  <c r="I603"/>
  <c r="I610"/>
  <c r="I614"/>
  <c r="I619"/>
  <c r="G621"/>
  <c r="J621" s="1"/>
  <c r="I629"/>
  <c r="I636"/>
  <c r="G638"/>
  <c r="H643"/>
  <c r="J643" s="1"/>
  <c r="I645"/>
  <c r="I652"/>
  <c r="I662"/>
  <c r="G664"/>
  <c r="H669"/>
  <c r="J669" s="1"/>
  <c r="I671"/>
  <c r="I677"/>
  <c r="H682"/>
  <c r="J682" s="1"/>
  <c r="I684"/>
  <c r="I691"/>
  <c r="G693"/>
  <c r="J693" s="1"/>
  <c r="H701"/>
  <c r="I703"/>
  <c r="I710"/>
  <c r="I766"/>
  <c r="I774"/>
  <c r="I867"/>
  <c r="I870"/>
  <c r="I878"/>
  <c r="I886"/>
  <c r="I893"/>
  <c r="I901"/>
  <c r="I909"/>
  <c r="I917"/>
  <c r="I925"/>
  <c r="I933"/>
  <c r="I987"/>
  <c r="G1068"/>
  <c r="I1146"/>
  <c r="I1225"/>
  <c r="G724"/>
  <c r="H724"/>
  <c r="G732"/>
  <c r="H732"/>
  <c r="G740"/>
  <c r="H740"/>
  <c r="G748"/>
  <c r="H748"/>
  <c r="G756"/>
  <c r="H756"/>
  <c r="H759"/>
  <c r="I759"/>
  <c r="G779"/>
  <c r="H779"/>
  <c r="G782"/>
  <c r="H782"/>
  <c r="G790"/>
  <c r="H790"/>
  <c r="G798"/>
  <c r="H798"/>
  <c r="G812"/>
  <c r="H812"/>
  <c r="G831"/>
  <c r="H831"/>
  <c r="G834"/>
  <c r="H834"/>
  <c r="G844"/>
  <c r="H844"/>
  <c r="G852"/>
  <c r="H852"/>
  <c r="G860"/>
  <c r="H860"/>
  <c r="H863"/>
  <c r="I863"/>
  <c r="G939"/>
  <c r="H939"/>
  <c r="G949"/>
  <c r="H949"/>
  <c r="G957"/>
  <c r="H957"/>
  <c r="G960"/>
  <c r="H960"/>
  <c r="G964"/>
  <c r="H964"/>
  <c r="I964"/>
  <c r="H978"/>
  <c r="G978"/>
  <c r="I978"/>
  <c r="G980"/>
  <c r="H980"/>
  <c r="H990"/>
  <c r="G990"/>
  <c r="G1001"/>
  <c r="H1001"/>
  <c r="G1005"/>
  <c r="H1005"/>
  <c r="I1005"/>
  <c r="H1023"/>
  <c r="G1023"/>
  <c r="H1031"/>
  <c r="G1031"/>
  <c r="G1046"/>
  <c r="H1046"/>
  <c r="G1055"/>
  <c r="H1055"/>
  <c r="I1055"/>
  <c r="G1078"/>
  <c r="H1078"/>
  <c r="I1078"/>
  <c r="G1086"/>
  <c r="H1086"/>
  <c r="I1086"/>
  <c r="G1096"/>
  <c r="H1096"/>
  <c r="H1105"/>
  <c r="I1105"/>
  <c r="G1105"/>
  <c r="H1108"/>
  <c r="G1108"/>
  <c r="G1118"/>
  <c r="H1118"/>
  <c r="I1118"/>
  <c r="G1125"/>
  <c r="H1125"/>
  <c r="I1125"/>
  <c r="G1136"/>
  <c r="H1136"/>
  <c r="I1136"/>
  <c r="G1181"/>
  <c r="H1181"/>
  <c r="G1197"/>
  <c r="H1197"/>
  <c r="I1197"/>
  <c r="G1205"/>
  <c r="H1205"/>
  <c r="G1234"/>
  <c r="H1234"/>
  <c r="G1248"/>
  <c r="H1248"/>
  <c r="G1291"/>
  <c r="H1291"/>
  <c r="I1291"/>
  <c r="G1338"/>
  <c r="H1338"/>
  <c r="I1338"/>
  <c r="G1355"/>
  <c r="H1355"/>
  <c r="I1355"/>
  <c r="H1414"/>
  <c r="I1414"/>
  <c r="G1414"/>
  <c r="G1588"/>
  <c r="H1588"/>
  <c r="I621"/>
  <c r="I623"/>
  <c r="H631"/>
  <c r="I638"/>
  <c r="I640"/>
  <c r="G642"/>
  <c r="J642" s="1"/>
  <c r="I643"/>
  <c r="H647"/>
  <c r="I664"/>
  <c r="I666"/>
  <c r="G668"/>
  <c r="I669"/>
  <c r="H673"/>
  <c r="I679"/>
  <c r="G681"/>
  <c r="I682"/>
  <c r="H686"/>
  <c r="J686" s="1"/>
  <c r="I693"/>
  <c r="I695"/>
  <c r="I698"/>
  <c r="G700"/>
  <c r="J700" s="1"/>
  <c r="I701"/>
  <c r="H705"/>
  <c r="J705" s="1"/>
  <c r="I708"/>
  <c r="I716"/>
  <c r="I725"/>
  <c r="I733"/>
  <c r="I741"/>
  <c r="I749"/>
  <c r="I757"/>
  <c r="I764"/>
  <c r="I772"/>
  <c r="I783"/>
  <c r="I791"/>
  <c r="I799"/>
  <c r="I813"/>
  <c r="I832"/>
  <c r="I835"/>
  <c r="I845"/>
  <c r="I853"/>
  <c r="I861"/>
  <c r="I865"/>
  <c r="I876"/>
  <c r="I884"/>
  <c r="I892"/>
  <c r="I899"/>
  <c r="I907"/>
  <c r="I915"/>
  <c r="I923"/>
  <c r="I931"/>
  <c r="I940"/>
  <c r="I950"/>
  <c r="I962"/>
  <c r="I976"/>
  <c r="I1003"/>
  <c r="I1199"/>
  <c r="G1043"/>
  <c r="H1043"/>
  <c r="G1051"/>
  <c r="H1051"/>
  <c r="G1059"/>
  <c r="H1059"/>
  <c r="G1067"/>
  <c r="H1067"/>
  <c r="G1101"/>
  <c r="H1101"/>
  <c r="G1114"/>
  <c r="H1114"/>
  <c r="G1122"/>
  <c r="H1122"/>
  <c r="G1132"/>
  <c r="H1132"/>
  <c r="G1142"/>
  <c r="H1142"/>
  <c r="G1152"/>
  <c r="H1152"/>
  <c r="G1160"/>
  <c r="H1160"/>
  <c r="H1168"/>
  <c r="I1168"/>
  <c r="H1176"/>
  <c r="I1176"/>
  <c r="G1213"/>
  <c r="H1213"/>
  <c r="G1231"/>
  <c r="H1231"/>
  <c r="G1245"/>
  <c r="H1245"/>
  <c r="G1253"/>
  <c r="H1253"/>
  <c r="G1261"/>
  <c r="H1261"/>
  <c r="G1298"/>
  <c r="H1298"/>
  <c r="G1307"/>
  <c r="H1307"/>
  <c r="I1307"/>
  <c r="G1330"/>
  <c r="H1330"/>
  <c r="G1339"/>
  <c r="H1339"/>
  <c r="I1339"/>
  <c r="G1362"/>
  <c r="H1362"/>
  <c r="G1371"/>
  <c r="H1371"/>
  <c r="I1371"/>
  <c r="G1469"/>
  <c r="H1469"/>
  <c r="I1469"/>
  <c r="H1502"/>
  <c r="G1502"/>
  <c r="I1502"/>
  <c r="G1535"/>
  <c r="H1535"/>
  <c r="G958"/>
  <c r="I969"/>
  <c r="I975"/>
  <c r="G977"/>
  <c r="J977" s="1"/>
  <c r="H982"/>
  <c r="I991"/>
  <c r="G993"/>
  <c r="J993" s="1"/>
  <c r="H998"/>
  <c r="J998" s="1"/>
  <c r="I1007"/>
  <c r="G1009"/>
  <c r="J1009" s="1"/>
  <c r="H1014"/>
  <c r="I1044"/>
  <c r="G1048"/>
  <c r="I1052"/>
  <c r="G1056"/>
  <c r="I1060"/>
  <c r="G1064"/>
  <c r="I1068"/>
  <c r="I1094"/>
  <c r="G1098"/>
  <c r="I1102"/>
  <c r="I1115"/>
  <c r="G1119"/>
  <c r="I1133"/>
  <c r="G1139"/>
  <c r="G1149"/>
  <c r="I1153"/>
  <c r="G1157"/>
  <c r="I1161"/>
  <c r="G1165"/>
  <c r="I1182"/>
  <c r="G1186"/>
  <c r="G1189"/>
  <c r="I1206"/>
  <c r="G1210"/>
  <c r="I1214"/>
  <c r="I1232"/>
  <c r="G1236"/>
  <c r="G1242"/>
  <c r="I1246"/>
  <c r="I1278"/>
  <c r="G1018"/>
  <c r="H1018"/>
  <c r="G1026"/>
  <c r="H1026"/>
  <c r="G1034"/>
  <c r="H1034"/>
  <c r="G1040"/>
  <c r="H1040"/>
  <c r="G1074"/>
  <c r="H1074"/>
  <c r="G1082"/>
  <c r="H1082"/>
  <c r="G1090"/>
  <c r="H1090"/>
  <c r="H1111"/>
  <c r="I1111"/>
  <c r="G1129"/>
  <c r="H1129"/>
  <c r="G1138"/>
  <c r="H1138"/>
  <c r="G1148"/>
  <c r="H1148"/>
  <c r="G1170"/>
  <c r="H1170"/>
  <c r="G1178"/>
  <c r="H1178"/>
  <c r="G1194"/>
  <c r="H1194"/>
  <c r="G1202"/>
  <c r="H1202"/>
  <c r="G1220"/>
  <c r="H1220"/>
  <c r="G1228"/>
  <c r="H1228"/>
  <c r="G1262"/>
  <c r="H1262"/>
  <c r="I1262"/>
  <c r="H1272"/>
  <c r="I1272"/>
  <c r="G1277"/>
  <c r="H1277"/>
  <c r="I1277"/>
  <c r="H1285"/>
  <c r="I1285"/>
  <c r="G1290"/>
  <c r="H1290"/>
  <c r="G1299"/>
  <c r="H1299"/>
  <c r="I1299"/>
  <c r="G1322"/>
  <c r="H1322"/>
  <c r="G1331"/>
  <c r="H1331"/>
  <c r="I1331"/>
  <c r="G1354"/>
  <c r="H1354"/>
  <c r="G1363"/>
  <c r="H1363"/>
  <c r="I1363"/>
  <c r="G1386"/>
  <c r="H1386"/>
  <c r="G1416"/>
  <c r="H1416"/>
  <c r="I1416"/>
  <c r="G1425"/>
  <c r="H1425"/>
  <c r="I1425"/>
  <c r="G1459"/>
  <c r="H1459"/>
  <c r="I1459"/>
  <c r="G1463"/>
  <c r="H1463"/>
  <c r="I1463"/>
  <c r="H1467"/>
  <c r="G1467"/>
  <c r="I1467"/>
  <c r="G1473"/>
  <c r="H1473"/>
  <c r="I1473"/>
  <c r="H1484"/>
  <c r="G1484"/>
  <c r="I1484"/>
  <c r="H1524"/>
  <c r="G1524"/>
  <c r="I1524"/>
  <c r="H1530"/>
  <c r="G1530"/>
  <c r="I1530"/>
  <c r="H1554"/>
  <c r="G1554"/>
  <c r="I1554"/>
  <c r="G1559"/>
  <c r="H1559"/>
  <c r="H1589"/>
  <c r="G1589"/>
  <c r="I1589"/>
  <c r="H1256"/>
  <c r="I1256"/>
  <c r="H1266"/>
  <c r="I1266"/>
  <c r="G1274"/>
  <c r="H1274"/>
  <c r="G1287"/>
  <c r="H1287"/>
  <c r="G1295"/>
  <c r="H1295"/>
  <c r="G1303"/>
  <c r="H1303"/>
  <c r="G1311"/>
  <c r="H1311"/>
  <c r="G1319"/>
  <c r="H1319"/>
  <c r="G1327"/>
  <c r="H1327"/>
  <c r="G1335"/>
  <c r="H1335"/>
  <c r="G1343"/>
  <c r="H1343"/>
  <c r="G1351"/>
  <c r="H1351"/>
  <c r="G1359"/>
  <c r="H1359"/>
  <c r="G1367"/>
  <c r="H1367"/>
  <c r="G1375"/>
  <c r="H1375"/>
  <c r="I1383"/>
  <c r="G1383"/>
  <c r="H1383"/>
  <c r="H1388"/>
  <c r="I1388"/>
  <c r="G1403"/>
  <c r="H1403"/>
  <c r="I1403"/>
  <c r="G1405"/>
  <c r="H1405"/>
  <c r="I1405"/>
  <c r="G1413"/>
  <c r="H1413"/>
  <c r="I1413"/>
  <c r="G1417"/>
  <c r="H1417"/>
  <c r="I1417"/>
  <c r="G1440"/>
  <c r="H1440"/>
  <c r="H1521"/>
  <c r="G1521"/>
  <c r="I1521"/>
  <c r="H1583"/>
  <c r="G1583"/>
  <c r="I1583"/>
  <c r="G1612"/>
  <c r="H1612"/>
  <c r="H1640"/>
  <c r="G1640"/>
  <c r="I1640"/>
  <c r="H1251"/>
  <c r="I1259"/>
  <c r="G1263"/>
  <c r="I1275"/>
  <c r="H1288"/>
  <c r="J1288" s="1"/>
  <c r="H1296"/>
  <c r="H1304"/>
  <c r="H1312"/>
  <c r="H1320"/>
  <c r="J1320" s="1"/>
  <c r="H1328"/>
  <c r="H1336"/>
  <c r="H1344"/>
  <c r="H1352"/>
  <c r="J1352" s="1"/>
  <c r="H1360"/>
  <c r="H1368"/>
  <c r="H1376"/>
  <c r="I1386"/>
  <c r="H1407"/>
  <c r="H1448"/>
  <c r="I1461"/>
  <c r="I1631"/>
  <c r="H1268"/>
  <c r="I1268"/>
  <c r="H1281"/>
  <c r="I1281"/>
  <c r="G1395"/>
  <c r="H1395"/>
  <c r="G1432"/>
  <c r="H1432"/>
  <c r="G1441"/>
  <c r="H1441"/>
  <c r="I1441"/>
  <c r="H1471"/>
  <c r="G1471"/>
  <c r="I1471"/>
  <c r="H1510"/>
  <c r="G1510"/>
  <c r="I1510"/>
  <c r="G1527"/>
  <c r="H1527"/>
  <c r="H1548"/>
  <c r="G1548"/>
  <c r="I1548"/>
  <c r="H1556"/>
  <c r="G1556"/>
  <c r="I1556"/>
  <c r="G1562"/>
  <c r="I1562"/>
  <c r="H1591"/>
  <c r="G1591"/>
  <c r="I1591"/>
  <c r="H1597"/>
  <c r="G1597"/>
  <c r="I1597"/>
  <c r="G1615"/>
  <c r="H1615"/>
  <c r="H1626"/>
  <c r="G1626"/>
  <c r="I1626"/>
  <c r="H1634"/>
  <c r="G1634"/>
  <c r="I1634"/>
  <c r="G1639"/>
  <c r="H1639"/>
  <c r="H1648"/>
  <c r="G1648"/>
  <c r="I1648"/>
  <c r="G1392"/>
  <c r="H1392"/>
  <c r="G1400"/>
  <c r="H1400"/>
  <c r="G1421"/>
  <c r="H1421"/>
  <c r="G1429"/>
  <c r="H1429"/>
  <c r="G1437"/>
  <c r="H1437"/>
  <c r="G1445"/>
  <c r="H1445"/>
  <c r="G1454"/>
  <c r="H1454"/>
  <c r="I1464"/>
  <c r="G1464"/>
  <c r="H1464"/>
  <c r="G1483"/>
  <c r="H1483"/>
  <c r="H1486"/>
  <c r="G1486"/>
  <c r="H1492"/>
  <c r="G1492"/>
  <c r="I1492"/>
  <c r="H1532"/>
  <c r="G1532"/>
  <c r="H1538"/>
  <c r="G1538"/>
  <c r="I1538"/>
  <c r="H1565"/>
  <c r="G1565"/>
  <c r="I1565"/>
  <c r="G1596"/>
  <c r="H1596"/>
  <c r="H1599"/>
  <c r="G1599"/>
  <c r="H1605"/>
  <c r="G1605"/>
  <c r="I1605"/>
  <c r="H1624"/>
  <c r="G1624"/>
  <c r="I1624"/>
  <c r="H1642"/>
  <c r="G1642"/>
  <c r="G1647"/>
  <c r="H1647"/>
  <c r="I1288"/>
  <c r="I1292"/>
  <c r="I1296"/>
  <c r="I1300"/>
  <c r="I1304"/>
  <c r="I1308"/>
  <c r="I1312"/>
  <c r="I1316"/>
  <c r="I1320"/>
  <c r="I1324"/>
  <c r="I1328"/>
  <c r="I1332"/>
  <c r="I1336"/>
  <c r="I1340"/>
  <c r="I1344"/>
  <c r="I1348"/>
  <c r="I1352"/>
  <c r="I1356"/>
  <c r="I1360"/>
  <c r="I1364"/>
  <c r="I1368"/>
  <c r="I1372"/>
  <c r="I1376"/>
  <c r="I1380"/>
  <c r="H1393"/>
  <c r="J1393" s="1"/>
  <c r="H1401"/>
  <c r="H1422"/>
  <c r="H1430"/>
  <c r="J1430" s="1"/>
  <c r="H1438"/>
  <c r="H1446"/>
  <c r="I1507"/>
  <c r="H1551"/>
  <c r="I1553"/>
  <c r="I1588"/>
  <c r="I1639"/>
  <c r="G1410"/>
  <c r="H1410"/>
  <c r="G1451"/>
  <c r="H1451"/>
  <c r="G1466"/>
  <c r="H1466"/>
  <c r="I1466"/>
  <c r="G1481"/>
  <c r="H1481"/>
  <c r="G1491"/>
  <c r="H1491"/>
  <c r="H1494"/>
  <c r="G1494"/>
  <c r="H1519"/>
  <c r="G1519"/>
  <c r="I1519"/>
  <c r="H1540"/>
  <c r="G1540"/>
  <c r="H1546"/>
  <c r="G1546"/>
  <c r="I1546"/>
  <c r="H1567"/>
  <c r="G1567"/>
  <c r="H1573"/>
  <c r="G1573"/>
  <c r="I1573"/>
  <c r="H1580"/>
  <c r="G1580"/>
  <c r="I1580"/>
  <c r="G1604"/>
  <c r="H1604"/>
  <c r="H1607"/>
  <c r="G1607"/>
  <c r="I1613"/>
  <c r="G1613"/>
  <c r="H1616"/>
  <c r="G1616"/>
  <c r="I1616"/>
  <c r="G1623"/>
  <c r="H1623"/>
  <c r="H1632"/>
  <c r="G1632"/>
  <c r="I1632"/>
  <c r="H1650"/>
  <c r="G1650"/>
  <c r="H1656"/>
  <c r="G1656"/>
  <c r="H1385"/>
  <c r="I1399"/>
  <c r="H1411"/>
  <c r="J1411" s="1"/>
  <c r="I1420"/>
  <c r="I1428"/>
  <c r="I1483"/>
  <c r="I1514"/>
  <c r="G1514"/>
  <c r="G1654"/>
  <c r="I1654"/>
  <c r="I1393"/>
  <c r="I1397"/>
  <c r="I1401"/>
  <c r="I1407"/>
  <c r="I1411"/>
  <c r="I1418"/>
  <c r="I1422"/>
  <c r="I1426"/>
  <c r="I1430"/>
  <c r="I1434"/>
  <c r="I1438"/>
  <c r="I1442"/>
  <c r="I1446"/>
  <c r="I1448"/>
  <c r="I1452"/>
  <c r="H1456"/>
  <c r="J1456" s="1"/>
  <c r="I1458"/>
  <c r="I1468"/>
  <c r="G1470"/>
  <c r="J1470" s="1"/>
  <c r="H1475"/>
  <c r="H1478"/>
  <c r="J1478" s="1"/>
  <c r="I1480"/>
  <c r="I1489"/>
  <c r="I1497"/>
  <c r="I1505"/>
  <c r="I1513"/>
  <c r="I1516"/>
  <c r="I1527"/>
  <c r="I1535"/>
  <c r="I1543"/>
  <c r="I1551"/>
  <c r="I1559"/>
  <c r="I1570"/>
  <c r="I1577"/>
  <c r="I1586"/>
  <c r="I1594"/>
  <c r="I1602"/>
  <c r="I1610"/>
  <c r="I1621"/>
  <c r="I1629"/>
  <c r="I1637"/>
  <c r="I1645"/>
  <c r="I1653"/>
  <c r="G1523"/>
  <c r="I1523"/>
  <c r="I1655"/>
  <c r="G1655"/>
  <c r="G1455"/>
  <c r="I1456"/>
  <c r="H1460"/>
  <c r="I1470"/>
  <c r="I1472"/>
  <c r="G1474"/>
  <c r="J1474" s="1"/>
  <c r="I1475"/>
  <c r="G1477"/>
  <c r="I1478"/>
  <c r="H1482"/>
  <c r="I1487"/>
  <c r="I1490"/>
  <c r="I1495"/>
  <c r="I1498"/>
  <c r="I1503"/>
  <c r="I1506"/>
  <c r="I1511"/>
  <c r="I1517"/>
  <c r="I1522"/>
  <c r="I1525"/>
  <c r="I1528"/>
  <c r="I1533"/>
  <c r="I1536"/>
  <c r="I1541"/>
  <c r="I1544"/>
  <c r="I1549"/>
  <c r="I1552"/>
  <c r="I1557"/>
  <c r="I1560"/>
  <c r="I1563"/>
  <c r="I1568"/>
  <c r="I1571"/>
  <c r="I1575"/>
  <c r="I1578"/>
  <c r="I1584"/>
  <c r="I1587"/>
  <c r="I1592"/>
  <c r="I1595"/>
  <c r="I1600"/>
  <c r="I1603"/>
  <c r="I1611"/>
  <c r="G1485"/>
  <c r="G1489"/>
  <c r="G1493"/>
  <c r="G1497"/>
  <c r="J1497" s="1"/>
  <c r="G1503"/>
  <c r="J1503" s="1"/>
  <c r="G1507"/>
  <c r="G1511"/>
  <c r="J1511" s="1"/>
  <c r="G1518"/>
  <c r="G1522"/>
  <c r="G1525"/>
  <c r="J1525" s="1"/>
  <c r="G1529"/>
  <c r="G1533"/>
  <c r="G1537"/>
  <c r="G1541"/>
  <c r="J1541" s="1"/>
  <c r="G1545"/>
  <c r="G1549"/>
  <c r="J1549" s="1"/>
  <c r="G1553"/>
  <c r="G1557"/>
  <c r="J1557" s="1"/>
  <c r="G1561"/>
  <c r="G1564"/>
  <c r="G1568"/>
  <c r="J1568" s="1"/>
  <c r="G1572"/>
  <c r="G1575"/>
  <c r="J1575" s="1"/>
  <c r="G1579"/>
  <c r="G1582"/>
  <c r="G1586"/>
  <c r="G1590"/>
  <c r="G1594"/>
  <c r="G1598"/>
  <c r="G1602"/>
  <c r="G1606"/>
  <c r="G1610"/>
  <c r="J1610" s="1"/>
  <c r="G1621"/>
  <c r="J1621" s="1"/>
  <c r="G1625"/>
  <c r="G1629"/>
  <c r="G1633"/>
  <c r="G1637"/>
  <c r="G1641"/>
  <c r="G1645"/>
  <c r="G1649"/>
  <c r="G1653"/>
  <c r="J1653" s="1"/>
  <c r="I1657"/>
  <c r="H2" i="13"/>
  <c r="H35"/>
  <c r="I37"/>
  <c r="G39"/>
  <c r="H41"/>
  <c r="I43"/>
  <c r="I45"/>
  <c r="G47"/>
  <c r="H51"/>
  <c r="G53"/>
  <c r="I55"/>
  <c r="H57"/>
  <c r="I75"/>
  <c r="H77"/>
  <c r="H79"/>
  <c r="G83"/>
  <c r="G85"/>
  <c r="G108"/>
  <c r="H110"/>
  <c r="I112"/>
  <c r="G114"/>
  <c r="I172"/>
  <c r="I174"/>
  <c r="I176"/>
  <c r="I178"/>
  <c r="I180"/>
  <c r="I182"/>
  <c r="I184"/>
  <c r="I188"/>
  <c r="I190"/>
  <c r="I192"/>
  <c r="I194"/>
  <c r="I196"/>
  <c r="I198"/>
  <c r="H201"/>
  <c r="G203"/>
  <c r="I207"/>
  <c r="H209"/>
  <c r="G211"/>
  <c r="G213"/>
  <c r="I224"/>
  <c r="I228"/>
  <c r="I232"/>
  <c r="I236"/>
  <c r="I240"/>
  <c r="I244"/>
  <c r="I248"/>
  <c r="I252"/>
  <c r="I256"/>
  <c r="I260"/>
  <c r="G303"/>
  <c r="G305"/>
  <c r="I307"/>
  <c r="H309"/>
  <c r="G311"/>
  <c r="I315"/>
  <c r="H317"/>
  <c r="G319"/>
  <c r="G321"/>
  <c r="I323"/>
  <c r="H325"/>
  <c r="H369"/>
  <c r="G371"/>
  <c r="I375"/>
  <c r="H377"/>
  <c r="G379"/>
  <c r="I383"/>
  <c r="H385"/>
  <c r="I396"/>
  <c r="I398"/>
  <c r="I419"/>
  <c r="H421"/>
  <c r="G423"/>
  <c r="G425"/>
  <c r="I427"/>
  <c r="I508"/>
  <c r="I510"/>
  <c r="H532"/>
  <c r="G534"/>
  <c r="H536"/>
  <c r="I538"/>
  <c r="I540"/>
  <c r="I542"/>
  <c r="I544"/>
  <c r="H603"/>
  <c r="H605"/>
  <c r="I629"/>
  <c r="I631"/>
  <c r="H633"/>
  <c r="H635"/>
  <c r="I639"/>
  <c r="G641"/>
  <c r="G643"/>
  <c r="I645"/>
  <c r="H647"/>
  <c r="G649"/>
  <c r="G651"/>
  <c r="I653"/>
  <c r="G660"/>
  <c r="H662"/>
  <c r="H666"/>
  <c r="I668"/>
  <c r="I670"/>
  <c r="I672"/>
  <c r="I674"/>
  <c r="I677"/>
  <c r="G702"/>
  <c r="G704"/>
  <c r="H708"/>
  <c r="I710"/>
  <c r="I712"/>
  <c r="I714"/>
  <c r="I762"/>
  <c r="I766"/>
  <c r="I770"/>
  <c r="G772"/>
  <c r="G774"/>
  <c r="I829"/>
  <c r="I870"/>
  <c r="H874"/>
  <c r="I876"/>
  <c r="I878"/>
  <c r="G894"/>
  <c r="I896"/>
  <c r="H898"/>
  <c r="G902"/>
  <c r="I904"/>
  <c r="H906"/>
  <c r="G908"/>
  <c r="G910"/>
  <c r="H914"/>
  <c r="G916"/>
  <c r="H922"/>
  <c r="G924"/>
  <c r="I928"/>
  <c r="I967"/>
  <c r="I969"/>
  <c r="G972"/>
  <c r="I976"/>
  <c r="I980"/>
  <c r="H982"/>
  <c r="I984"/>
  <c r="G990"/>
  <c r="H992"/>
  <c r="G994"/>
  <c r="I1004"/>
  <c r="G1006"/>
  <c r="H1008"/>
  <c r="H1012"/>
  <c r="I1016"/>
  <c r="I1020"/>
  <c r="H1028"/>
  <c r="I1034"/>
  <c r="H1036"/>
  <c r="H1078"/>
  <c r="H1080"/>
  <c r="H1086"/>
  <c r="I1088"/>
  <c r="I1090"/>
  <c r="I1092"/>
  <c r="H1114"/>
  <c r="I1131"/>
  <c r="H1133"/>
  <c r="H1140"/>
  <c r="H1142"/>
  <c r="I1155"/>
  <c r="I1159"/>
  <c r="H1163"/>
  <c r="I1170"/>
  <c r="I1189"/>
  <c r="I1192"/>
  <c r="I1196"/>
  <c r="I1198"/>
  <c r="I1200"/>
  <c r="I1204"/>
  <c r="I1219"/>
  <c r="I1221"/>
  <c r="I1227"/>
  <c r="I1288"/>
  <c r="I1290"/>
  <c r="H1294"/>
  <c r="H1296"/>
  <c r="H1298"/>
  <c r="H1302"/>
  <c r="H1304"/>
  <c r="H1306"/>
  <c r="I1308"/>
  <c r="I1312"/>
  <c r="I1314"/>
  <c r="H1316"/>
  <c r="H1322"/>
  <c r="H1324"/>
  <c r="H1330"/>
  <c r="I1334"/>
  <c r="I1336"/>
  <c r="I1338"/>
  <c r="I1342"/>
  <c r="I1344"/>
  <c r="I1346"/>
  <c r="G1348"/>
  <c r="G1352"/>
  <c r="I1362"/>
  <c r="H1368"/>
  <c r="I1372"/>
  <c r="G1380"/>
  <c r="I1416"/>
  <c r="I1418"/>
  <c r="G1420"/>
  <c r="G1422"/>
  <c r="H1470"/>
  <c r="G1472"/>
  <c r="I1518"/>
  <c r="H1522"/>
  <c r="I1563"/>
  <c r="I1569"/>
  <c r="H1571"/>
  <c r="G1614"/>
  <c r="I1616"/>
  <c r="I1622"/>
  <c r="I1628"/>
  <c r="I1630"/>
  <c r="H1636"/>
  <c r="G1638"/>
  <c r="H1644"/>
  <c r="G1646"/>
  <c r="G1648"/>
  <c r="H1652"/>
  <c r="I1657"/>
  <c r="I3"/>
  <c r="I5"/>
  <c r="I7"/>
  <c r="I9"/>
  <c r="H12"/>
  <c r="H14"/>
  <c r="H16"/>
  <c r="H18"/>
  <c r="H20"/>
  <c r="H22"/>
  <c r="H24"/>
  <c r="I26"/>
  <c r="G28"/>
  <c r="H32"/>
  <c r="H64"/>
  <c r="G66"/>
  <c r="I68"/>
  <c r="H70"/>
  <c r="I72"/>
  <c r="H87"/>
  <c r="I89"/>
  <c r="G91"/>
  <c r="I97"/>
  <c r="H99"/>
  <c r="H101"/>
  <c r="I105"/>
  <c r="I120"/>
  <c r="H122"/>
  <c r="G124"/>
  <c r="I128"/>
  <c r="H130"/>
  <c r="G132"/>
  <c r="I137"/>
  <c r="I141"/>
  <c r="I143"/>
  <c r="I145"/>
  <c r="I149"/>
  <c r="I151"/>
  <c r="I153"/>
  <c r="I157"/>
  <c r="I159"/>
  <c r="I161"/>
  <c r="I165"/>
  <c r="I167"/>
  <c r="I169"/>
  <c r="I215"/>
  <c r="I217"/>
  <c r="H270"/>
  <c r="H272"/>
  <c r="H274"/>
  <c r="G276"/>
  <c r="H278"/>
  <c r="H280"/>
  <c r="H282"/>
  <c r="G284"/>
  <c r="H286"/>
  <c r="H288"/>
  <c r="H290"/>
  <c r="G292"/>
  <c r="H294"/>
  <c r="H296"/>
  <c r="H298"/>
  <c r="G300"/>
  <c r="I327"/>
  <c r="I329"/>
  <c r="I331"/>
  <c r="I333"/>
  <c r="I335"/>
  <c r="I337"/>
  <c r="I339"/>
  <c r="I341"/>
  <c r="I343"/>
  <c r="I345"/>
  <c r="I347"/>
  <c r="I349"/>
  <c r="I351"/>
  <c r="H356"/>
  <c r="H358"/>
  <c r="G360"/>
  <c r="H362"/>
  <c r="H364"/>
  <c r="I387"/>
  <c r="I389"/>
  <c r="I391"/>
  <c r="I393"/>
  <c r="H402"/>
  <c r="G404"/>
  <c r="H406"/>
  <c r="H408"/>
  <c r="H410"/>
  <c r="G412"/>
  <c r="H414"/>
  <c r="H416"/>
  <c r="I433"/>
  <c r="I437"/>
  <c r="I441"/>
  <c r="I445"/>
  <c r="I449"/>
  <c r="I453"/>
  <c r="I457"/>
  <c r="I461"/>
  <c r="I465"/>
  <c r="I469"/>
  <c r="I473"/>
  <c r="I477"/>
  <c r="I481"/>
  <c r="I485"/>
  <c r="H487"/>
  <c r="I491"/>
  <c r="H493"/>
  <c r="H495"/>
  <c r="I499"/>
  <c r="I503"/>
  <c r="I514"/>
  <c r="I518"/>
  <c r="I523"/>
  <c r="I525"/>
  <c r="I527"/>
  <c r="G529"/>
  <c r="I548"/>
  <c r="H550"/>
  <c r="H552"/>
  <c r="H554"/>
  <c r="I556"/>
  <c r="H558"/>
  <c r="I560"/>
  <c r="I562"/>
  <c r="I564"/>
  <c r="I566"/>
  <c r="I568"/>
  <c r="G570"/>
  <c r="I574"/>
  <c r="I578"/>
  <c r="I580"/>
  <c r="H582"/>
  <c r="H584"/>
  <c r="I588"/>
  <c r="H590"/>
  <c r="I592"/>
  <c r="I594"/>
  <c r="I596"/>
  <c r="I598"/>
  <c r="H607"/>
  <c r="G609"/>
  <c r="I611"/>
  <c r="I613"/>
  <c r="H617"/>
  <c r="G621"/>
  <c r="I623"/>
  <c r="G657"/>
  <c r="G679"/>
  <c r="I685"/>
  <c r="I687"/>
  <c r="I689"/>
  <c r="I693"/>
  <c r="I695"/>
  <c r="I720"/>
  <c r="I722"/>
  <c r="G734"/>
  <c r="G740"/>
  <c r="G742"/>
  <c r="G748"/>
  <c r="I750"/>
  <c r="I752"/>
  <c r="I756"/>
  <c r="G781"/>
  <c r="I785"/>
  <c r="H787"/>
  <c r="I789"/>
  <c r="G793"/>
  <c r="I795"/>
  <c r="H797"/>
  <c r="H812"/>
  <c r="H835"/>
  <c r="G844"/>
  <c r="G846"/>
  <c r="H850"/>
  <c r="G852"/>
  <c r="I858"/>
  <c r="I860"/>
  <c r="I867"/>
  <c r="I936"/>
  <c r="I938"/>
  <c r="I947"/>
  <c r="H949"/>
  <c r="G951"/>
  <c r="H953"/>
  <c r="H955"/>
  <c r="G960"/>
  <c r="H1045"/>
  <c r="H1047"/>
  <c r="G1049"/>
  <c r="H1051"/>
  <c r="I1055"/>
  <c r="H1057"/>
  <c r="I1063"/>
  <c r="H1065"/>
  <c r="I1069"/>
  <c r="G1071"/>
  <c r="G1107"/>
  <c r="H1124"/>
  <c r="H1128"/>
  <c r="H1146"/>
  <c r="I1182"/>
  <c r="I1184"/>
  <c r="I1186"/>
  <c r="I1208"/>
  <c r="I1212"/>
  <c r="I1216"/>
  <c r="G1231"/>
  <c r="G1235"/>
  <c r="I1246"/>
  <c r="H1248"/>
  <c r="H1253"/>
  <c r="I1260"/>
  <c r="I1274"/>
  <c r="I1276"/>
  <c r="G1396"/>
  <c r="H1398"/>
  <c r="H1400"/>
  <c r="I1411"/>
  <c r="I1459"/>
  <c r="H1478"/>
  <c r="I1480"/>
  <c r="H1486"/>
  <c r="H1494"/>
  <c r="I1496"/>
  <c r="H1507"/>
  <c r="H1530"/>
  <c r="H1538"/>
  <c r="G1540"/>
  <c r="H1546"/>
  <c r="G1548"/>
  <c r="H1550"/>
  <c r="I1556"/>
  <c r="I1558"/>
  <c r="I1575"/>
  <c r="I1581"/>
  <c r="I1583"/>
  <c r="I1589"/>
  <c r="I1591"/>
  <c r="G1601"/>
  <c r="G1603"/>
  <c r="G1609"/>
  <c r="G1611"/>
  <c r="I34"/>
  <c r="H36"/>
  <c r="H38"/>
  <c r="G40"/>
  <c r="I42"/>
  <c r="H44"/>
  <c r="H46"/>
  <c r="I48"/>
  <c r="I50"/>
  <c r="H52"/>
  <c r="I58"/>
  <c r="I61"/>
  <c r="I74"/>
  <c r="I76"/>
  <c r="G82"/>
  <c r="H84"/>
  <c r="G109"/>
  <c r="G111"/>
  <c r="H113"/>
  <c r="G115"/>
  <c r="I134"/>
  <c r="G173"/>
  <c r="H175"/>
  <c r="H177"/>
  <c r="H181"/>
  <c r="H183"/>
  <c r="G187"/>
  <c r="H189"/>
  <c r="H191"/>
  <c r="H197"/>
  <c r="I202"/>
  <c r="I206"/>
  <c r="I210"/>
  <c r="I212"/>
  <c r="I225"/>
  <c r="H227"/>
  <c r="G229"/>
  <c r="I233"/>
  <c r="H235"/>
  <c r="G237"/>
  <c r="I241"/>
  <c r="H243"/>
  <c r="G245"/>
  <c r="I249"/>
  <c r="H251"/>
  <c r="G253"/>
  <c r="I257"/>
  <c r="H259"/>
  <c r="G261"/>
  <c r="I302"/>
  <c r="I304"/>
  <c r="I306"/>
  <c r="I310"/>
  <c r="I314"/>
  <c r="I318"/>
  <c r="I320"/>
  <c r="I322"/>
  <c r="I370"/>
  <c r="I374"/>
  <c r="I378"/>
  <c r="I382"/>
  <c r="H395"/>
  <c r="G397"/>
  <c r="G399"/>
  <c r="I418"/>
  <c r="I422"/>
  <c r="I424"/>
  <c r="I426"/>
  <c r="G509"/>
  <c r="I511"/>
  <c r="I531"/>
  <c r="I533"/>
  <c r="I535"/>
  <c r="I537"/>
  <c r="G539"/>
  <c r="H541"/>
  <c r="H543"/>
  <c r="I604"/>
  <c r="I634"/>
  <c r="G638"/>
  <c r="I642"/>
  <c r="I644"/>
  <c r="I648"/>
  <c r="I650"/>
  <c r="I652"/>
  <c r="I661"/>
  <c r="I667"/>
  <c r="G669"/>
  <c r="I697"/>
  <c r="I701"/>
  <c r="I703"/>
  <c r="I705"/>
  <c r="H709"/>
  <c r="G711"/>
  <c r="G713"/>
  <c r="H717"/>
  <c r="H765"/>
  <c r="G767"/>
  <c r="G769"/>
  <c r="I771"/>
  <c r="I773"/>
  <c r="G828"/>
  <c r="I839"/>
  <c r="G869"/>
  <c r="G877"/>
  <c r="I885"/>
  <c r="H891"/>
  <c r="H899"/>
  <c r="I901"/>
  <c r="I903"/>
  <c r="I907"/>
  <c r="I911"/>
  <c r="I915"/>
  <c r="I917"/>
  <c r="I919"/>
  <c r="I923"/>
  <c r="I929"/>
  <c r="I957"/>
  <c r="G966"/>
  <c r="H968"/>
  <c r="I975"/>
  <c r="G981"/>
  <c r="I985"/>
  <c r="H987"/>
  <c r="I989"/>
  <c r="I991"/>
  <c r="I1005"/>
  <c r="I1007"/>
  <c r="H1017"/>
  <c r="I1021"/>
  <c r="H1027"/>
  <c r="H1035"/>
  <c r="H1038"/>
  <c r="I1073"/>
  <c r="I1075"/>
  <c r="I1079"/>
  <c r="I1081"/>
  <c r="I1083"/>
  <c r="I1087"/>
  <c r="H1091"/>
  <c r="I1113"/>
  <c r="I1117"/>
  <c r="I1119"/>
  <c r="H1132"/>
  <c r="I1139"/>
  <c r="G1156"/>
  <c r="G1160"/>
  <c r="I1164"/>
  <c r="G1171"/>
  <c r="H1193"/>
  <c r="H1201"/>
  <c r="H1220"/>
  <c r="H1228"/>
  <c r="H1257"/>
  <c r="H1291"/>
  <c r="H1295"/>
  <c r="I1297"/>
  <c r="I1299"/>
  <c r="H1303"/>
  <c r="I1305"/>
  <c r="I1307"/>
  <c r="H1309"/>
  <c r="H1311"/>
  <c r="I1315"/>
  <c r="H1317"/>
  <c r="I1323"/>
  <c r="H1325"/>
  <c r="I1331"/>
  <c r="H1339"/>
  <c r="H1347"/>
  <c r="I1351"/>
  <c r="H1355"/>
  <c r="G1359"/>
  <c r="G1367"/>
  <c r="H1369"/>
  <c r="H1371"/>
  <c r="I1373"/>
  <c r="I1375"/>
  <c r="I1381"/>
  <c r="G1383"/>
  <c r="I1415"/>
  <c r="I1419"/>
  <c r="I1423"/>
  <c r="G1427"/>
  <c r="I1433"/>
  <c r="G1435"/>
  <c r="I1441"/>
  <c r="I1443"/>
  <c r="I1445"/>
  <c r="I1448"/>
  <c r="I1450"/>
  <c r="I1465"/>
  <c r="I1471"/>
  <c r="I1473"/>
  <c r="H1475"/>
  <c r="I1515"/>
  <c r="H1517"/>
  <c r="G1519"/>
  <c r="H1566"/>
  <c r="H1568"/>
  <c r="G1621"/>
  <c r="G1623"/>
  <c r="G1629"/>
  <c r="G1631"/>
  <c r="I1637"/>
  <c r="I1639"/>
  <c r="I1641"/>
  <c r="I1645"/>
  <c r="I1647"/>
  <c r="I1649"/>
  <c r="H1653"/>
  <c r="G1656"/>
  <c r="H4"/>
  <c r="H6"/>
  <c r="H8"/>
  <c r="I13"/>
  <c r="I15"/>
  <c r="I17"/>
  <c r="I19"/>
  <c r="I21"/>
  <c r="I23"/>
  <c r="I25"/>
  <c r="H27"/>
  <c r="I29"/>
  <c r="I31"/>
  <c r="I63"/>
  <c r="G65"/>
  <c r="I71"/>
  <c r="G88"/>
  <c r="H90"/>
  <c r="G92"/>
  <c r="I94"/>
  <c r="H96"/>
  <c r="I98"/>
  <c r="I100"/>
  <c r="G102"/>
  <c r="G104"/>
  <c r="H106"/>
  <c r="G117"/>
  <c r="I119"/>
  <c r="I123"/>
  <c r="I127"/>
  <c r="I131"/>
  <c r="G136"/>
  <c r="I138"/>
  <c r="G142"/>
  <c r="G144"/>
  <c r="I146"/>
  <c r="G150"/>
  <c r="G152"/>
  <c r="I154"/>
  <c r="G158"/>
  <c r="G160"/>
  <c r="I162"/>
  <c r="G166"/>
  <c r="G168"/>
  <c r="H216"/>
  <c r="H266"/>
  <c r="I269"/>
  <c r="I271"/>
  <c r="I275"/>
  <c r="I277"/>
  <c r="I279"/>
  <c r="I281"/>
  <c r="I283"/>
  <c r="I285"/>
  <c r="I287"/>
  <c r="I291"/>
  <c r="I293"/>
  <c r="I295"/>
  <c r="I297"/>
  <c r="I299"/>
  <c r="H328"/>
  <c r="H330"/>
  <c r="G334"/>
  <c r="H336"/>
  <c r="H338"/>
  <c r="H340"/>
  <c r="G342"/>
  <c r="H344"/>
  <c r="H346"/>
  <c r="G350"/>
  <c r="H352"/>
  <c r="I355"/>
  <c r="I357"/>
  <c r="I359"/>
  <c r="I361"/>
  <c r="I363"/>
  <c r="I365"/>
  <c r="H388"/>
  <c r="I401"/>
  <c r="I403"/>
  <c r="I405"/>
  <c r="I407"/>
  <c r="I411"/>
  <c r="I413"/>
  <c r="I415"/>
  <c r="H432"/>
  <c r="H434"/>
  <c r="I438"/>
  <c r="H440"/>
  <c r="H442"/>
  <c r="I446"/>
  <c r="H448"/>
  <c r="H450"/>
  <c r="I454"/>
  <c r="H456"/>
  <c r="H458"/>
  <c r="I462"/>
  <c r="H464"/>
  <c r="H466"/>
  <c r="I470"/>
  <c r="H472"/>
  <c r="H474"/>
  <c r="I478"/>
  <c r="H480"/>
  <c r="H482"/>
  <c r="I486"/>
  <c r="I490"/>
  <c r="I494"/>
  <c r="I498"/>
  <c r="H500"/>
  <c r="I504"/>
  <c r="H506"/>
  <c r="I515"/>
  <c r="H517"/>
  <c r="H519"/>
  <c r="H522"/>
  <c r="G526"/>
  <c r="H528"/>
  <c r="I551"/>
  <c r="I555"/>
  <c r="I559"/>
  <c r="H561"/>
  <c r="H563"/>
  <c r="H569"/>
  <c r="I573"/>
  <c r="G575"/>
  <c r="G577"/>
  <c r="I583"/>
  <c r="I587"/>
  <c r="I591"/>
  <c r="H593"/>
  <c r="H595"/>
  <c r="G599"/>
  <c r="I601"/>
  <c r="I608"/>
  <c r="G610"/>
  <c r="I618"/>
  <c r="G624"/>
  <c r="I656"/>
  <c r="I658"/>
  <c r="I680"/>
  <c r="H684"/>
  <c r="G686"/>
  <c r="G688"/>
  <c r="G694"/>
  <c r="G719"/>
  <c r="I723"/>
  <c r="I731"/>
  <c r="G735"/>
  <c r="I739"/>
  <c r="I741"/>
  <c r="I747"/>
  <c r="G749"/>
  <c r="H755"/>
  <c r="G757"/>
  <c r="I784"/>
  <c r="G788"/>
  <c r="H794"/>
  <c r="G796"/>
  <c r="H807"/>
  <c r="G811"/>
  <c r="I813"/>
  <c r="H815"/>
  <c r="I843"/>
  <c r="I847"/>
  <c r="I851"/>
  <c r="H855"/>
  <c r="G859"/>
  <c r="H866"/>
  <c r="G937"/>
  <c r="I948"/>
  <c r="I950"/>
  <c r="I954"/>
  <c r="G959"/>
  <c r="H961"/>
  <c r="I1044"/>
  <c r="H1046"/>
  <c r="I1048"/>
  <c r="I1050"/>
  <c r="G1052"/>
  <c r="G1054"/>
  <c r="H1056"/>
  <c r="I1058"/>
  <c r="I1060"/>
  <c r="G1062"/>
  <c r="H1064"/>
  <c r="I1066"/>
  <c r="G1070"/>
  <c r="I1110"/>
  <c r="I1125"/>
  <c r="I1145"/>
  <c r="I1147"/>
  <c r="G1209"/>
  <c r="G1213"/>
  <c r="I1230"/>
  <c r="I1234"/>
  <c r="H1239"/>
  <c r="H1245"/>
  <c r="H1247"/>
  <c r="I1252"/>
  <c r="I1254"/>
  <c r="H1259"/>
  <c r="H1263"/>
  <c r="H1265"/>
  <c r="H1275"/>
  <c r="I1385"/>
  <c r="I1393"/>
  <c r="H1397"/>
  <c r="G1406"/>
  <c r="I1410"/>
  <c r="I1412"/>
  <c r="I1456"/>
  <c r="I1460"/>
  <c r="H1483"/>
  <c r="I1489"/>
  <c r="H1491"/>
  <c r="H1502"/>
  <c r="H1506"/>
  <c r="H1525"/>
  <c r="I1527"/>
  <c r="I1531"/>
  <c r="H1533"/>
  <c r="I1539"/>
  <c r="I1541"/>
  <c r="H1543"/>
  <c r="I1547"/>
  <c r="I1549"/>
  <c r="I1551"/>
  <c r="G1557"/>
  <c r="H1582"/>
  <c r="H1590"/>
  <c r="I1600"/>
  <c r="I1602"/>
  <c r="I1608"/>
  <c r="I1610"/>
  <c r="I1426"/>
  <c r="I1428"/>
  <c r="H1432"/>
  <c r="I1434"/>
  <c r="I1440"/>
  <c r="G1442"/>
  <c r="I1446"/>
  <c r="H1656"/>
  <c r="G1649"/>
  <c r="G1655"/>
  <c r="H1646"/>
  <c r="H1655"/>
  <c r="I1656"/>
  <c r="I109"/>
  <c r="G583"/>
  <c r="G818"/>
  <c r="G1635"/>
  <c r="G914"/>
  <c r="G918"/>
  <c r="G932"/>
  <c r="G936"/>
  <c r="G1021"/>
  <c r="G1269"/>
  <c r="G1294"/>
  <c r="G1455"/>
  <c r="G1645"/>
  <c r="H1645"/>
  <c r="G502"/>
  <c r="G655"/>
  <c r="G832"/>
  <c r="G855"/>
  <c r="G860"/>
  <c r="G907"/>
  <c r="G362"/>
  <c r="H397"/>
  <c r="I782"/>
  <c r="H17"/>
  <c r="H19"/>
  <c r="H23"/>
  <c r="H39"/>
  <c r="H521"/>
  <c r="H1418"/>
  <c r="G201"/>
  <c r="G265"/>
  <c r="I412"/>
  <c r="G422"/>
  <c r="G484"/>
  <c r="G493"/>
  <c r="G507"/>
  <c r="G684"/>
  <c r="G783"/>
  <c r="G824"/>
  <c r="G878"/>
  <c r="G886"/>
  <c r="H908"/>
  <c r="H960"/>
  <c r="G1334"/>
  <c r="G1384"/>
  <c r="G1510"/>
  <c r="G1529"/>
  <c r="G1533"/>
  <c r="G1586"/>
  <c r="G1594"/>
  <c r="G2"/>
  <c r="H3"/>
  <c r="G7"/>
  <c r="I312"/>
  <c r="H485"/>
  <c r="G489"/>
  <c r="G525"/>
  <c r="H641"/>
  <c r="G903"/>
  <c r="G911"/>
  <c r="G1008"/>
  <c r="I1061"/>
  <c r="H1063"/>
  <c r="G1083"/>
  <c r="G1192"/>
  <c r="G1391"/>
  <c r="H1406"/>
  <c r="I1520"/>
  <c r="G1522"/>
  <c r="H42"/>
  <c r="G106"/>
  <c r="G309"/>
  <c r="G353"/>
  <c r="G595"/>
  <c r="H680"/>
  <c r="H767"/>
  <c r="G1028"/>
  <c r="H1205"/>
  <c r="H1373"/>
  <c r="H1540"/>
  <c r="H461"/>
  <c r="G530"/>
  <c r="G582"/>
  <c r="I609"/>
  <c r="G759"/>
  <c r="G770"/>
  <c r="G778"/>
  <c r="H818"/>
  <c r="H824"/>
  <c r="H860"/>
  <c r="G873"/>
  <c r="H903"/>
  <c r="G906"/>
  <c r="H907"/>
  <c r="H911"/>
  <c r="G943"/>
  <c r="G1007"/>
  <c r="H1052"/>
  <c r="G1205"/>
  <c r="I1231"/>
  <c r="H1384"/>
  <c r="I1421"/>
  <c r="H1427"/>
  <c r="H1440"/>
  <c r="H618"/>
  <c r="I114"/>
  <c r="I132"/>
  <c r="G134"/>
  <c r="H188"/>
  <c r="H310"/>
  <c r="G349"/>
  <c r="H379"/>
  <c r="H423"/>
  <c r="H433"/>
  <c r="H526"/>
  <c r="G618"/>
  <c r="H693"/>
  <c r="H722"/>
  <c r="G739"/>
  <c r="H781"/>
  <c r="H784"/>
  <c r="G787"/>
  <c r="G807"/>
  <c r="G1092"/>
  <c r="G1132"/>
  <c r="H1174"/>
  <c r="H1189"/>
  <c r="G1212"/>
  <c r="G1247"/>
  <c r="G1400"/>
  <c r="G1445"/>
  <c r="G1496"/>
  <c r="G1550"/>
  <c r="H1591"/>
  <c r="H1600"/>
  <c r="I1601"/>
  <c r="G12"/>
  <c r="I87"/>
  <c r="I106"/>
  <c r="G137"/>
  <c r="G188"/>
  <c r="G191"/>
  <c r="G199"/>
  <c r="H265"/>
  <c r="G382"/>
  <c r="H386"/>
  <c r="G392"/>
  <c r="G396"/>
  <c r="G440"/>
  <c r="G473"/>
  <c r="H575"/>
  <c r="H583"/>
  <c r="I694"/>
  <c r="H696"/>
  <c r="H740"/>
  <c r="G766"/>
  <c r="G784"/>
  <c r="I951"/>
  <c r="H1007"/>
  <c r="G1012"/>
  <c r="H1021"/>
  <c r="G1051"/>
  <c r="G1142"/>
  <c r="I1172"/>
  <c r="G1174"/>
  <c r="G1176"/>
  <c r="G1189"/>
  <c r="G1253"/>
  <c r="G1346"/>
  <c r="G1350"/>
  <c r="H1360"/>
  <c r="G1390"/>
  <c r="H1396"/>
  <c r="G1418"/>
  <c r="H1426"/>
  <c r="G1490"/>
  <c r="G1591"/>
  <c r="G1600"/>
  <c r="H1601"/>
  <c r="G1620"/>
  <c r="H490"/>
  <c r="I955"/>
  <c r="H1254"/>
  <c r="G67"/>
  <c r="I69"/>
  <c r="I70"/>
  <c r="G77"/>
  <c r="I81"/>
  <c r="I84"/>
  <c r="G86"/>
  <c r="I91"/>
  <c r="G94"/>
  <c r="G118"/>
  <c r="G169"/>
  <c r="G248"/>
  <c r="G274"/>
  <c r="H283"/>
  <c r="I284"/>
  <c r="H295"/>
  <c r="H371"/>
  <c r="G415"/>
  <c r="G441"/>
  <c r="G490"/>
  <c r="G494"/>
  <c r="H510"/>
  <c r="G532"/>
  <c r="H533"/>
  <c r="I534"/>
  <c r="H537"/>
  <c r="G542"/>
  <c r="H624"/>
  <c r="I649"/>
  <c r="H652"/>
  <c r="H661"/>
  <c r="G666"/>
  <c r="I675"/>
  <c r="H685"/>
  <c r="H701"/>
  <c r="H705"/>
  <c r="I759"/>
  <c r="H762"/>
  <c r="H829"/>
  <c r="G847"/>
  <c r="G947"/>
  <c r="H956"/>
  <c r="I971"/>
  <c r="G976"/>
  <c r="G1015"/>
  <c r="H1060"/>
  <c r="G1079"/>
  <c r="G1094"/>
  <c r="G1098"/>
  <c r="G1102"/>
  <c r="G1121"/>
  <c r="G1166"/>
  <c r="G1170"/>
  <c r="G1182"/>
  <c r="I1210"/>
  <c r="I1213"/>
  <c r="G1254"/>
  <c r="I1269"/>
  <c r="H1271"/>
  <c r="G1278"/>
  <c r="G1286"/>
  <c r="G1306"/>
  <c r="I1355"/>
  <c r="G1374"/>
  <c r="H1385"/>
  <c r="G1415"/>
  <c r="G1419"/>
  <c r="G1441"/>
  <c r="G1460"/>
  <c r="H1499"/>
  <c r="I1620"/>
  <c r="I1621"/>
  <c r="H1415"/>
  <c r="G30"/>
  <c r="I51"/>
  <c r="I53"/>
  <c r="G70"/>
  <c r="G71"/>
  <c r="H75"/>
  <c r="H91"/>
  <c r="H131"/>
  <c r="H134"/>
  <c r="G161"/>
  <c r="G180"/>
  <c r="G206"/>
  <c r="G216"/>
  <c r="G228"/>
  <c r="H261"/>
  <c r="G270"/>
  <c r="G283"/>
  <c r="H284"/>
  <c r="G294"/>
  <c r="G295"/>
  <c r="G298"/>
  <c r="G302"/>
  <c r="G328"/>
  <c r="G367"/>
  <c r="G374"/>
  <c r="H404"/>
  <c r="H473"/>
  <c r="I507"/>
  <c r="G510"/>
  <c r="I530"/>
  <c r="G533"/>
  <c r="H534"/>
  <c r="H538"/>
  <c r="H551"/>
  <c r="G574"/>
  <c r="H604"/>
  <c r="H608"/>
  <c r="G634"/>
  <c r="G652"/>
  <c r="G661"/>
  <c r="G662"/>
  <c r="G675"/>
  <c r="I702"/>
  <c r="G705"/>
  <c r="H710"/>
  <c r="G762"/>
  <c r="G765"/>
  <c r="H766"/>
  <c r="H770"/>
  <c r="G829"/>
  <c r="I845"/>
  <c r="G850"/>
  <c r="H943"/>
  <c r="G948"/>
  <c r="G956"/>
  <c r="H971"/>
  <c r="H1050"/>
  <c r="G1060"/>
  <c r="G1063"/>
  <c r="G1117"/>
  <c r="G1154"/>
  <c r="G1158"/>
  <c r="G1162"/>
  <c r="H1171"/>
  <c r="G1188"/>
  <c r="G1204"/>
  <c r="G1230"/>
  <c r="G1271"/>
  <c r="G1275"/>
  <c r="G1311"/>
  <c r="G1324"/>
  <c r="G1338"/>
  <c r="I1349"/>
  <c r="G1362"/>
  <c r="G1426"/>
  <c r="H1442"/>
  <c r="H1445"/>
  <c r="G1478"/>
  <c r="G1499"/>
  <c r="G1501"/>
  <c r="G1539"/>
  <c r="G1563"/>
  <c r="H1621"/>
  <c r="H31"/>
  <c r="H119"/>
  <c r="H217"/>
  <c r="H271"/>
  <c r="H299"/>
  <c r="I300"/>
  <c r="H329"/>
  <c r="H363"/>
  <c r="I863"/>
  <c r="H1016"/>
  <c r="I1235"/>
  <c r="H1307"/>
  <c r="H1308"/>
  <c r="H1312"/>
  <c r="H1551"/>
  <c r="H1556"/>
  <c r="I1557"/>
  <c r="H1575"/>
  <c r="H1637"/>
  <c r="G3"/>
  <c r="H15"/>
  <c r="G20"/>
  <c r="G31"/>
  <c r="G45"/>
  <c r="G49"/>
  <c r="H50"/>
  <c r="G55"/>
  <c r="G61"/>
  <c r="H65"/>
  <c r="H68"/>
  <c r="H71"/>
  <c r="H78"/>
  <c r="H80"/>
  <c r="H82"/>
  <c r="I86"/>
  <c r="H89"/>
  <c r="I92"/>
  <c r="H102"/>
  <c r="G112"/>
  <c r="G119"/>
  <c r="G153"/>
  <c r="G172"/>
  <c r="G196"/>
  <c r="G202"/>
  <c r="H210"/>
  <c r="I211"/>
  <c r="I214"/>
  <c r="G217"/>
  <c r="H219"/>
  <c r="H229"/>
  <c r="G244"/>
  <c r="I268"/>
  <c r="G271"/>
  <c r="G275"/>
  <c r="H276"/>
  <c r="G291"/>
  <c r="G299"/>
  <c r="H300"/>
  <c r="H303"/>
  <c r="I311"/>
  <c r="G313"/>
  <c r="G318"/>
  <c r="I326"/>
  <c r="G329"/>
  <c r="G332"/>
  <c r="H333"/>
  <c r="I334"/>
  <c r="H345"/>
  <c r="I350"/>
  <c r="G355"/>
  <c r="G363"/>
  <c r="G366"/>
  <c r="I367"/>
  <c r="G369"/>
  <c r="G377"/>
  <c r="G385"/>
  <c r="G388"/>
  <c r="H393"/>
  <c r="G406"/>
  <c r="G418"/>
  <c r="G444"/>
  <c r="H445"/>
  <c r="H449"/>
  <c r="G469"/>
  <c r="H486"/>
  <c r="H503"/>
  <c r="H559"/>
  <c r="G567"/>
  <c r="H570"/>
  <c r="H578"/>
  <c r="G601"/>
  <c r="I610"/>
  <c r="G647"/>
  <c r="H656"/>
  <c r="H668"/>
  <c r="H677"/>
  <c r="I686"/>
  <c r="G689"/>
  <c r="G697"/>
  <c r="G708"/>
  <c r="I718"/>
  <c r="G751"/>
  <c r="H756"/>
  <c r="I772"/>
  <c r="H801"/>
  <c r="G815"/>
  <c r="G839"/>
  <c r="H840"/>
  <c r="G843"/>
  <c r="G851"/>
  <c r="H863"/>
  <c r="G866"/>
  <c r="H867"/>
  <c r="I893"/>
  <c r="G898"/>
  <c r="G915"/>
  <c r="H916"/>
  <c r="H919"/>
  <c r="H923"/>
  <c r="G928"/>
  <c r="H937"/>
  <c r="G949"/>
  <c r="H967"/>
  <c r="G985"/>
  <c r="H990"/>
  <c r="H994"/>
  <c r="G1016"/>
  <c r="G1017"/>
  <c r="I1036"/>
  <c r="G1046"/>
  <c r="G1055"/>
  <c r="G1064"/>
  <c r="G1075"/>
  <c r="G1086"/>
  <c r="H1087"/>
  <c r="H1088"/>
  <c r="I1107"/>
  <c r="H1110"/>
  <c r="G1124"/>
  <c r="H1125"/>
  <c r="H1130"/>
  <c r="G1139"/>
  <c r="H1143"/>
  <c r="G1146"/>
  <c r="H1147"/>
  <c r="G1155"/>
  <c r="H1156"/>
  <c r="G1159"/>
  <c r="I1160"/>
  <c r="G1200"/>
  <c r="G1208"/>
  <c r="G1216"/>
  <c r="G1219"/>
  <c r="G1234"/>
  <c r="H1235"/>
  <c r="G1239"/>
  <c r="G1259"/>
  <c r="H1260"/>
  <c r="G1276"/>
  <c r="H1282"/>
  <c r="G1290"/>
  <c r="G1298"/>
  <c r="H1299"/>
  <c r="G1307"/>
  <c r="G1308"/>
  <c r="G1312"/>
  <c r="G1342"/>
  <c r="I1348"/>
  <c r="H1351"/>
  <c r="G1371"/>
  <c r="I1390"/>
  <c r="G1393"/>
  <c r="G1411"/>
  <c r="H1420"/>
  <c r="G1428"/>
  <c r="G1456"/>
  <c r="H1471"/>
  <c r="I1472"/>
  <c r="G1518"/>
  <c r="G1547"/>
  <c r="G1551"/>
  <c r="G1556"/>
  <c r="H1557"/>
  <c r="G1566"/>
  <c r="G1575"/>
  <c r="G1582"/>
  <c r="H1583"/>
  <c r="H1608"/>
  <c r="I1609"/>
  <c r="H1628"/>
  <c r="I1629"/>
  <c r="G1636"/>
  <c r="G1637"/>
  <c r="H1638"/>
  <c r="H1641"/>
  <c r="H275"/>
  <c r="I276"/>
  <c r="H355"/>
  <c r="H689"/>
  <c r="H697"/>
  <c r="H839"/>
  <c r="I840"/>
  <c r="H915"/>
  <c r="I1046"/>
  <c r="H1139"/>
  <c r="I1143"/>
  <c r="H1155"/>
  <c r="I1156"/>
  <c r="H1159"/>
  <c r="H1216"/>
  <c r="H1234"/>
  <c r="H1276"/>
  <c r="H25"/>
  <c r="I32"/>
  <c r="G50"/>
  <c r="G113"/>
  <c r="G122"/>
  <c r="G145"/>
  <c r="H173"/>
  <c r="H176"/>
  <c r="G184"/>
  <c r="H203"/>
  <c r="G210"/>
  <c r="H211"/>
  <c r="G214"/>
  <c r="H221"/>
  <c r="G232"/>
  <c r="H245"/>
  <c r="G260"/>
  <c r="G268"/>
  <c r="G282"/>
  <c r="H287"/>
  <c r="I289"/>
  <c r="H292"/>
  <c r="H314"/>
  <c r="H319"/>
  <c r="G326"/>
  <c r="G333"/>
  <c r="H334"/>
  <c r="I353"/>
  <c r="G370"/>
  <c r="G378"/>
  <c r="G403"/>
  <c r="H411"/>
  <c r="G414"/>
  <c r="G421"/>
  <c r="H422"/>
  <c r="I423"/>
  <c r="H426"/>
  <c r="H430"/>
  <c r="G437"/>
  <c r="G445"/>
  <c r="G448"/>
  <c r="G449"/>
  <c r="G460"/>
  <c r="H465"/>
  <c r="G472"/>
  <c r="H518"/>
  <c r="G524"/>
  <c r="H525"/>
  <c r="I526"/>
  <c r="H555"/>
  <c r="H560"/>
  <c r="G563"/>
  <c r="H568"/>
  <c r="G573"/>
  <c r="G617"/>
  <c r="G623"/>
  <c r="H648"/>
  <c r="I657"/>
  <c r="I659"/>
  <c r="G672"/>
  <c r="G677"/>
  <c r="G692"/>
  <c r="G700"/>
  <c r="G718"/>
  <c r="G721"/>
  <c r="H752"/>
  <c r="G801"/>
  <c r="I810"/>
  <c r="G835"/>
  <c r="H844"/>
  <c r="H852"/>
  <c r="G867"/>
  <c r="G870"/>
  <c r="G881"/>
  <c r="G919"/>
  <c r="G922"/>
  <c r="G923"/>
  <c r="H924"/>
  <c r="G929"/>
  <c r="G940"/>
  <c r="G953"/>
  <c r="H959"/>
  <c r="G967"/>
  <c r="G968"/>
  <c r="H1005"/>
  <c r="H1031"/>
  <c r="G1033"/>
  <c r="G1036"/>
  <c r="G1038"/>
  <c r="G1047"/>
  <c r="G1050"/>
  <c r="G1056"/>
  <c r="G1078"/>
  <c r="H1079"/>
  <c r="G1087"/>
  <c r="G1088"/>
  <c r="G1091"/>
  <c r="H1092"/>
  <c r="G1110"/>
  <c r="G1113"/>
  <c r="G1125"/>
  <c r="G1128"/>
  <c r="G1130"/>
  <c r="G1147"/>
  <c r="G1149"/>
  <c r="I1157"/>
  <c r="H1170"/>
  <c r="I1171"/>
  <c r="H1176"/>
  <c r="G1186"/>
  <c r="G1196"/>
  <c r="H1209"/>
  <c r="G1227"/>
  <c r="I1236"/>
  <c r="G1260"/>
  <c r="G1263"/>
  <c r="G1282"/>
  <c r="H1286"/>
  <c r="G1299"/>
  <c r="G1302"/>
  <c r="G1316"/>
  <c r="H1348"/>
  <c r="G1351"/>
  <c r="I1352"/>
  <c r="G1354"/>
  <c r="I1359"/>
  <c r="G1386"/>
  <c r="I1391"/>
  <c r="G1412"/>
  <c r="G1423"/>
  <c r="G1440"/>
  <c r="H1441"/>
  <c r="G1471"/>
  <c r="H1472"/>
  <c r="G1482"/>
  <c r="G1506"/>
  <c r="H1519"/>
  <c r="G1525"/>
  <c r="H1539"/>
  <c r="I1540"/>
  <c r="H1548"/>
  <c r="G1571"/>
  <c r="G1578"/>
  <c r="G1583"/>
  <c r="G1590"/>
  <c r="G1599"/>
  <c r="G1608"/>
  <c r="H1609"/>
  <c r="G1628"/>
  <c r="H1629"/>
  <c r="G1641"/>
  <c r="G1644"/>
  <c r="G1652"/>
  <c r="H725"/>
  <c r="G725"/>
  <c r="I730"/>
  <c r="H730"/>
  <c r="H733"/>
  <c r="G733"/>
  <c r="I775"/>
  <c r="H775"/>
  <c r="I780"/>
  <c r="H780"/>
  <c r="I808"/>
  <c r="G808"/>
  <c r="I816"/>
  <c r="G816"/>
  <c r="H816"/>
  <c r="I836"/>
  <c r="G836"/>
  <c r="G875"/>
  <c r="H875"/>
  <c r="I882"/>
  <c r="G882"/>
  <c r="I887"/>
  <c r="G887"/>
  <c r="I895"/>
  <c r="G895"/>
  <c r="I933"/>
  <c r="G933"/>
  <c r="I941"/>
  <c r="G941"/>
  <c r="G1003"/>
  <c r="H1003"/>
  <c r="G1072"/>
  <c r="H1072"/>
  <c r="H1074"/>
  <c r="G1074"/>
  <c r="I1099"/>
  <c r="G1099"/>
  <c r="H1099"/>
  <c r="I1103"/>
  <c r="G1103"/>
  <c r="H1103"/>
  <c r="H1112"/>
  <c r="G1112"/>
  <c r="I1122"/>
  <c r="G1122"/>
  <c r="H1136"/>
  <c r="G1136"/>
  <c r="I1150"/>
  <c r="G1150"/>
  <c r="I1167"/>
  <c r="G1167"/>
  <c r="H1203"/>
  <c r="G1203"/>
  <c r="I1244"/>
  <c r="G1244"/>
  <c r="H1244"/>
  <c r="H1251"/>
  <c r="I1251"/>
  <c r="I1264"/>
  <c r="G1264"/>
  <c r="I1279"/>
  <c r="G1279"/>
  <c r="G1284"/>
  <c r="H1284"/>
  <c r="H1328"/>
  <c r="G1328"/>
  <c r="H1337"/>
  <c r="G1337"/>
  <c r="I1364"/>
  <c r="G1364"/>
  <c r="H1364"/>
  <c r="G1377"/>
  <c r="H1377"/>
  <c r="H1382"/>
  <c r="I1382"/>
  <c r="I1387"/>
  <c r="G1387"/>
  <c r="I1403"/>
  <c r="H1403"/>
  <c r="I1407"/>
  <c r="G1407"/>
  <c r="I1436"/>
  <c r="G1436"/>
  <c r="H1436"/>
  <c r="H1458"/>
  <c r="G1458"/>
  <c r="I1467"/>
  <c r="G1467"/>
  <c r="H1467"/>
  <c r="G1488"/>
  <c r="H1488"/>
  <c r="I1488"/>
  <c r="G1508"/>
  <c r="H1508"/>
  <c r="G1535"/>
  <c r="H1535"/>
  <c r="I1535"/>
  <c r="G1588"/>
  <c r="H1588"/>
  <c r="I1588"/>
  <c r="I1604"/>
  <c r="G1604"/>
  <c r="H1604"/>
  <c r="I1615"/>
  <c r="G1615"/>
  <c r="I726"/>
  <c r="G726"/>
  <c r="I743"/>
  <c r="H743"/>
  <c r="H803"/>
  <c r="I803"/>
  <c r="G809"/>
  <c r="H809"/>
  <c r="G837"/>
  <c r="H837"/>
  <c r="I856"/>
  <c r="G856"/>
  <c r="H856"/>
  <c r="G883"/>
  <c r="H883"/>
  <c r="H890"/>
  <c r="G890"/>
  <c r="G934"/>
  <c r="H934"/>
  <c r="I964"/>
  <c r="G964"/>
  <c r="H964"/>
  <c r="I970"/>
  <c r="H970"/>
  <c r="I973"/>
  <c r="G973"/>
  <c r="I978"/>
  <c r="G978"/>
  <c r="G1010"/>
  <c r="I1010"/>
  <c r="H1030"/>
  <c r="G1030"/>
  <c r="I1095"/>
  <c r="G1095"/>
  <c r="G1151"/>
  <c r="I1151"/>
  <c r="G1168"/>
  <c r="H1168"/>
  <c r="I1178"/>
  <c r="G1178"/>
  <c r="H1178"/>
  <c r="I1191"/>
  <c r="H1191"/>
  <c r="I1223"/>
  <c r="G1223"/>
  <c r="H1223"/>
  <c r="I1240"/>
  <c r="G1240"/>
  <c r="G1280"/>
  <c r="H1280"/>
  <c r="I1321"/>
  <c r="G1321"/>
  <c r="H1321"/>
  <c r="H1333"/>
  <c r="G1333"/>
  <c r="H1345"/>
  <c r="G1345"/>
  <c r="G1388"/>
  <c r="H1388"/>
  <c r="I1452"/>
  <c r="G1452"/>
  <c r="H1474"/>
  <c r="G1474"/>
  <c r="I1479"/>
  <c r="G1479"/>
  <c r="H1495"/>
  <c r="G1495"/>
  <c r="I1511"/>
  <c r="G1511"/>
  <c r="I1526"/>
  <c r="G1526"/>
  <c r="H1542"/>
  <c r="G1542"/>
  <c r="H1559"/>
  <c r="G1559"/>
  <c r="I1567"/>
  <c r="G1567"/>
  <c r="I1572"/>
  <c r="G1572"/>
  <c r="H1572"/>
  <c r="I1579"/>
  <c r="G1579"/>
  <c r="H1579"/>
  <c r="I1596"/>
  <c r="G1596"/>
  <c r="H1596"/>
  <c r="I1632"/>
  <c r="G1632"/>
  <c r="H1632"/>
  <c r="H5"/>
  <c r="H10"/>
  <c r="G17"/>
  <c r="G25"/>
  <c r="H34"/>
  <c r="G41"/>
  <c r="I56"/>
  <c r="I57"/>
  <c r="H63"/>
  <c r="I66"/>
  <c r="I95"/>
  <c r="I96"/>
  <c r="G101"/>
  <c r="H105"/>
  <c r="H108"/>
  <c r="I110"/>
  <c r="I115"/>
  <c r="I116"/>
  <c r="H123"/>
  <c r="I124"/>
  <c r="G126"/>
  <c r="H127"/>
  <c r="G140"/>
  <c r="H141"/>
  <c r="I142"/>
  <c r="G148"/>
  <c r="H149"/>
  <c r="I150"/>
  <c r="G156"/>
  <c r="H157"/>
  <c r="I158"/>
  <c r="G164"/>
  <c r="H165"/>
  <c r="I166"/>
  <c r="H192"/>
  <c r="I204"/>
  <c r="G209"/>
  <c r="G219"/>
  <c r="G221"/>
  <c r="G223"/>
  <c r="H224"/>
  <c r="I230"/>
  <c r="G235"/>
  <c r="H236"/>
  <c r="I237"/>
  <c r="G239"/>
  <c r="H240"/>
  <c r="I246"/>
  <c r="G251"/>
  <c r="H252"/>
  <c r="I253"/>
  <c r="G255"/>
  <c r="H256"/>
  <c r="I262"/>
  <c r="H279"/>
  <c r="H306"/>
  <c r="H322"/>
  <c r="H337"/>
  <c r="G340"/>
  <c r="H341"/>
  <c r="G358"/>
  <c r="H359"/>
  <c r="I372"/>
  <c r="I380"/>
  <c r="G386"/>
  <c r="H389"/>
  <c r="I400"/>
  <c r="H407"/>
  <c r="I409"/>
  <c r="G430"/>
  <c r="G452"/>
  <c r="H453"/>
  <c r="H457"/>
  <c r="G476"/>
  <c r="H477"/>
  <c r="H481"/>
  <c r="G497"/>
  <c r="H498"/>
  <c r="H499"/>
  <c r="H514"/>
  <c r="G521"/>
  <c r="G546"/>
  <c r="H564"/>
  <c r="I571"/>
  <c r="I576"/>
  <c r="G586"/>
  <c r="H587"/>
  <c r="H591"/>
  <c r="H592"/>
  <c r="H596"/>
  <c r="G612"/>
  <c r="H613"/>
  <c r="I626"/>
  <c r="G628"/>
  <c r="H629"/>
  <c r="H639"/>
  <c r="H644"/>
  <c r="G659"/>
  <c r="H664"/>
  <c r="H670"/>
  <c r="G696"/>
  <c r="H714"/>
  <c r="G746"/>
  <c r="H747"/>
  <c r="I748"/>
  <c r="G761"/>
  <c r="H789"/>
  <c r="G865"/>
  <c r="G1043"/>
  <c r="G1215"/>
  <c r="G1233"/>
  <c r="G1237"/>
  <c r="H1367"/>
  <c r="H1422"/>
  <c r="H1435"/>
  <c r="G1470"/>
  <c r="G1538"/>
  <c r="G1555"/>
  <c r="G1607"/>
  <c r="G727"/>
  <c r="H727"/>
  <c r="I793"/>
  <c r="H793"/>
  <c r="I797"/>
  <c r="G797"/>
  <c r="G805"/>
  <c r="H805"/>
  <c r="I812"/>
  <c r="G812"/>
  <c r="H821"/>
  <c r="G821"/>
  <c r="G884"/>
  <c r="H884"/>
  <c r="I891"/>
  <c r="G891"/>
  <c r="I899"/>
  <c r="G899"/>
  <c r="H974"/>
  <c r="G974"/>
  <c r="I982"/>
  <c r="G982"/>
  <c r="I987"/>
  <c r="G987"/>
  <c r="H996"/>
  <c r="I996"/>
  <c r="G1019"/>
  <c r="I1019"/>
  <c r="I1043"/>
  <c r="H1043"/>
  <c r="G1068"/>
  <c r="H1068"/>
  <c r="G1096"/>
  <c r="I1096"/>
  <c r="G1100"/>
  <c r="H1100"/>
  <c r="I1100"/>
  <c r="G1104"/>
  <c r="I1104"/>
  <c r="H1116"/>
  <c r="G1116"/>
  <c r="H1137"/>
  <c r="I1137"/>
  <c r="I1163"/>
  <c r="G1163"/>
  <c r="H1199"/>
  <c r="G1199"/>
  <c r="H1218"/>
  <c r="G1218"/>
  <c r="H1243"/>
  <c r="G1243"/>
  <c r="I1248"/>
  <c r="G1248"/>
  <c r="I1257"/>
  <c r="G1257"/>
  <c r="G1267"/>
  <c r="H1267"/>
  <c r="H1273"/>
  <c r="I1273"/>
  <c r="H1289"/>
  <c r="G1289"/>
  <c r="I1303"/>
  <c r="G1303"/>
  <c r="I1317"/>
  <c r="G1317"/>
  <c r="I1329"/>
  <c r="G1329"/>
  <c r="H1329"/>
  <c r="H1341"/>
  <c r="G1341"/>
  <c r="H1402"/>
  <c r="I1402"/>
  <c r="I1432"/>
  <c r="G1432"/>
  <c r="G1448"/>
  <c r="H1448"/>
  <c r="G1464"/>
  <c r="H1464"/>
  <c r="H1466"/>
  <c r="G1466"/>
  <c r="I1475"/>
  <c r="G1475"/>
  <c r="G1480"/>
  <c r="H1480"/>
  <c r="I1487"/>
  <c r="G1487"/>
  <c r="H1487"/>
  <c r="I1491"/>
  <c r="G1491"/>
  <c r="I1502"/>
  <c r="G1502"/>
  <c r="I1514"/>
  <c r="G1514"/>
  <c r="H1514"/>
  <c r="G1527"/>
  <c r="H1527"/>
  <c r="I1534"/>
  <c r="G1534"/>
  <c r="H1534"/>
  <c r="I1543"/>
  <c r="G1543"/>
  <c r="I1568"/>
  <c r="G1568"/>
  <c r="I1587"/>
  <c r="G1587"/>
  <c r="H1587"/>
  <c r="G1618"/>
  <c r="H1618"/>
  <c r="I1624"/>
  <c r="G1624"/>
  <c r="H1624"/>
  <c r="I1653"/>
  <c r="G1653"/>
  <c r="I735"/>
  <c r="H735"/>
  <c r="G794"/>
  <c r="I794"/>
  <c r="G822"/>
  <c r="H822"/>
  <c r="G826"/>
  <c r="H826"/>
  <c r="H833"/>
  <c r="I833"/>
  <c r="H842"/>
  <c r="G842"/>
  <c r="G857"/>
  <c r="H857"/>
  <c r="I857"/>
  <c r="I874"/>
  <c r="G874"/>
  <c r="G892"/>
  <c r="H892"/>
  <c r="G900"/>
  <c r="H900"/>
  <c r="H958"/>
  <c r="I958"/>
  <c r="G963"/>
  <c r="H963"/>
  <c r="G965"/>
  <c r="I965"/>
  <c r="H983"/>
  <c r="G983"/>
  <c r="G991"/>
  <c r="H991"/>
  <c r="H1014"/>
  <c r="I1014"/>
  <c r="I1033"/>
  <c r="H1033"/>
  <c r="H1082"/>
  <c r="G1082"/>
  <c r="I1106"/>
  <c r="H1106"/>
  <c r="G1119"/>
  <c r="H1119"/>
  <c r="I1133"/>
  <c r="G1133"/>
  <c r="G1164"/>
  <c r="H1164"/>
  <c r="G1179"/>
  <c r="I1179"/>
  <c r="H1185"/>
  <c r="G1185"/>
  <c r="H1195"/>
  <c r="G1195"/>
  <c r="H1222"/>
  <c r="G1222"/>
  <c r="H1226"/>
  <c r="G1226"/>
  <c r="I1295"/>
  <c r="G1295"/>
  <c r="H1320"/>
  <c r="G1320"/>
  <c r="I1325"/>
  <c r="G1325"/>
  <c r="G1433"/>
  <c r="H1433"/>
  <c r="G1449"/>
  <c r="H1449"/>
  <c r="I1455"/>
  <c r="H1455"/>
  <c r="G1476"/>
  <c r="H1476"/>
  <c r="I1483"/>
  <c r="G1483"/>
  <c r="I1507"/>
  <c r="G1507"/>
  <c r="G1523"/>
  <c r="H1523"/>
  <c r="I1530"/>
  <c r="G1530"/>
  <c r="I1560"/>
  <c r="G1560"/>
  <c r="H1560"/>
  <c r="G1573"/>
  <c r="H1573"/>
  <c r="I1573"/>
  <c r="G1580"/>
  <c r="H1580"/>
  <c r="I1580"/>
  <c r="I1595"/>
  <c r="G1595"/>
  <c r="H1595"/>
  <c r="I1612"/>
  <c r="G1612"/>
  <c r="H1612"/>
  <c r="G6"/>
  <c r="H13"/>
  <c r="H21"/>
  <c r="G34"/>
  <c r="G37"/>
  <c r="G57"/>
  <c r="G58"/>
  <c r="G63"/>
  <c r="H72"/>
  <c r="H74"/>
  <c r="I83"/>
  <c r="G96"/>
  <c r="G97"/>
  <c r="G105"/>
  <c r="H116"/>
  <c r="H117"/>
  <c r="G123"/>
  <c r="H124"/>
  <c r="G127"/>
  <c r="G141"/>
  <c r="H142"/>
  <c r="G149"/>
  <c r="H150"/>
  <c r="G157"/>
  <c r="H158"/>
  <c r="G165"/>
  <c r="H166"/>
  <c r="G175"/>
  <c r="G192"/>
  <c r="G224"/>
  <c r="G236"/>
  <c r="H237"/>
  <c r="G240"/>
  <c r="G252"/>
  <c r="H253"/>
  <c r="G256"/>
  <c r="H263"/>
  <c r="G278"/>
  <c r="G279"/>
  <c r="G286"/>
  <c r="G306"/>
  <c r="G322"/>
  <c r="G336"/>
  <c r="G337"/>
  <c r="G341"/>
  <c r="G344"/>
  <c r="G359"/>
  <c r="H360"/>
  <c r="G389"/>
  <c r="H400"/>
  <c r="G407"/>
  <c r="G410"/>
  <c r="G432"/>
  <c r="G453"/>
  <c r="G456"/>
  <c r="G457"/>
  <c r="G477"/>
  <c r="G480"/>
  <c r="G481"/>
  <c r="G498"/>
  <c r="G499"/>
  <c r="G514"/>
  <c r="G517"/>
  <c r="G528"/>
  <c r="G536"/>
  <c r="H547"/>
  <c r="G550"/>
  <c r="G554"/>
  <c r="G558"/>
  <c r="G564"/>
  <c r="G587"/>
  <c r="G590"/>
  <c r="G591"/>
  <c r="G592"/>
  <c r="G596"/>
  <c r="G603"/>
  <c r="G607"/>
  <c r="G613"/>
  <c r="H626"/>
  <c r="G629"/>
  <c r="G639"/>
  <c r="G644"/>
  <c r="G670"/>
  <c r="G714"/>
  <c r="G717"/>
  <c r="G730"/>
  <c r="G747"/>
  <c r="H748"/>
  <c r="H749"/>
  <c r="G775"/>
  <c r="G789"/>
  <c r="H808"/>
  <c r="H836"/>
  <c r="I875"/>
  <c r="H882"/>
  <c r="H887"/>
  <c r="H895"/>
  <c r="H933"/>
  <c r="H941"/>
  <c r="H1122"/>
  <c r="H1150"/>
  <c r="H1167"/>
  <c r="H1264"/>
  <c r="H1279"/>
  <c r="I1377"/>
  <c r="H1387"/>
  <c r="H1407"/>
  <c r="I1458"/>
  <c r="I1508"/>
  <c r="H1615"/>
  <c r="H7"/>
  <c r="H9"/>
  <c r="G13"/>
  <c r="G16"/>
  <c r="G21"/>
  <c r="G24"/>
  <c r="G27"/>
  <c r="G29"/>
  <c r="I35"/>
  <c r="H37"/>
  <c r="I40"/>
  <c r="H43"/>
  <c r="G44"/>
  <c r="H45"/>
  <c r="G46"/>
  <c r="G48"/>
  <c r="G54"/>
  <c r="H55"/>
  <c r="H58"/>
  <c r="H61"/>
  <c r="I65"/>
  <c r="G68"/>
  <c r="G74"/>
  <c r="G75"/>
  <c r="G89"/>
  <c r="G93"/>
  <c r="H94"/>
  <c r="H97"/>
  <c r="H98"/>
  <c r="H103"/>
  <c r="H112"/>
  <c r="I125"/>
  <c r="G130"/>
  <c r="G131"/>
  <c r="H132"/>
  <c r="H137"/>
  <c r="H145"/>
  <c r="H153"/>
  <c r="H161"/>
  <c r="H169"/>
  <c r="G171"/>
  <c r="H172"/>
  <c r="G176"/>
  <c r="G179"/>
  <c r="H180"/>
  <c r="G183"/>
  <c r="H184"/>
  <c r="I186"/>
  <c r="G195"/>
  <c r="H196"/>
  <c r="H199"/>
  <c r="H202"/>
  <c r="I203"/>
  <c r="G205"/>
  <c r="H206"/>
  <c r="G227"/>
  <c r="H228"/>
  <c r="I229"/>
  <c r="G231"/>
  <c r="H232"/>
  <c r="I238"/>
  <c r="G243"/>
  <c r="H244"/>
  <c r="I245"/>
  <c r="G247"/>
  <c r="H248"/>
  <c r="I254"/>
  <c r="G259"/>
  <c r="H260"/>
  <c r="I261"/>
  <c r="G263"/>
  <c r="I273"/>
  <c r="G287"/>
  <c r="G290"/>
  <c r="H291"/>
  <c r="I292"/>
  <c r="H302"/>
  <c r="I303"/>
  <c r="G310"/>
  <c r="H311"/>
  <c r="G314"/>
  <c r="G317"/>
  <c r="H318"/>
  <c r="I319"/>
  <c r="G325"/>
  <c r="G345"/>
  <c r="G348"/>
  <c r="H349"/>
  <c r="G352"/>
  <c r="H370"/>
  <c r="I371"/>
  <c r="G373"/>
  <c r="H374"/>
  <c r="H378"/>
  <c r="I379"/>
  <c r="G381"/>
  <c r="H382"/>
  <c r="G393"/>
  <c r="G395"/>
  <c r="H396"/>
  <c r="I397"/>
  <c r="G402"/>
  <c r="H403"/>
  <c r="I404"/>
  <c r="G411"/>
  <c r="H412"/>
  <c r="H415"/>
  <c r="H418"/>
  <c r="G426"/>
  <c r="G429"/>
  <c r="G433"/>
  <c r="G436"/>
  <c r="H437"/>
  <c r="H441"/>
  <c r="G461"/>
  <c r="G464"/>
  <c r="G465"/>
  <c r="G468"/>
  <c r="H469"/>
  <c r="G485"/>
  <c r="G486"/>
  <c r="H494"/>
  <c r="G503"/>
  <c r="G506"/>
  <c r="G518"/>
  <c r="G537"/>
  <c r="G538"/>
  <c r="G541"/>
  <c r="H542"/>
  <c r="G547"/>
  <c r="G551"/>
  <c r="G555"/>
  <c r="G559"/>
  <c r="G560"/>
  <c r="G568"/>
  <c r="I570"/>
  <c r="G572"/>
  <c r="H573"/>
  <c r="H574"/>
  <c r="I575"/>
  <c r="G578"/>
  <c r="G600"/>
  <c r="H601"/>
  <c r="G604"/>
  <c r="G608"/>
  <c r="H609"/>
  <c r="H610"/>
  <c r="G622"/>
  <c r="H623"/>
  <c r="I624"/>
  <c r="G633"/>
  <c r="H634"/>
  <c r="I641"/>
  <c r="G648"/>
  <c r="H649"/>
  <c r="G656"/>
  <c r="H657"/>
  <c r="H672"/>
  <c r="G680"/>
  <c r="G685"/>
  <c r="H686"/>
  <c r="G693"/>
  <c r="H694"/>
  <c r="G701"/>
  <c r="H702"/>
  <c r="G709"/>
  <c r="G710"/>
  <c r="H711"/>
  <c r="H719"/>
  <c r="G722"/>
  <c r="H726"/>
  <c r="I728"/>
  <c r="G738"/>
  <c r="H739"/>
  <c r="I740"/>
  <c r="G743"/>
  <c r="G752"/>
  <c r="G755"/>
  <c r="G756"/>
  <c r="H757"/>
  <c r="H772"/>
  <c r="H778"/>
  <c r="G780"/>
  <c r="I883"/>
  <c r="I934"/>
  <c r="H973"/>
  <c r="H978"/>
  <c r="H1001"/>
  <c r="H1069"/>
  <c r="I1072"/>
  <c r="H1095"/>
  <c r="I1101"/>
  <c r="G1109"/>
  <c r="G1173"/>
  <c r="H1240"/>
  <c r="G1251"/>
  <c r="I1280"/>
  <c r="I1284"/>
  <c r="H1380"/>
  <c r="G1403"/>
  <c r="H1452"/>
  <c r="H1479"/>
  <c r="H1511"/>
  <c r="H1526"/>
  <c r="H1567"/>
  <c r="G1627"/>
  <c r="G1640"/>
  <c r="G729"/>
  <c r="I768"/>
  <c r="G792"/>
  <c r="G800"/>
  <c r="H843"/>
  <c r="H847"/>
  <c r="H851"/>
  <c r="H870"/>
  <c r="H878"/>
  <c r="I909"/>
  <c r="G927"/>
  <c r="H928"/>
  <c r="H929"/>
  <c r="H936"/>
  <c r="I939"/>
  <c r="G946"/>
  <c r="H947"/>
  <c r="H948"/>
  <c r="I960"/>
  <c r="I1028"/>
  <c r="I1051"/>
  <c r="H1055"/>
  <c r="G1058"/>
  <c r="H1075"/>
  <c r="H1083"/>
  <c r="H1113"/>
  <c r="H1117"/>
  <c r="I1120"/>
  <c r="G1129"/>
  <c r="I1165"/>
  <c r="H1182"/>
  <c r="H1186"/>
  <c r="H1192"/>
  <c r="H1196"/>
  <c r="H1200"/>
  <c r="H1204"/>
  <c r="G1207"/>
  <c r="H1208"/>
  <c r="I1209"/>
  <c r="G1211"/>
  <c r="H1212"/>
  <c r="H1219"/>
  <c r="H1227"/>
  <c r="H1230"/>
  <c r="H1290"/>
  <c r="H1334"/>
  <c r="H1338"/>
  <c r="H1342"/>
  <c r="H1346"/>
  <c r="H1378"/>
  <c r="H1393"/>
  <c r="H1411"/>
  <c r="H1412"/>
  <c r="H1419"/>
  <c r="H1423"/>
  <c r="H1428"/>
  <c r="H1456"/>
  <c r="H1460"/>
  <c r="I1481"/>
  <c r="G1486"/>
  <c r="G1494"/>
  <c r="H1496"/>
  <c r="I1509"/>
  <c r="G1517"/>
  <c r="H1518"/>
  <c r="I1519"/>
  <c r="G1521"/>
  <c r="I1528"/>
  <c r="G1546"/>
  <c r="H1547"/>
  <c r="I1548"/>
  <c r="H1563"/>
  <c r="H1649"/>
  <c r="A486"/>
  <c r="A487" s="1"/>
  <c r="A488" s="1"/>
  <c r="A489" s="1"/>
  <c r="A490" s="1"/>
  <c r="A491" s="1"/>
  <c r="A492" s="1"/>
  <c r="A493" s="1"/>
  <c r="A494" s="1"/>
  <c r="A495" s="1"/>
  <c r="A496" s="1"/>
  <c r="A497" s="1"/>
  <c r="A498" s="1"/>
  <c r="I60"/>
  <c r="G60"/>
  <c r="G76"/>
  <c r="H76"/>
  <c r="H88"/>
  <c r="I88"/>
  <c r="H107"/>
  <c r="G107"/>
  <c r="G139"/>
  <c r="H139"/>
  <c r="I139"/>
  <c r="G147"/>
  <c r="H147"/>
  <c r="I147"/>
  <c r="G155"/>
  <c r="H155"/>
  <c r="I155"/>
  <c r="G163"/>
  <c r="H163"/>
  <c r="I163"/>
  <c r="G174"/>
  <c r="H174"/>
  <c r="G178"/>
  <c r="H178"/>
  <c r="G193"/>
  <c r="I193"/>
  <c r="H193"/>
  <c r="G198"/>
  <c r="H198"/>
  <c r="G226"/>
  <c r="H226"/>
  <c r="I226"/>
  <c r="G234"/>
  <c r="H234"/>
  <c r="I234"/>
  <c r="G242"/>
  <c r="H242"/>
  <c r="I242"/>
  <c r="G250"/>
  <c r="H250"/>
  <c r="I250"/>
  <c r="G258"/>
  <c r="H258"/>
  <c r="I258"/>
  <c r="G272"/>
  <c r="I272"/>
  <c r="G307"/>
  <c r="H307"/>
  <c r="G327"/>
  <c r="H327"/>
  <c r="G331"/>
  <c r="H331"/>
  <c r="G361"/>
  <c r="H361"/>
  <c r="G365"/>
  <c r="H365"/>
  <c r="G391"/>
  <c r="H391"/>
  <c r="G431"/>
  <c r="H431"/>
  <c r="I431"/>
  <c r="G434"/>
  <c r="I434"/>
  <c r="G439"/>
  <c r="H439"/>
  <c r="I439"/>
  <c r="G442"/>
  <c r="I442"/>
  <c r="G447"/>
  <c r="H447"/>
  <c r="I447"/>
  <c r="G450"/>
  <c r="I450"/>
  <c r="G455"/>
  <c r="H455"/>
  <c r="I455"/>
  <c r="G458"/>
  <c r="I458"/>
  <c r="G463"/>
  <c r="H463"/>
  <c r="I463"/>
  <c r="G466"/>
  <c r="I466"/>
  <c r="G471"/>
  <c r="H471"/>
  <c r="I471"/>
  <c r="G474"/>
  <c r="I474"/>
  <c r="G479"/>
  <c r="H479"/>
  <c r="I479"/>
  <c r="G482"/>
  <c r="I482"/>
  <c r="G500"/>
  <c r="I500"/>
  <c r="G505"/>
  <c r="H505"/>
  <c r="I505"/>
  <c r="G512"/>
  <c r="H512"/>
  <c r="I512"/>
  <c r="G523"/>
  <c r="H523"/>
  <c r="G548"/>
  <c r="H548"/>
  <c r="G556"/>
  <c r="H556"/>
  <c r="G561"/>
  <c r="I561"/>
  <c r="G566"/>
  <c r="H566"/>
  <c r="G581"/>
  <c r="H581"/>
  <c r="I581"/>
  <c r="G584"/>
  <c r="I584"/>
  <c r="G589"/>
  <c r="H589"/>
  <c r="I589"/>
  <c r="G594"/>
  <c r="H594"/>
  <c r="G615"/>
  <c r="I615"/>
  <c r="H615"/>
  <c r="G619"/>
  <c r="I619"/>
  <c r="H619"/>
  <c r="G631"/>
  <c r="H631"/>
  <c r="G637"/>
  <c r="H637"/>
  <c r="I637"/>
  <c r="G646"/>
  <c r="H646"/>
  <c r="I646"/>
  <c r="G682"/>
  <c r="H682"/>
  <c r="I682"/>
  <c r="G716"/>
  <c r="H716"/>
  <c r="I716"/>
  <c r="G737"/>
  <c r="H737"/>
  <c r="I737"/>
  <c r="G745"/>
  <c r="H745"/>
  <c r="I745"/>
  <c r="G754"/>
  <c r="H754"/>
  <c r="I754"/>
  <c r="H802"/>
  <c r="I802"/>
  <c r="G802"/>
  <c r="G872"/>
  <c r="H872"/>
  <c r="I872"/>
  <c r="G880"/>
  <c r="H880"/>
  <c r="I880"/>
  <c r="G889"/>
  <c r="H889"/>
  <c r="I889"/>
  <c r="G1059"/>
  <c r="H1059"/>
  <c r="G1261"/>
  <c r="I1261"/>
  <c r="H1261"/>
  <c r="G56"/>
  <c r="H56"/>
  <c r="G69"/>
  <c r="H69"/>
  <c r="G80"/>
  <c r="I80"/>
  <c r="H81"/>
  <c r="G81"/>
  <c r="G95"/>
  <c r="H95"/>
  <c r="G181"/>
  <c r="I181"/>
  <c r="G186"/>
  <c r="H186"/>
  <c r="G222"/>
  <c r="H222"/>
  <c r="I222"/>
  <c r="G280"/>
  <c r="I280"/>
  <c r="G315"/>
  <c r="H315"/>
  <c r="G335"/>
  <c r="H335"/>
  <c r="G339"/>
  <c r="H339"/>
  <c r="G375"/>
  <c r="H375"/>
  <c r="G383"/>
  <c r="H383"/>
  <c r="G387"/>
  <c r="H387"/>
  <c r="G394"/>
  <c r="H394"/>
  <c r="I394"/>
  <c r="G420"/>
  <c r="H420"/>
  <c r="I420"/>
  <c r="G435"/>
  <c r="H435"/>
  <c r="I435"/>
  <c r="G443"/>
  <c r="H443"/>
  <c r="I443"/>
  <c r="G451"/>
  <c r="H451"/>
  <c r="I451"/>
  <c r="G459"/>
  <c r="H459"/>
  <c r="I459"/>
  <c r="G467"/>
  <c r="H467"/>
  <c r="I467"/>
  <c r="G475"/>
  <c r="H475"/>
  <c r="I475"/>
  <c r="G483"/>
  <c r="H483"/>
  <c r="I483"/>
  <c r="G491"/>
  <c r="H491"/>
  <c r="G501"/>
  <c r="H501"/>
  <c r="I501"/>
  <c r="H513"/>
  <c r="I513"/>
  <c r="G527"/>
  <c r="H527"/>
  <c r="G549"/>
  <c r="H549"/>
  <c r="I549"/>
  <c r="G552"/>
  <c r="I552"/>
  <c r="G557"/>
  <c r="H557"/>
  <c r="I557"/>
  <c r="G562"/>
  <c r="H562"/>
  <c r="G569"/>
  <c r="I569"/>
  <c r="G585"/>
  <c r="H585"/>
  <c r="I585"/>
  <c r="G632"/>
  <c r="H632"/>
  <c r="I632"/>
  <c r="G699"/>
  <c r="H699"/>
  <c r="I699"/>
  <c r="G791"/>
  <c r="H791"/>
  <c r="I791"/>
  <c r="G799"/>
  <c r="H799"/>
  <c r="I799"/>
  <c r="G848"/>
  <c r="H848"/>
  <c r="I848"/>
  <c r="G897"/>
  <c r="H897"/>
  <c r="I897"/>
  <c r="G920"/>
  <c r="H920"/>
  <c r="I920"/>
  <c r="H962"/>
  <c r="G962"/>
  <c r="I962"/>
  <c r="I2"/>
  <c r="G4"/>
  <c r="I6"/>
  <c r="G8"/>
  <c r="H11"/>
  <c r="I12"/>
  <c r="G14"/>
  <c r="I16"/>
  <c r="G18"/>
  <c r="I20"/>
  <c r="G22"/>
  <c r="I24"/>
  <c r="G26"/>
  <c r="I27"/>
  <c r="H28"/>
  <c r="H30"/>
  <c r="H33"/>
  <c r="G36"/>
  <c r="G38"/>
  <c r="I46"/>
  <c r="H47"/>
  <c r="J47" s="1"/>
  <c r="H49"/>
  <c r="G52"/>
  <c r="G64"/>
  <c r="I73"/>
  <c r="G79"/>
  <c r="G90"/>
  <c r="I103"/>
  <c r="H342"/>
  <c r="H539"/>
  <c r="G5"/>
  <c r="G9"/>
  <c r="I10"/>
  <c r="G11"/>
  <c r="G15"/>
  <c r="G19"/>
  <c r="G23"/>
  <c r="H29"/>
  <c r="G33"/>
  <c r="I39"/>
  <c r="I41"/>
  <c r="G42"/>
  <c r="G43"/>
  <c r="I44"/>
  <c r="H48"/>
  <c r="H54"/>
  <c r="H67"/>
  <c r="G72"/>
  <c r="G73"/>
  <c r="I77"/>
  <c r="G78"/>
  <c r="H83"/>
  <c r="H93"/>
  <c r="G98"/>
  <c r="I102"/>
  <c r="H109"/>
  <c r="I113"/>
  <c r="H114"/>
  <c r="I117"/>
  <c r="H140"/>
  <c r="H148"/>
  <c r="H156"/>
  <c r="H164"/>
  <c r="H171"/>
  <c r="I173"/>
  <c r="H332"/>
  <c r="H350"/>
  <c r="I360"/>
  <c r="H366"/>
  <c r="H489"/>
  <c r="H497"/>
  <c r="H524"/>
  <c r="H655"/>
  <c r="H85"/>
  <c r="I85"/>
  <c r="G99"/>
  <c r="I99"/>
  <c r="H100"/>
  <c r="G100"/>
  <c r="H111"/>
  <c r="I111"/>
  <c r="G120"/>
  <c r="H120"/>
  <c r="G128"/>
  <c r="H128"/>
  <c r="G182"/>
  <c r="H182"/>
  <c r="G189"/>
  <c r="I189"/>
  <c r="G194"/>
  <c r="H194"/>
  <c r="G200"/>
  <c r="H200"/>
  <c r="I200"/>
  <c r="G220"/>
  <c r="H220"/>
  <c r="G266"/>
  <c r="I266"/>
  <c r="G288"/>
  <c r="I288"/>
  <c r="G323"/>
  <c r="H323"/>
  <c r="G343"/>
  <c r="H343"/>
  <c r="G347"/>
  <c r="H347"/>
  <c r="G368"/>
  <c r="H368"/>
  <c r="I368"/>
  <c r="G376"/>
  <c r="H376"/>
  <c r="I376"/>
  <c r="G384"/>
  <c r="H384"/>
  <c r="I384"/>
  <c r="G390"/>
  <c r="I390"/>
  <c r="H390"/>
  <c r="G408"/>
  <c r="I408"/>
  <c r="G428"/>
  <c r="H428"/>
  <c r="I428"/>
  <c r="G487"/>
  <c r="I487"/>
  <c r="G492"/>
  <c r="H492"/>
  <c r="I492"/>
  <c r="G495"/>
  <c r="I495"/>
  <c r="G515"/>
  <c r="H515"/>
  <c r="G540"/>
  <c r="H540"/>
  <c r="G545"/>
  <c r="H545"/>
  <c r="I545"/>
  <c r="G553"/>
  <c r="H553"/>
  <c r="I553"/>
  <c r="G565"/>
  <c r="I565"/>
  <c r="H565"/>
  <c r="G579"/>
  <c r="H579"/>
  <c r="I579"/>
  <c r="G597"/>
  <c r="I597"/>
  <c r="H597"/>
  <c r="G614"/>
  <c r="H614"/>
  <c r="I614"/>
  <c r="G616"/>
  <c r="H616"/>
  <c r="I616"/>
  <c r="G620"/>
  <c r="H620"/>
  <c r="I620"/>
  <c r="G636"/>
  <c r="H636"/>
  <c r="I636"/>
  <c r="G691"/>
  <c r="H691"/>
  <c r="I691"/>
  <c r="G706"/>
  <c r="H706"/>
  <c r="I706"/>
  <c r="G715"/>
  <c r="H715"/>
  <c r="I715"/>
  <c r="H806"/>
  <c r="I806"/>
  <c r="G806"/>
  <c r="G831"/>
  <c r="H831"/>
  <c r="I831"/>
  <c r="G841"/>
  <c r="H841"/>
  <c r="I841"/>
  <c r="G912"/>
  <c r="H912"/>
  <c r="I912"/>
  <c r="G997"/>
  <c r="H997"/>
  <c r="I997"/>
  <c r="G1076"/>
  <c r="I1076"/>
  <c r="H1076"/>
  <c r="G1089"/>
  <c r="I1089"/>
  <c r="H1089"/>
  <c r="G1141"/>
  <c r="H1141"/>
  <c r="I1141"/>
  <c r="G1424"/>
  <c r="H1424"/>
  <c r="I1424"/>
  <c r="G59"/>
  <c r="H59"/>
  <c r="H62"/>
  <c r="I62"/>
  <c r="H104"/>
  <c r="I104"/>
  <c r="G121"/>
  <c r="H121"/>
  <c r="I121"/>
  <c r="G129"/>
  <c r="H129"/>
  <c r="I129"/>
  <c r="G135"/>
  <c r="H135"/>
  <c r="G138"/>
  <c r="H138"/>
  <c r="G146"/>
  <c r="H146"/>
  <c r="G154"/>
  <c r="H154"/>
  <c r="G162"/>
  <c r="H162"/>
  <c r="G170"/>
  <c r="H170"/>
  <c r="G177"/>
  <c r="I177"/>
  <c r="G185"/>
  <c r="I185"/>
  <c r="H185"/>
  <c r="G190"/>
  <c r="H190"/>
  <c r="G197"/>
  <c r="I197"/>
  <c r="G207"/>
  <c r="H207"/>
  <c r="G225"/>
  <c r="H225"/>
  <c r="G233"/>
  <c r="H233"/>
  <c r="G241"/>
  <c r="H241"/>
  <c r="G249"/>
  <c r="H249"/>
  <c r="G257"/>
  <c r="H257"/>
  <c r="H267"/>
  <c r="I267"/>
  <c r="G267"/>
  <c r="G296"/>
  <c r="I296"/>
  <c r="G351"/>
  <c r="H351"/>
  <c r="G357"/>
  <c r="H357"/>
  <c r="G416"/>
  <c r="I416"/>
  <c r="G438"/>
  <c r="H438"/>
  <c r="G446"/>
  <c r="H446"/>
  <c r="G454"/>
  <c r="H454"/>
  <c r="G462"/>
  <c r="H462"/>
  <c r="G470"/>
  <c r="H470"/>
  <c r="G478"/>
  <c r="H478"/>
  <c r="G488"/>
  <c r="H488"/>
  <c r="I488"/>
  <c r="G496"/>
  <c r="H496"/>
  <c r="I496"/>
  <c r="G504"/>
  <c r="H504"/>
  <c r="G516"/>
  <c r="H516"/>
  <c r="I516"/>
  <c r="G519"/>
  <c r="I519"/>
  <c r="G520"/>
  <c r="H520"/>
  <c r="I520"/>
  <c r="G580"/>
  <c r="H580"/>
  <c r="G588"/>
  <c r="H588"/>
  <c r="G593"/>
  <c r="I593"/>
  <c r="G630"/>
  <c r="H630"/>
  <c r="I630"/>
  <c r="G640"/>
  <c r="I640"/>
  <c r="H640"/>
  <c r="G663"/>
  <c r="H663"/>
  <c r="I663"/>
  <c r="G673"/>
  <c r="H673"/>
  <c r="I673"/>
  <c r="G763"/>
  <c r="H763"/>
  <c r="I763"/>
  <c r="G777"/>
  <c r="H777"/>
  <c r="I777"/>
  <c r="G819"/>
  <c r="H819"/>
  <c r="I819"/>
  <c r="G854"/>
  <c r="H854"/>
  <c r="I854"/>
  <c r="H862"/>
  <c r="I862"/>
  <c r="G905"/>
  <c r="H905"/>
  <c r="I905"/>
  <c r="G945"/>
  <c r="H945"/>
  <c r="I945"/>
  <c r="G1018"/>
  <c r="H1018"/>
  <c r="I1018"/>
  <c r="G1022"/>
  <c r="H1022"/>
  <c r="I1022"/>
  <c r="G1026"/>
  <c r="H1026"/>
  <c r="I1026"/>
  <c r="H1032"/>
  <c r="G1032"/>
  <c r="I1032"/>
  <c r="H1042"/>
  <c r="G1042"/>
  <c r="I1042"/>
  <c r="G1242"/>
  <c r="H1242"/>
  <c r="I1242"/>
  <c r="H1250"/>
  <c r="I1250"/>
  <c r="G1250"/>
  <c r="G1310"/>
  <c r="H1310"/>
  <c r="I1310"/>
  <c r="H1562"/>
  <c r="I1562"/>
  <c r="G1562"/>
  <c r="G1626"/>
  <c r="H1626"/>
  <c r="I1626"/>
  <c r="I4"/>
  <c r="I8"/>
  <c r="I14"/>
  <c r="I18"/>
  <c r="I22"/>
  <c r="I38"/>
  <c r="I79"/>
  <c r="H26"/>
  <c r="I28"/>
  <c r="I30"/>
  <c r="G32"/>
  <c r="G35"/>
  <c r="I36"/>
  <c r="H40"/>
  <c r="I47"/>
  <c r="I49"/>
  <c r="G51"/>
  <c r="I52"/>
  <c r="I54"/>
  <c r="H60"/>
  <c r="I64"/>
  <c r="I67"/>
  <c r="I78"/>
  <c r="I90"/>
  <c r="I93"/>
  <c r="I107"/>
  <c r="I342"/>
  <c r="H348"/>
  <c r="H429"/>
  <c r="H436"/>
  <c r="H444"/>
  <c r="H452"/>
  <c r="H460"/>
  <c r="H468"/>
  <c r="H476"/>
  <c r="H484"/>
  <c r="H502"/>
  <c r="I539"/>
  <c r="H546"/>
  <c r="H586"/>
  <c r="H865"/>
  <c r="G208"/>
  <c r="H208"/>
  <c r="I208"/>
  <c r="G215"/>
  <c r="H215"/>
  <c r="G218"/>
  <c r="H218"/>
  <c r="I218"/>
  <c r="G269"/>
  <c r="H269"/>
  <c r="G273"/>
  <c r="H273"/>
  <c r="G277"/>
  <c r="H277"/>
  <c r="G281"/>
  <c r="H281"/>
  <c r="G285"/>
  <c r="H285"/>
  <c r="G289"/>
  <c r="H289"/>
  <c r="G293"/>
  <c r="H293"/>
  <c r="G297"/>
  <c r="H297"/>
  <c r="H301"/>
  <c r="I301"/>
  <c r="G301"/>
  <c r="G308"/>
  <c r="H308"/>
  <c r="I308"/>
  <c r="G316"/>
  <c r="H316"/>
  <c r="I316"/>
  <c r="G324"/>
  <c r="H324"/>
  <c r="I324"/>
  <c r="G330"/>
  <c r="I330"/>
  <c r="G338"/>
  <c r="I338"/>
  <c r="G346"/>
  <c r="I346"/>
  <c r="G356"/>
  <c r="I356"/>
  <c r="G364"/>
  <c r="I364"/>
  <c r="G401"/>
  <c r="H401"/>
  <c r="G405"/>
  <c r="H405"/>
  <c r="G409"/>
  <c r="H409"/>
  <c r="G413"/>
  <c r="H413"/>
  <c r="H417"/>
  <c r="I417"/>
  <c r="G419"/>
  <c r="H419"/>
  <c r="G427"/>
  <c r="H427"/>
  <c r="G511"/>
  <c r="H511"/>
  <c r="G522"/>
  <c r="I522"/>
  <c r="G531"/>
  <c r="H531"/>
  <c r="G535"/>
  <c r="H535"/>
  <c r="G543"/>
  <c r="I543"/>
  <c r="G544"/>
  <c r="H544"/>
  <c r="G635"/>
  <c r="I635"/>
  <c r="G645"/>
  <c r="H645"/>
  <c r="G653"/>
  <c r="H653"/>
  <c r="G654"/>
  <c r="H654"/>
  <c r="I654"/>
  <c r="G690"/>
  <c r="H690"/>
  <c r="I690"/>
  <c r="G707"/>
  <c r="H707"/>
  <c r="I707"/>
  <c r="G764"/>
  <c r="H764"/>
  <c r="I764"/>
  <c r="G779"/>
  <c r="H779"/>
  <c r="H804"/>
  <c r="I804"/>
  <c r="G804"/>
  <c r="G814"/>
  <c r="H814"/>
  <c r="I814"/>
  <c r="G830"/>
  <c r="H830"/>
  <c r="I830"/>
  <c r="G853"/>
  <c r="H853"/>
  <c r="I853"/>
  <c r="G861"/>
  <c r="H861"/>
  <c r="I861"/>
  <c r="G864"/>
  <c r="H864"/>
  <c r="I864"/>
  <c r="G896"/>
  <c r="H896"/>
  <c r="G921"/>
  <c r="H921"/>
  <c r="I921"/>
  <c r="G926"/>
  <c r="H926"/>
  <c r="I926"/>
  <c r="G931"/>
  <c r="H931"/>
  <c r="I931"/>
  <c r="G977"/>
  <c r="H977"/>
  <c r="G986"/>
  <c r="H986"/>
  <c r="H993"/>
  <c r="G993"/>
  <c r="I993"/>
  <c r="H998"/>
  <c r="G998"/>
  <c r="I998"/>
  <c r="G1000"/>
  <c r="H1000"/>
  <c r="I1000"/>
  <c r="H1024"/>
  <c r="G1024"/>
  <c r="H1040"/>
  <c r="G1040"/>
  <c r="I1040"/>
  <c r="G1084"/>
  <c r="I1084"/>
  <c r="H1084"/>
  <c r="H1177"/>
  <c r="I1177"/>
  <c r="G1177"/>
  <c r="G1332"/>
  <c r="H1332"/>
  <c r="I1332"/>
  <c r="H1366"/>
  <c r="G1366"/>
  <c r="I1366"/>
  <c r="H1395"/>
  <c r="G1395"/>
  <c r="I1395"/>
  <c r="H179"/>
  <c r="H187"/>
  <c r="H195"/>
  <c r="H392"/>
  <c r="H567"/>
  <c r="H599"/>
  <c r="H600"/>
  <c r="I671"/>
  <c r="H692"/>
  <c r="H832"/>
  <c r="G598"/>
  <c r="H598"/>
  <c r="G605"/>
  <c r="I605"/>
  <c r="G606"/>
  <c r="H606"/>
  <c r="G671"/>
  <c r="H671"/>
  <c r="G681"/>
  <c r="H681"/>
  <c r="I681"/>
  <c r="G683"/>
  <c r="H683"/>
  <c r="I683"/>
  <c r="G698"/>
  <c r="H698"/>
  <c r="I698"/>
  <c r="G724"/>
  <c r="H724"/>
  <c r="I724"/>
  <c r="G731"/>
  <c r="H731"/>
  <c r="G753"/>
  <c r="H753"/>
  <c r="I753"/>
  <c r="G771"/>
  <c r="H771"/>
  <c r="G776"/>
  <c r="H776"/>
  <c r="I776"/>
  <c r="G785"/>
  <c r="H785"/>
  <c r="G820"/>
  <c r="H820"/>
  <c r="I820"/>
  <c r="G888"/>
  <c r="H888"/>
  <c r="I888"/>
  <c r="G942"/>
  <c r="H942"/>
  <c r="I942"/>
  <c r="G944"/>
  <c r="H944"/>
  <c r="I944"/>
  <c r="G1009"/>
  <c r="H1009"/>
  <c r="I1009"/>
  <c r="G1013"/>
  <c r="H1013"/>
  <c r="I1013"/>
  <c r="H1023"/>
  <c r="G1023"/>
  <c r="I1023"/>
  <c r="G1025"/>
  <c r="H1025"/>
  <c r="I1025"/>
  <c r="G1029"/>
  <c r="H1029"/>
  <c r="H1053"/>
  <c r="I1053"/>
  <c r="G1115"/>
  <c r="H1115"/>
  <c r="I1115"/>
  <c r="G1134"/>
  <c r="I1134"/>
  <c r="H1134"/>
  <c r="G1197"/>
  <c r="I1197"/>
  <c r="H1197"/>
  <c r="G1202"/>
  <c r="H1202"/>
  <c r="I1202"/>
  <c r="G1224"/>
  <c r="I1224"/>
  <c r="H1224"/>
  <c r="G1300"/>
  <c r="I1300"/>
  <c r="H1300"/>
  <c r="G1319"/>
  <c r="H1319"/>
  <c r="I1319"/>
  <c r="G1327"/>
  <c r="H1327"/>
  <c r="I1327"/>
  <c r="G1335"/>
  <c r="I1335"/>
  <c r="H1335"/>
  <c r="G1340"/>
  <c r="H1340"/>
  <c r="I1340"/>
  <c r="G1363"/>
  <c r="H1363"/>
  <c r="G1392"/>
  <c r="H1392"/>
  <c r="H621"/>
  <c r="J621" s="1"/>
  <c r="H622"/>
  <c r="H638"/>
  <c r="H700"/>
  <c r="H946"/>
  <c r="G125"/>
  <c r="H125"/>
  <c r="H133"/>
  <c r="I133"/>
  <c r="G143"/>
  <c r="H143"/>
  <c r="G151"/>
  <c r="H151"/>
  <c r="G159"/>
  <c r="H159"/>
  <c r="G167"/>
  <c r="H167"/>
  <c r="G204"/>
  <c r="H204"/>
  <c r="G212"/>
  <c r="H212"/>
  <c r="G230"/>
  <c r="H230"/>
  <c r="G238"/>
  <c r="H238"/>
  <c r="G246"/>
  <c r="H246"/>
  <c r="G254"/>
  <c r="H254"/>
  <c r="G262"/>
  <c r="H262"/>
  <c r="G264"/>
  <c r="H264"/>
  <c r="G304"/>
  <c r="H304"/>
  <c r="G312"/>
  <c r="H312"/>
  <c r="G320"/>
  <c r="H320"/>
  <c r="H354"/>
  <c r="I354"/>
  <c r="G372"/>
  <c r="H372"/>
  <c r="G380"/>
  <c r="H380"/>
  <c r="G398"/>
  <c r="H398"/>
  <c r="G424"/>
  <c r="H424"/>
  <c r="G508"/>
  <c r="H508"/>
  <c r="G571"/>
  <c r="H571"/>
  <c r="G576"/>
  <c r="H576"/>
  <c r="G602"/>
  <c r="H602"/>
  <c r="G611"/>
  <c r="H611"/>
  <c r="H625"/>
  <c r="I625"/>
  <c r="H627"/>
  <c r="I627"/>
  <c r="G642"/>
  <c r="H642"/>
  <c r="G650"/>
  <c r="H650"/>
  <c r="G658"/>
  <c r="H658"/>
  <c r="H665"/>
  <c r="G665"/>
  <c r="I665"/>
  <c r="G667"/>
  <c r="H667"/>
  <c r="H674"/>
  <c r="G674"/>
  <c r="H676"/>
  <c r="I676"/>
  <c r="G723"/>
  <c r="H723"/>
  <c r="G732"/>
  <c r="H732"/>
  <c r="I732"/>
  <c r="G736"/>
  <c r="H736"/>
  <c r="I736"/>
  <c r="G744"/>
  <c r="H744"/>
  <c r="I744"/>
  <c r="G786"/>
  <c r="H786"/>
  <c r="I786"/>
  <c r="G790"/>
  <c r="H790"/>
  <c r="I790"/>
  <c r="G798"/>
  <c r="H798"/>
  <c r="I798"/>
  <c r="G813"/>
  <c r="H813"/>
  <c r="G834"/>
  <c r="H834"/>
  <c r="I834"/>
  <c r="G849"/>
  <c r="H849"/>
  <c r="I849"/>
  <c r="G871"/>
  <c r="H871"/>
  <c r="I871"/>
  <c r="G879"/>
  <c r="H879"/>
  <c r="I879"/>
  <c r="G904"/>
  <c r="H904"/>
  <c r="G913"/>
  <c r="H913"/>
  <c r="I913"/>
  <c r="G925"/>
  <c r="H925"/>
  <c r="I925"/>
  <c r="G930"/>
  <c r="H930"/>
  <c r="I930"/>
  <c r="G995"/>
  <c r="H995"/>
  <c r="I995"/>
  <c r="H999"/>
  <c r="G999"/>
  <c r="H1011"/>
  <c r="G1011"/>
  <c r="I1011"/>
  <c r="G1067"/>
  <c r="H1067"/>
  <c r="G1127"/>
  <c r="H1127"/>
  <c r="I1127"/>
  <c r="G1194"/>
  <c r="H1194"/>
  <c r="I1194"/>
  <c r="H1256"/>
  <c r="I1256"/>
  <c r="G1256"/>
  <c r="G1293"/>
  <c r="H1293"/>
  <c r="I1293"/>
  <c r="H53"/>
  <c r="H66"/>
  <c r="I82"/>
  <c r="G84"/>
  <c r="G87"/>
  <c r="H92"/>
  <c r="I101"/>
  <c r="G103"/>
  <c r="I108"/>
  <c r="G110"/>
  <c r="H115"/>
  <c r="H118"/>
  <c r="H126"/>
  <c r="H136"/>
  <c r="H144"/>
  <c r="H152"/>
  <c r="H160"/>
  <c r="H168"/>
  <c r="H205"/>
  <c r="H213"/>
  <c r="J213" s="1"/>
  <c r="H223"/>
  <c r="H231"/>
  <c r="H239"/>
  <c r="H247"/>
  <c r="H255"/>
  <c r="H305"/>
  <c r="H313"/>
  <c r="H321"/>
  <c r="H373"/>
  <c r="H381"/>
  <c r="H399"/>
  <c r="H425"/>
  <c r="H509"/>
  <c r="H529"/>
  <c r="H572"/>
  <c r="H577"/>
  <c r="H612"/>
  <c r="H628"/>
  <c r="H643"/>
  <c r="H651"/>
  <c r="H738"/>
  <c r="H746"/>
  <c r="H792"/>
  <c r="H800"/>
  <c r="H873"/>
  <c r="H881"/>
  <c r="H927"/>
  <c r="H932"/>
  <c r="G678"/>
  <c r="H678"/>
  <c r="G712"/>
  <c r="H712"/>
  <c r="G720"/>
  <c r="H720"/>
  <c r="G728"/>
  <c r="H728"/>
  <c r="G750"/>
  <c r="H750"/>
  <c r="H758"/>
  <c r="I758"/>
  <c r="H760"/>
  <c r="I760"/>
  <c r="G768"/>
  <c r="H768"/>
  <c r="G782"/>
  <c r="H782"/>
  <c r="G810"/>
  <c r="H810"/>
  <c r="H838"/>
  <c r="I838"/>
  <c r="G845"/>
  <c r="H845"/>
  <c r="G868"/>
  <c r="H868"/>
  <c r="G885"/>
  <c r="H885"/>
  <c r="G893"/>
  <c r="H893"/>
  <c r="G901"/>
  <c r="H901"/>
  <c r="G909"/>
  <c r="H909"/>
  <c r="G917"/>
  <c r="H917"/>
  <c r="G938"/>
  <c r="H938"/>
  <c r="G939"/>
  <c r="H939"/>
  <c r="G950"/>
  <c r="H950"/>
  <c r="H952"/>
  <c r="G952"/>
  <c r="I952"/>
  <c r="G954"/>
  <c r="H954"/>
  <c r="G969"/>
  <c r="H969"/>
  <c r="G975"/>
  <c r="H975"/>
  <c r="G979"/>
  <c r="H979"/>
  <c r="I979"/>
  <c r="G984"/>
  <c r="H984"/>
  <c r="G988"/>
  <c r="H988"/>
  <c r="I988"/>
  <c r="H1002"/>
  <c r="G1002"/>
  <c r="I1002"/>
  <c r="G1004"/>
  <c r="H1004"/>
  <c r="H1034"/>
  <c r="G1034"/>
  <c r="G1039"/>
  <c r="H1039"/>
  <c r="G1041"/>
  <c r="I1041"/>
  <c r="H1041"/>
  <c r="H1044"/>
  <c r="G1044"/>
  <c r="G1085"/>
  <c r="H1085"/>
  <c r="I1085"/>
  <c r="G1105"/>
  <c r="H1105"/>
  <c r="I1105"/>
  <c r="G1126"/>
  <c r="I1126"/>
  <c r="H1126"/>
  <c r="G1183"/>
  <c r="I1183"/>
  <c r="H1183"/>
  <c r="G1249"/>
  <c r="I1249"/>
  <c r="H1249"/>
  <c r="H1268"/>
  <c r="I1268"/>
  <c r="G1268"/>
  <c r="G1277"/>
  <c r="H1277"/>
  <c r="I1277"/>
  <c r="G1287"/>
  <c r="I1287"/>
  <c r="H1287"/>
  <c r="G1292"/>
  <c r="H1292"/>
  <c r="I1292"/>
  <c r="G1326"/>
  <c r="I1326"/>
  <c r="H1326"/>
  <c r="H1358"/>
  <c r="G1358"/>
  <c r="G1404"/>
  <c r="I1404"/>
  <c r="H1404"/>
  <c r="H1462"/>
  <c r="G1462"/>
  <c r="I1462"/>
  <c r="G1544"/>
  <c r="H1544"/>
  <c r="I1544"/>
  <c r="H1617"/>
  <c r="I1617"/>
  <c r="G1617"/>
  <c r="I118"/>
  <c r="I122"/>
  <c r="I126"/>
  <c r="I130"/>
  <c r="I136"/>
  <c r="I140"/>
  <c r="I144"/>
  <c r="I148"/>
  <c r="I152"/>
  <c r="I156"/>
  <c r="I160"/>
  <c r="I164"/>
  <c r="I168"/>
  <c r="I171"/>
  <c r="I175"/>
  <c r="I179"/>
  <c r="I183"/>
  <c r="I187"/>
  <c r="I191"/>
  <c r="I195"/>
  <c r="I201"/>
  <c r="I205"/>
  <c r="I209"/>
  <c r="I213"/>
  <c r="I216"/>
  <c r="I223"/>
  <c r="I227"/>
  <c r="I231"/>
  <c r="I235"/>
  <c r="I239"/>
  <c r="I243"/>
  <c r="I247"/>
  <c r="I251"/>
  <c r="I255"/>
  <c r="I259"/>
  <c r="I270"/>
  <c r="I274"/>
  <c r="I278"/>
  <c r="I282"/>
  <c r="I286"/>
  <c r="I290"/>
  <c r="I294"/>
  <c r="I298"/>
  <c r="I305"/>
  <c r="I309"/>
  <c r="I313"/>
  <c r="I317"/>
  <c r="I321"/>
  <c r="I325"/>
  <c r="I328"/>
  <c r="I332"/>
  <c r="I336"/>
  <c r="I340"/>
  <c r="I344"/>
  <c r="I348"/>
  <c r="I352"/>
  <c r="I358"/>
  <c r="I362"/>
  <c r="I366"/>
  <c r="I369"/>
  <c r="I373"/>
  <c r="I377"/>
  <c r="I381"/>
  <c r="I385"/>
  <c r="I388"/>
  <c r="I392"/>
  <c r="I395"/>
  <c r="I399"/>
  <c r="I402"/>
  <c r="I406"/>
  <c r="I410"/>
  <c r="I414"/>
  <c r="I421"/>
  <c r="I425"/>
  <c r="I429"/>
  <c r="I432"/>
  <c r="I436"/>
  <c r="I440"/>
  <c r="I444"/>
  <c r="I448"/>
  <c r="I452"/>
  <c r="I456"/>
  <c r="I460"/>
  <c r="I464"/>
  <c r="I468"/>
  <c r="I472"/>
  <c r="I476"/>
  <c r="I480"/>
  <c r="I484"/>
  <c r="I489"/>
  <c r="I493"/>
  <c r="I497"/>
  <c r="I502"/>
  <c r="I506"/>
  <c r="I509"/>
  <c r="I517"/>
  <c r="I524"/>
  <c r="I528"/>
  <c r="I529"/>
  <c r="I532"/>
  <c r="I536"/>
  <c r="I541"/>
  <c r="I546"/>
  <c r="I550"/>
  <c r="I554"/>
  <c r="I558"/>
  <c r="I563"/>
  <c r="I567"/>
  <c r="I572"/>
  <c r="I577"/>
  <c r="I582"/>
  <c r="I586"/>
  <c r="I590"/>
  <c r="I595"/>
  <c r="I599"/>
  <c r="I600"/>
  <c r="I603"/>
  <c r="I607"/>
  <c r="I612"/>
  <c r="I617"/>
  <c r="I621"/>
  <c r="I622"/>
  <c r="I628"/>
  <c r="I633"/>
  <c r="I638"/>
  <c r="I643"/>
  <c r="I647"/>
  <c r="I651"/>
  <c r="I655"/>
  <c r="H660"/>
  <c r="I662"/>
  <c r="G664"/>
  <c r="H669"/>
  <c r="H713"/>
  <c r="H721"/>
  <c r="H729"/>
  <c r="H751"/>
  <c r="H761"/>
  <c r="H769"/>
  <c r="H783"/>
  <c r="H811"/>
  <c r="H846"/>
  <c r="H886"/>
  <c r="H894"/>
  <c r="H902"/>
  <c r="H910"/>
  <c r="H918"/>
  <c r="H940"/>
  <c r="I977"/>
  <c r="I986"/>
  <c r="G687"/>
  <c r="H687"/>
  <c r="G695"/>
  <c r="H695"/>
  <c r="G703"/>
  <c r="H703"/>
  <c r="G741"/>
  <c r="H741"/>
  <c r="G773"/>
  <c r="H773"/>
  <c r="G795"/>
  <c r="H795"/>
  <c r="G817"/>
  <c r="H817"/>
  <c r="H823"/>
  <c r="I823"/>
  <c r="H825"/>
  <c r="I825"/>
  <c r="H827"/>
  <c r="I827"/>
  <c r="G858"/>
  <c r="H858"/>
  <c r="G876"/>
  <c r="H876"/>
  <c r="H935"/>
  <c r="I935"/>
  <c r="G957"/>
  <c r="H957"/>
  <c r="H980"/>
  <c r="G980"/>
  <c r="H989"/>
  <c r="G989"/>
  <c r="G1020"/>
  <c r="H1020"/>
  <c r="G1077"/>
  <c r="H1077"/>
  <c r="I1077"/>
  <c r="G1118"/>
  <c r="I1118"/>
  <c r="H1118"/>
  <c r="G1135"/>
  <c r="H1135"/>
  <c r="I1135"/>
  <c r="G1144"/>
  <c r="I1144"/>
  <c r="H1144"/>
  <c r="H1169"/>
  <c r="I1169"/>
  <c r="G1169"/>
  <c r="G1225"/>
  <c r="H1225"/>
  <c r="I1225"/>
  <c r="G1241"/>
  <c r="I1241"/>
  <c r="H1241"/>
  <c r="G1255"/>
  <c r="I1255"/>
  <c r="H1255"/>
  <c r="G1262"/>
  <c r="H1262"/>
  <c r="I1262"/>
  <c r="H1272"/>
  <c r="I1272"/>
  <c r="G1272"/>
  <c r="G1301"/>
  <c r="H1301"/>
  <c r="I1301"/>
  <c r="G1313"/>
  <c r="I1313"/>
  <c r="H1313"/>
  <c r="G1318"/>
  <c r="I1318"/>
  <c r="H1318"/>
  <c r="G1343"/>
  <c r="I1343"/>
  <c r="H1343"/>
  <c r="H1376"/>
  <c r="G1376"/>
  <c r="H1379"/>
  <c r="G1379"/>
  <c r="I1379"/>
  <c r="G1408"/>
  <c r="H1408"/>
  <c r="I1408"/>
  <c r="H1414"/>
  <c r="I1414"/>
  <c r="G1414"/>
  <c r="H1431"/>
  <c r="G1431"/>
  <c r="G1438"/>
  <c r="H1438"/>
  <c r="I1438"/>
  <c r="H1444"/>
  <c r="G1444"/>
  <c r="G1492"/>
  <c r="H1492"/>
  <c r="I1492"/>
  <c r="G1498"/>
  <c r="H1498"/>
  <c r="I1498"/>
  <c r="G1503"/>
  <c r="H1503"/>
  <c r="I1503"/>
  <c r="G1634"/>
  <c r="H1634"/>
  <c r="I1634"/>
  <c r="I660"/>
  <c r="I664"/>
  <c r="I666"/>
  <c r="G668"/>
  <c r="I669"/>
  <c r="H679"/>
  <c r="H688"/>
  <c r="H704"/>
  <c r="I711"/>
  <c r="I719"/>
  <c r="I727"/>
  <c r="H734"/>
  <c r="H742"/>
  <c r="I749"/>
  <c r="I757"/>
  <c r="I767"/>
  <c r="H774"/>
  <c r="I781"/>
  <c r="H788"/>
  <c r="H796"/>
  <c r="I809"/>
  <c r="H828"/>
  <c r="I837"/>
  <c r="I844"/>
  <c r="I852"/>
  <c r="H859"/>
  <c r="H869"/>
  <c r="H877"/>
  <c r="I884"/>
  <c r="I892"/>
  <c r="I900"/>
  <c r="I908"/>
  <c r="I916"/>
  <c r="I924"/>
  <c r="I937"/>
  <c r="G1031"/>
  <c r="I1039"/>
  <c r="G1057"/>
  <c r="I1057"/>
  <c r="H1062"/>
  <c r="I1062"/>
  <c r="G1065"/>
  <c r="I1065"/>
  <c r="G1080"/>
  <c r="I1080"/>
  <c r="G1090"/>
  <c r="H1090"/>
  <c r="G1145"/>
  <c r="H1145"/>
  <c r="G1184"/>
  <c r="H1184"/>
  <c r="G1198"/>
  <c r="H1198"/>
  <c r="G1220"/>
  <c r="I1220"/>
  <c r="G1228"/>
  <c r="I1228"/>
  <c r="G1245"/>
  <c r="I1245"/>
  <c r="G1265"/>
  <c r="I1265"/>
  <c r="G1288"/>
  <c r="H1288"/>
  <c r="G1296"/>
  <c r="I1296"/>
  <c r="G1304"/>
  <c r="I1304"/>
  <c r="G1314"/>
  <c r="H1314"/>
  <c r="G1322"/>
  <c r="I1322"/>
  <c r="G1330"/>
  <c r="I1330"/>
  <c r="G1336"/>
  <c r="H1336"/>
  <c r="G1344"/>
  <c r="H1344"/>
  <c r="G1368"/>
  <c r="I1368"/>
  <c r="G1381"/>
  <c r="H1381"/>
  <c r="G1413"/>
  <c r="H1413"/>
  <c r="I1413"/>
  <c r="G1461"/>
  <c r="H1461"/>
  <c r="I1461"/>
  <c r="G1493"/>
  <c r="H1493"/>
  <c r="I1493"/>
  <c r="I679"/>
  <c r="I684"/>
  <c r="I688"/>
  <c r="I692"/>
  <c r="I700"/>
  <c r="I704"/>
  <c r="I708"/>
  <c r="I709"/>
  <c r="I713"/>
  <c r="I717"/>
  <c r="I721"/>
  <c r="I725"/>
  <c r="I729"/>
  <c r="I733"/>
  <c r="I734"/>
  <c r="I738"/>
  <c r="I742"/>
  <c r="I746"/>
  <c r="I751"/>
  <c r="I755"/>
  <c r="I761"/>
  <c r="I765"/>
  <c r="I769"/>
  <c r="I774"/>
  <c r="I783"/>
  <c r="I787"/>
  <c r="I788"/>
  <c r="I792"/>
  <c r="I796"/>
  <c r="I800"/>
  <c r="I807"/>
  <c r="I811"/>
  <c r="I815"/>
  <c r="I821"/>
  <c r="I828"/>
  <c r="I832"/>
  <c r="I835"/>
  <c r="I842"/>
  <c r="I846"/>
  <c r="I850"/>
  <c r="I855"/>
  <c r="I859"/>
  <c r="I865"/>
  <c r="I866"/>
  <c r="I869"/>
  <c r="I873"/>
  <c r="I877"/>
  <c r="I881"/>
  <c r="I886"/>
  <c r="I890"/>
  <c r="I894"/>
  <c r="I898"/>
  <c r="I902"/>
  <c r="I906"/>
  <c r="I910"/>
  <c r="I914"/>
  <c r="I918"/>
  <c r="I922"/>
  <c r="I927"/>
  <c r="I932"/>
  <c r="I940"/>
  <c r="I946"/>
  <c r="I949"/>
  <c r="I959"/>
  <c r="G961"/>
  <c r="H966"/>
  <c r="I968"/>
  <c r="H972"/>
  <c r="I974"/>
  <c r="H981"/>
  <c r="I983"/>
  <c r="I990"/>
  <c r="G992"/>
  <c r="I999"/>
  <c r="G1001"/>
  <c r="H1006"/>
  <c r="I1008"/>
  <c r="H1015"/>
  <c r="I1017"/>
  <c r="I1024"/>
  <c r="I1029"/>
  <c r="I1047"/>
  <c r="G1027"/>
  <c r="I1027"/>
  <c r="H1049"/>
  <c r="J1049" s="1"/>
  <c r="I1049"/>
  <c r="H1054"/>
  <c r="I1054"/>
  <c r="H1070"/>
  <c r="I1070"/>
  <c r="H1071"/>
  <c r="I1071"/>
  <c r="G1073"/>
  <c r="H1073"/>
  <c r="G1081"/>
  <c r="H1081"/>
  <c r="G1093"/>
  <c r="H1093"/>
  <c r="I1093"/>
  <c r="G1114"/>
  <c r="I1114"/>
  <c r="G1131"/>
  <c r="H1131"/>
  <c r="G1140"/>
  <c r="I1140"/>
  <c r="G1148"/>
  <c r="H1148"/>
  <c r="I1148"/>
  <c r="H1175"/>
  <c r="I1175"/>
  <c r="G1175"/>
  <c r="G1187"/>
  <c r="H1187"/>
  <c r="I1187"/>
  <c r="G1193"/>
  <c r="I1193"/>
  <c r="G1201"/>
  <c r="I1201"/>
  <c r="G1221"/>
  <c r="H1221"/>
  <c r="H1229"/>
  <c r="I1229"/>
  <c r="G1229"/>
  <c r="G1246"/>
  <c r="H1246"/>
  <c r="G1252"/>
  <c r="H1252"/>
  <c r="H1266"/>
  <c r="I1266"/>
  <c r="G1266"/>
  <c r="H1270"/>
  <c r="I1270"/>
  <c r="G1270"/>
  <c r="G1274"/>
  <c r="H1274"/>
  <c r="G1291"/>
  <c r="I1291"/>
  <c r="G1297"/>
  <c r="H1297"/>
  <c r="G1305"/>
  <c r="H1305"/>
  <c r="G1309"/>
  <c r="I1309"/>
  <c r="G1315"/>
  <c r="H1315"/>
  <c r="G1323"/>
  <c r="H1323"/>
  <c r="G1331"/>
  <c r="H1331"/>
  <c r="G1339"/>
  <c r="I1339"/>
  <c r="G1347"/>
  <c r="I1347"/>
  <c r="G1356"/>
  <c r="H1356"/>
  <c r="I1356"/>
  <c r="G1397"/>
  <c r="I1397"/>
  <c r="H1405"/>
  <c r="G1405"/>
  <c r="I1405"/>
  <c r="G1409"/>
  <c r="H1409"/>
  <c r="I1409"/>
  <c r="G1417"/>
  <c r="H1417"/>
  <c r="I1417"/>
  <c r="H1451"/>
  <c r="G1451"/>
  <c r="G1457"/>
  <c r="H1457"/>
  <c r="I1457"/>
  <c r="G1642"/>
  <c r="H1642"/>
  <c r="I1642"/>
  <c r="H951"/>
  <c r="I953"/>
  <c r="G955"/>
  <c r="I961"/>
  <c r="I963"/>
  <c r="I966"/>
  <c r="I972"/>
  <c r="H976"/>
  <c r="I981"/>
  <c r="H985"/>
  <c r="I992"/>
  <c r="I994"/>
  <c r="G996"/>
  <c r="I1001"/>
  <c r="I1003"/>
  <c r="G1005"/>
  <c r="I1006"/>
  <c r="H1010"/>
  <c r="I1012"/>
  <c r="G1014"/>
  <c r="I1015"/>
  <c r="H1019"/>
  <c r="I1030"/>
  <c r="G1035"/>
  <c r="I1038"/>
  <c r="G1045"/>
  <c r="I1056"/>
  <c r="I1064"/>
  <c r="G1097"/>
  <c r="H1097"/>
  <c r="G1108"/>
  <c r="H1108"/>
  <c r="G1123"/>
  <c r="H1123"/>
  <c r="G1152"/>
  <c r="H1152"/>
  <c r="G1153"/>
  <c r="H1153"/>
  <c r="G1161"/>
  <c r="H1161"/>
  <c r="G1180"/>
  <c r="H1180"/>
  <c r="H1181"/>
  <c r="I1181"/>
  <c r="G1190"/>
  <c r="H1190"/>
  <c r="G1206"/>
  <c r="H1206"/>
  <c r="G1214"/>
  <c r="H1214"/>
  <c r="G1232"/>
  <c r="H1232"/>
  <c r="G1258"/>
  <c r="H1258"/>
  <c r="G1353"/>
  <c r="H1353"/>
  <c r="H1357"/>
  <c r="G1357"/>
  <c r="G1361"/>
  <c r="H1361"/>
  <c r="G1365"/>
  <c r="H1365"/>
  <c r="I1365"/>
  <c r="H1389"/>
  <c r="G1389"/>
  <c r="I1389"/>
  <c r="H1399"/>
  <c r="G1399"/>
  <c r="I1399"/>
  <c r="G1401"/>
  <c r="H1401"/>
  <c r="G1430"/>
  <c r="H1430"/>
  <c r="I1430"/>
  <c r="G1439"/>
  <c r="H1439"/>
  <c r="I1439"/>
  <c r="G1453"/>
  <c r="H1453"/>
  <c r="I1453"/>
  <c r="G1468"/>
  <c r="H1468"/>
  <c r="I1468"/>
  <c r="G1512"/>
  <c r="H1512"/>
  <c r="I1512"/>
  <c r="G1516"/>
  <c r="H1516"/>
  <c r="I1516"/>
  <c r="G1524"/>
  <c r="H1524"/>
  <c r="I1524"/>
  <c r="G1552"/>
  <c r="H1552"/>
  <c r="I1552"/>
  <c r="G1554"/>
  <c r="H1554"/>
  <c r="I1554"/>
  <c r="G1597"/>
  <c r="H1597"/>
  <c r="I1597"/>
  <c r="G1605"/>
  <c r="H1605"/>
  <c r="I1605"/>
  <c r="G1613"/>
  <c r="H1613"/>
  <c r="G1650"/>
  <c r="H1650"/>
  <c r="I1650"/>
  <c r="I1031"/>
  <c r="I1035"/>
  <c r="I1045"/>
  <c r="G1048"/>
  <c r="I1052"/>
  <c r="I1059"/>
  <c r="G1061"/>
  <c r="H1066"/>
  <c r="I1068"/>
  <c r="H1098"/>
  <c r="H1109"/>
  <c r="H1154"/>
  <c r="H1162"/>
  <c r="H1207"/>
  <c r="H1215"/>
  <c r="H1233"/>
  <c r="H1278"/>
  <c r="H1354"/>
  <c r="I1363"/>
  <c r="H1599"/>
  <c r="H1607"/>
  <c r="G1101"/>
  <c r="H1101"/>
  <c r="G1111"/>
  <c r="H1111"/>
  <c r="G1120"/>
  <c r="H1120"/>
  <c r="H1138"/>
  <c r="I1138"/>
  <c r="G1157"/>
  <c r="H1157"/>
  <c r="G1165"/>
  <c r="H1165"/>
  <c r="G1172"/>
  <c r="H1172"/>
  <c r="G1210"/>
  <c r="H1210"/>
  <c r="G1217"/>
  <c r="H1217"/>
  <c r="G1236"/>
  <c r="H1236"/>
  <c r="H1281"/>
  <c r="I1281"/>
  <c r="H1283"/>
  <c r="I1283"/>
  <c r="H1285"/>
  <c r="I1285"/>
  <c r="G1349"/>
  <c r="H1349"/>
  <c r="H1370"/>
  <c r="G1370"/>
  <c r="I1370"/>
  <c r="G1372"/>
  <c r="H1372"/>
  <c r="H1375"/>
  <c r="G1375"/>
  <c r="G1394"/>
  <c r="H1394"/>
  <c r="I1394"/>
  <c r="H1410"/>
  <c r="G1410"/>
  <c r="G1416"/>
  <c r="H1416"/>
  <c r="G1425"/>
  <c r="H1425"/>
  <c r="I1425"/>
  <c r="G1429"/>
  <c r="H1429"/>
  <c r="I1429"/>
  <c r="G1437"/>
  <c r="H1437"/>
  <c r="I1437"/>
  <c r="G1446"/>
  <c r="H1446"/>
  <c r="I1454"/>
  <c r="G1454"/>
  <c r="H1463"/>
  <c r="G1463"/>
  <c r="G1484"/>
  <c r="H1484"/>
  <c r="I1484"/>
  <c r="G1536"/>
  <c r="H1536"/>
  <c r="I1536"/>
  <c r="G1564"/>
  <c r="H1564"/>
  <c r="I1564"/>
  <c r="G1576"/>
  <c r="H1576"/>
  <c r="I1576"/>
  <c r="G1584"/>
  <c r="H1584"/>
  <c r="I1584"/>
  <c r="G1592"/>
  <c r="H1592"/>
  <c r="I1592"/>
  <c r="G1651"/>
  <c r="H1651"/>
  <c r="I1651"/>
  <c r="H1048"/>
  <c r="G1053"/>
  <c r="H1058"/>
  <c r="H1061"/>
  <c r="G1066"/>
  <c r="I1067"/>
  <c r="G1069"/>
  <c r="H1094"/>
  <c r="H1096"/>
  <c r="I1097"/>
  <c r="H1102"/>
  <c r="H1104"/>
  <c r="H1107"/>
  <c r="I1108"/>
  <c r="H1121"/>
  <c r="H1129"/>
  <c r="H1149"/>
  <c r="H1151"/>
  <c r="I1152"/>
  <c r="I1153"/>
  <c r="H1158"/>
  <c r="H1160"/>
  <c r="I1161"/>
  <c r="H1166"/>
  <c r="H1173"/>
  <c r="H1179"/>
  <c r="I1180"/>
  <c r="H1188"/>
  <c r="I1206"/>
  <c r="H1211"/>
  <c r="H1213"/>
  <c r="I1214"/>
  <c r="H1231"/>
  <c r="I1232"/>
  <c r="H1237"/>
  <c r="H1350"/>
  <c r="H1352"/>
  <c r="I1353"/>
  <c r="I1357"/>
  <c r="H1359"/>
  <c r="I1361"/>
  <c r="I1392"/>
  <c r="I1401"/>
  <c r="I1431"/>
  <c r="H1578"/>
  <c r="H1586"/>
  <c r="H1594"/>
  <c r="G1421"/>
  <c r="H1421"/>
  <c r="G1443"/>
  <c r="H1443"/>
  <c r="G1450"/>
  <c r="H1450"/>
  <c r="G1469"/>
  <c r="H1469"/>
  <c r="I1469"/>
  <c r="G1485"/>
  <c r="H1485"/>
  <c r="I1485"/>
  <c r="G1497"/>
  <c r="H1497"/>
  <c r="I1497"/>
  <c r="G1504"/>
  <c r="H1504"/>
  <c r="I1504"/>
  <c r="G1513"/>
  <c r="H1513"/>
  <c r="I1513"/>
  <c r="G1531"/>
  <c r="H1531"/>
  <c r="G1537"/>
  <c r="H1537"/>
  <c r="I1537"/>
  <c r="G1545"/>
  <c r="H1545"/>
  <c r="I1545"/>
  <c r="G1553"/>
  <c r="H1553"/>
  <c r="I1553"/>
  <c r="G1561"/>
  <c r="H1561"/>
  <c r="I1561"/>
  <c r="G1565"/>
  <c r="H1565"/>
  <c r="I1565"/>
  <c r="G1569"/>
  <c r="H1569"/>
  <c r="H1619"/>
  <c r="I1619"/>
  <c r="G1619"/>
  <c r="G1643"/>
  <c r="H1643"/>
  <c r="I1643"/>
  <c r="I1074"/>
  <c r="I1078"/>
  <c r="I1082"/>
  <c r="I1086"/>
  <c r="I1091"/>
  <c r="I1094"/>
  <c r="I1098"/>
  <c r="I1102"/>
  <c r="I1109"/>
  <c r="I1112"/>
  <c r="I1116"/>
  <c r="I1121"/>
  <c r="I1124"/>
  <c r="I1128"/>
  <c r="I1129"/>
  <c r="I1132"/>
  <c r="I1136"/>
  <c r="I1142"/>
  <c r="I1146"/>
  <c r="I1149"/>
  <c r="I1154"/>
  <c r="I1158"/>
  <c r="I1162"/>
  <c r="I1166"/>
  <c r="I1173"/>
  <c r="I1185"/>
  <c r="I1188"/>
  <c r="I1195"/>
  <c r="I1199"/>
  <c r="I1203"/>
  <c r="I1207"/>
  <c r="I1211"/>
  <c r="I1215"/>
  <c r="I1218"/>
  <c r="I1222"/>
  <c r="I1226"/>
  <c r="I1233"/>
  <c r="I1237"/>
  <c r="I1239"/>
  <c r="I1243"/>
  <c r="I1247"/>
  <c r="I1253"/>
  <c r="I1259"/>
  <c r="I1263"/>
  <c r="I1275"/>
  <c r="I1278"/>
  <c r="I1289"/>
  <c r="I1294"/>
  <c r="I1298"/>
  <c r="I1302"/>
  <c r="I1306"/>
  <c r="I1311"/>
  <c r="I1316"/>
  <c r="I1320"/>
  <c r="I1324"/>
  <c r="I1328"/>
  <c r="I1333"/>
  <c r="I1337"/>
  <c r="I1341"/>
  <c r="I1345"/>
  <c r="I1350"/>
  <c r="I1354"/>
  <c r="I1358"/>
  <c r="G1360"/>
  <c r="I1367"/>
  <c r="G1369"/>
  <c r="H1374"/>
  <c r="I1376"/>
  <c r="G1378"/>
  <c r="H1383"/>
  <c r="H1386"/>
  <c r="I1396"/>
  <c r="G1398"/>
  <c r="I1422"/>
  <c r="I1444"/>
  <c r="I1451"/>
  <c r="H1555"/>
  <c r="G1434"/>
  <c r="H1434"/>
  <c r="G1459"/>
  <c r="H1459"/>
  <c r="G1477"/>
  <c r="H1477"/>
  <c r="I1477"/>
  <c r="G1500"/>
  <c r="H1500"/>
  <c r="G1505"/>
  <c r="H1505"/>
  <c r="I1505"/>
  <c r="G1515"/>
  <c r="H1515"/>
  <c r="G1532"/>
  <c r="H1532"/>
  <c r="I1532"/>
  <c r="G1570"/>
  <c r="H1570"/>
  <c r="I1570"/>
  <c r="G1577"/>
  <c r="H1577"/>
  <c r="I1577"/>
  <c r="G1585"/>
  <c r="H1585"/>
  <c r="I1585"/>
  <c r="G1593"/>
  <c r="H1593"/>
  <c r="I1593"/>
  <c r="G1598"/>
  <c r="H1598"/>
  <c r="I1598"/>
  <c r="G1606"/>
  <c r="H1606"/>
  <c r="I1606"/>
  <c r="G1616"/>
  <c r="H1616"/>
  <c r="G1625"/>
  <c r="H1625"/>
  <c r="I1625"/>
  <c r="G1633"/>
  <c r="H1633"/>
  <c r="I1633"/>
  <c r="G1355"/>
  <c r="I1360"/>
  <c r="H1362"/>
  <c r="I1369"/>
  <c r="I1371"/>
  <c r="G1373"/>
  <c r="I1374"/>
  <c r="I1378"/>
  <c r="I1380"/>
  <c r="G1382"/>
  <c r="I1383"/>
  <c r="G1385"/>
  <c r="I1386"/>
  <c r="I1398"/>
  <c r="I1400"/>
  <c r="G1402"/>
  <c r="I1406"/>
  <c r="I1420"/>
  <c r="I1427"/>
  <c r="I1435"/>
  <c r="I1442"/>
  <c r="I1449"/>
  <c r="H1627"/>
  <c r="H1635"/>
  <c r="G1481"/>
  <c r="H1481"/>
  <c r="G1489"/>
  <c r="H1489"/>
  <c r="G1509"/>
  <c r="H1509"/>
  <c r="G1520"/>
  <c r="H1520"/>
  <c r="G1528"/>
  <c r="H1528"/>
  <c r="H1574"/>
  <c r="I1574"/>
  <c r="G1639"/>
  <c r="H1639"/>
  <c r="G1647"/>
  <c r="H1647"/>
  <c r="G1654"/>
  <c r="H1654"/>
  <c r="H1454"/>
  <c r="I1463"/>
  <c r="H1482"/>
  <c r="H1490"/>
  <c r="H1501"/>
  <c r="H1510"/>
  <c r="H1521"/>
  <c r="H1529"/>
  <c r="H1614"/>
  <c r="H1640"/>
  <c r="H1648"/>
  <c r="G1465"/>
  <c r="H1465"/>
  <c r="G1473"/>
  <c r="H1473"/>
  <c r="G1541"/>
  <c r="H1541"/>
  <c r="G1549"/>
  <c r="H1549"/>
  <c r="G1558"/>
  <c r="H1558"/>
  <c r="G1581"/>
  <c r="H1581"/>
  <c r="G1589"/>
  <c r="H1589"/>
  <c r="G1602"/>
  <c r="H1602"/>
  <c r="G1610"/>
  <c r="H1610"/>
  <c r="G1622"/>
  <c r="H1622"/>
  <c r="G1630"/>
  <c r="H1630"/>
  <c r="G1657"/>
  <c r="H1657"/>
  <c r="H1603"/>
  <c r="H1611"/>
  <c r="H1623"/>
  <c r="H1631"/>
  <c r="I1638"/>
  <c r="I1646"/>
  <c r="I1466"/>
  <c r="I1470"/>
  <c r="I1474"/>
  <c r="I1478"/>
  <c r="I1482"/>
  <c r="I1486"/>
  <c r="I1490"/>
  <c r="I1494"/>
  <c r="I1495"/>
  <c r="I1501"/>
  <c r="I1506"/>
  <c r="I1510"/>
  <c r="I1517"/>
  <c r="I1521"/>
  <c r="I1522"/>
  <c r="I1525"/>
  <c r="I1529"/>
  <c r="I1533"/>
  <c r="I1538"/>
  <c r="I1542"/>
  <c r="I1546"/>
  <c r="I1550"/>
  <c r="I1555"/>
  <c r="I1559"/>
  <c r="I1566"/>
  <c r="I1571"/>
  <c r="I1578"/>
  <c r="I1582"/>
  <c r="I1586"/>
  <c r="I1590"/>
  <c r="I1594"/>
  <c r="I1599"/>
  <c r="I1603"/>
  <c r="I1607"/>
  <c r="I1611"/>
  <c r="I1614"/>
  <c r="I1623"/>
  <c r="I1627"/>
  <c r="I1631"/>
  <c r="I1635"/>
  <c r="I1636"/>
  <c r="I1640"/>
  <c r="I1644"/>
  <c r="I1648"/>
  <c r="I1652"/>
  <c r="E3" i="1"/>
  <c r="F4"/>
  <c r="G5"/>
  <c r="G15"/>
  <c r="G7"/>
  <c r="G10"/>
  <c r="G22"/>
  <c r="G14"/>
  <c r="G6"/>
  <c r="G18"/>
  <c r="G19"/>
  <c r="G11"/>
  <c r="F22"/>
  <c r="F18"/>
  <c r="F14"/>
  <c r="F10"/>
  <c r="F6"/>
  <c r="H6" s="1"/>
  <c r="E21"/>
  <c r="E17"/>
  <c r="E13"/>
  <c r="E9"/>
  <c r="F21"/>
  <c r="E20"/>
  <c r="F17"/>
  <c r="E16"/>
  <c r="F9"/>
  <c r="E8"/>
  <c r="G20"/>
  <c r="F19"/>
  <c r="G16"/>
  <c r="F15"/>
  <c r="G12"/>
  <c r="F11"/>
  <c r="G8"/>
  <c r="F7"/>
  <c r="F13"/>
  <c r="E12"/>
  <c r="E5"/>
  <c r="F5"/>
  <c r="G4"/>
  <c r="G3"/>
  <c r="E4"/>
  <c r="F3"/>
  <c r="J1483" i="19" l="1"/>
  <c r="J1609" i="18"/>
  <c r="J1116"/>
  <c r="J1084"/>
  <c r="J1522"/>
  <c r="J1328"/>
  <c r="J726" i="19"/>
  <c r="J1533" i="18"/>
  <c r="J473"/>
  <c r="J407"/>
  <c r="J177"/>
  <c r="J803" i="19"/>
  <c r="J333"/>
  <c r="J32"/>
  <c r="J1450" i="18"/>
  <c r="J1326"/>
  <c r="J691" i="19"/>
  <c r="J1082"/>
  <c r="J922"/>
  <c r="J1559"/>
  <c r="J1289" i="18"/>
  <c r="J202" i="19"/>
  <c r="J858" i="18"/>
  <c r="J172"/>
  <c r="J1348"/>
  <c r="J494" i="19"/>
  <c r="J1588"/>
  <c r="J811"/>
  <c r="J1050" i="18"/>
  <c r="J81"/>
  <c r="J74"/>
  <c r="J3"/>
  <c r="J1246"/>
  <c r="J1324"/>
  <c r="J528"/>
  <c r="J1072" i="19"/>
  <c r="J1162"/>
  <c r="J1288"/>
  <c r="J1259"/>
  <c r="J1439" i="18"/>
  <c r="J769" i="19"/>
  <c r="J657"/>
  <c r="J1093"/>
  <c r="J1610"/>
  <c r="J551"/>
  <c r="J1310" i="18"/>
  <c r="J1052"/>
  <c r="J325" i="19"/>
  <c r="J741" i="18"/>
  <c r="J752" i="19"/>
  <c r="J262"/>
  <c r="J1076"/>
  <c r="J1592"/>
  <c r="J1517" i="18"/>
  <c r="J1" i="19"/>
  <c r="J695" i="18"/>
  <c r="J100" i="19"/>
  <c r="J914"/>
  <c r="J1316" i="18"/>
  <c r="J73" i="13"/>
  <c r="J638" i="18"/>
  <c r="J826" i="19"/>
  <c r="J1436"/>
  <c r="J332"/>
  <c r="J1309" i="18"/>
  <c r="J609" i="19"/>
  <c r="J1564" i="18"/>
  <c r="J946" i="19"/>
  <c r="J521" i="18"/>
  <c r="J289"/>
  <c r="J1139" i="19"/>
  <c r="J1218"/>
  <c r="J71"/>
  <c r="J152"/>
  <c r="J1035"/>
  <c r="J1229" i="18"/>
  <c r="J267"/>
  <c r="J628" i="19"/>
  <c r="J1617"/>
  <c r="J16"/>
  <c r="J215" i="18"/>
  <c r="J619" i="19"/>
  <c r="J633" i="18"/>
  <c r="J1061" i="19"/>
  <c r="J1358"/>
  <c r="J483" i="18"/>
  <c r="J466" i="19"/>
  <c r="J809"/>
  <c r="J1345" i="18"/>
  <c r="J800"/>
  <c r="J1076"/>
  <c r="J742" i="19"/>
  <c r="J1193"/>
  <c r="J1086"/>
  <c r="J1166"/>
  <c r="J948"/>
  <c r="J13"/>
  <c r="J1048"/>
  <c r="J174"/>
  <c r="J433"/>
  <c r="J156"/>
  <c r="J476"/>
  <c r="J1602" i="18"/>
  <c r="J1105" i="19"/>
  <c r="J103"/>
  <c r="J269" i="18"/>
  <c r="J1283" i="19"/>
  <c r="J1446" i="18"/>
  <c r="J332"/>
  <c r="J1158"/>
  <c r="J615" i="19"/>
  <c r="J1385" i="18"/>
  <c r="J451"/>
  <c r="J297"/>
  <c r="J1649" i="19"/>
  <c r="J816"/>
  <c r="J55"/>
  <c r="J1596"/>
  <c r="J1583"/>
  <c r="J1338"/>
  <c r="J490"/>
  <c r="J1319"/>
  <c r="J450"/>
  <c r="J389"/>
  <c r="J331"/>
  <c r="J1091"/>
  <c r="J968"/>
  <c r="J1458" i="18"/>
  <c r="J1365"/>
  <c r="J654"/>
  <c r="J1548" i="19"/>
  <c r="J1488"/>
  <c r="J629"/>
  <c r="J1234"/>
  <c r="J370"/>
  <c r="J311"/>
  <c r="J291"/>
  <c r="J241"/>
  <c r="J164"/>
  <c r="J147"/>
  <c r="J138"/>
  <c r="J955"/>
  <c r="J56"/>
  <c r="J877"/>
  <c r="J1652" i="18"/>
  <c r="J1254"/>
  <c r="J1177"/>
  <c r="J554"/>
  <c r="J1517" i="19"/>
  <c r="J553"/>
  <c r="J1351"/>
  <c r="J385"/>
  <c r="J381"/>
  <c r="J342"/>
  <c r="J226"/>
  <c r="J1027"/>
  <c r="J130"/>
  <c r="J65"/>
  <c r="J895"/>
  <c r="J867"/>
  <c r="J1611" i="18"/>
  <c r="J499" i="19"/>
  <c r="J444"/>
  <c r="J391"/>
  <c r="J1265"/>
  <c r="J221"/>
  <c r="J913" i="18"/>
  <c r="J1278" i="19"/>
  <c r="J354"/>
  <c r="J336"/>
  <c r="J146"/>
  <c r="J127"/>
  <c r="J556"/>
  <c r="J1412" i="18"/>
  <c r="J629"/>
  <c r="J402" i="19"/>
  <c r="J697"/>
  <c r="J344" i="18"/>
  <c r="J841" i="19"/>
  <c r="J1631"/>
  <c r="J1563"/>
  <c r="J1336"/>
  <c r="J1281"/>
  <c r="J427"/>
  <c r="J1602"/>
  <c r="J1213"/>
  <c r="J1412"/>
  <c r="J1361"/>
  <c r="J144"/>
  <c r="J280"/>
  <c r="J239"/>
  <c r="J235"/>
  <c r="J988" i="18"/>
  <c r="J1186"/>
  <c r="J636"/>
  <c r="J135"/>
  <c r="J163"/>
  <c r="J862" i="19"/>
  <c r="J144" i="18"/>
  <c r="J403" i="19"/>
  <c r="J107" i="18"/>
  <c r="J910"/>
  <c r="J61" i="19"/>
  <c r="J1444"/>
  <c r="J232"/>
  <c r="J960"/>
  <c r="J415"/>
  <c r="J595"/>
  <c r="J616"/>
  <c r="J1068" i="18"/>
  <c r="J1175"/>
  <c r="J711"/>
  <c r="J1501"/>
  <c r="J135" i="19"/>
  <c r="J34"/>
  <c r="J1296"/>
  <c r="J251"/>
  <c r="J910"/>
  <c r="J763"/>
  <c r="J1033"/>
  <c r="J1370"/>
  <c r="J1048" i="18"/>
  <c r="J1529"/>
  <c r="J436"/>
  <c r="J1558"/>
  <c r="J986"/>
  <c r="J961"/>
  <c r="J1509" i="19"/>
  <c r="J1088"/>
  <c r="J304"/>
  <c r="J276"/>
  <c r="J953" i="18"/>
  <c r="J22"/>
  <c r="J96"/>
  <c r="J1143"/>
  <c r="J1240" i="19"/>
  <c r="J1552"/>
  <c r="J406" i="18"/>
  <c r="J1165"/>
  <c r="J409"/>
  <c r="J480"/>
  <c r="J357" i="19"/>
  <c r="J218"/>
  <c r="J211"/>
  <c r="J879"/>
  <c r="J941" i="18"/>
  <c r="J1314" i="19"/>
  <c r="J341"/>
  <c r="J1615"/>
  <c r="J319"/>
  <c r="J772"/>
  <c r="J1112"/>
  <c r="J1619" i="18"/>
  <c r="J918"/>
  <c r="J888" i="19"/>
  <c r="J1061" i="18"/>
  <c r="J1032"/>
  <c r="J963" i="19"/>
  <c r="J1531" i="18"/>
  <c r="J1243" i="19"/>
  <c r="J1103"/>
  <c r="J1649" i="18"/>
  <c r="J1518"/>
  <c r="J475"/>
  <c r="J141"/>
  <c r="J1387"/>
  <c r="J164"/>
  <c r="J807" i="19"/>
  <c r="J1623"/>
  <c r="J201"/>
  <c r="J1159" i="18"/>
  <c r="J1078" i="19"/>
  <c r="J131"/>
  <c r="J1195"/>
  <c r="J528"/>
  <c r="J1544" i="18"/>
  <c r="J1243"/>
  <c r="J670"/>
  <c r="J1569"/>
  <c r="J1074" i="19"/>
  <c r="J234"/>
  <c r="J168"/>
  <c r="J1043"/>
  <c r="J924"/>
  <c r="J855"/>
  <c r="J1200" i="18"/>
  <c r="J492"/>
  <c r="J245" i="19"/>
  <c r="J964"/>
  <c r="J1633"/>
  <c r="J709"/>
  <c r="J554"/>
  <c r="J1348"/>
  <c r="J1286"/>
  <c r="J479"/>
  <c r="J1197"/>
  <c r="J1057"/>
  <c r="J1337" i="18"/>
  <c r="J369" i="19"/>
  <c r="J526"/>
  <c r="J354" i="18"/>
  <c r="J376"/>
  <c r="J538" i="19"/>
  <c r="J510" i="18"/>
  <c r="J796" i="19"/>
  <c r="J44"/>
  <c r="J1479" i="18"/>
  <c r="J101" i="19"/>
  <c r="J431"/>
  <c r="J359"/>
  <c r="J1431"/>
  <c r="J1405"/>
  <c r="J1373"/>
  <c r="J488"/>
  <c r="J887"/>
  <c r="J36"/>
  <c r="J1406"/>
  <c r="J785"/>
  <c r="J294"/>
  <c r="J179"/>
  <c r="J368" i="18"/>
  <c r="J347"/>
  <c r="J628"/>
  <c r="J1175" i="19"/>
  <c r="J1633" i="18"/>
  <c r="J1477"/>
  <c r="J1442"/>
  <c r="J603"/>
  <c r="J312"/>
  <c r="J179"/>
  <c r="J18"/>
  <c r="J1282"/>
  <c r="J1253" i="19"/>
  <c r="J1430"/>
  <c r="J1008"/>
  <c r="J947" i="18"/>
  <c r="J1020" i="19"/>
  <c r="J922" i="18"/>
  <c r="J1322" i="19"/>
  <c r="J1201"/>
  <c r="J866"/>
  <c r="J1334" i="18"/>
  <c r="J750"/>
  <c r="J589"/>
  <c r="J1236" i="19"/>
  <c r="J824" i="18"/>
  <c r="J314" i="19"/>
  <c r="J244"/>
  <c r="J167"/>
  <c r="J1376"/>
  <c r="J229"/>
  <c r="J1305"/>
  <c r="J944"/>
  <c r="J340"/>
  <c r="J1313" i="18"/>
  <c r="J278"/>
  <c r="J1168" i="19"/>
  <c r="J903"/>
  <c r="J33" i="18"/>
  <c r="J565" i="19"/>
  <c r="J1166" i="18"/>
  <c r="J1565" i="19"/>
  <c r="J1422"/>
  <c r="J779"/>
  <c r="J581"/>
  <c r="J334"/>
  <c r="J921" i="18"/>
  <c r="J867"/>
  <c r="J194"/>
  <c r="J538"/>
  <c r="J836"/>
  <c r="J1015"/>
  <c r="J234"/>
  <c r="J1504"/>
  <c r="J1132" i="19"/>
  <c r="J1065"/>
  <c r="J919"/>
  <c r="J848"/>
  <c r="J1029"/>
  <c r="J1003"/>
  <c r="J1122"/>
  <c r="J897" i="18"/>
  <c r="J515" i="19"/>
  <c r="J1437"/>
  <c r="J437"/>
  <c r="J1232"/>
  <c r="J1211" i="18"/>
  <c r="J1170" i="19"/>
  <c r="J817"/>
  <c r="J602"/>
  <c r="J486"/>
  <c r="J1292"/>
  <c r="J1163"/>
  <c r="J477"/>
  <c r="J1512"/>
  <c r="J1611"/>
  <c r="J1586"/>
  <c r="J1582"/>
  <c r="J376"/>
  <c r="J1333" i="18"/>
  <c r="J409" i="19"/>
  <c r="J1021"/>
  <c r="J35"/>
  <c r="J1239"/>
  <c r="J463"/>
  <c r="J636"/>
  <c r="J1304" i="18"/>
  <c r="J1187"/>
  <c r="J746"/>
  <c r="J325"/>
  <c r="J814" i="19"/>
  <c r="J1419"/>
  <c r="J397"/>
  <c r="J1593" i="18"/>
  <c r="J892"/>
  <c r="J806"/>
  <c r="J596"/>
  <c r="J4"/>
  <c r="J1525" i="19"/>
  <c r="J1285"/>
  <c r="J410"/>
  <c r="J1215"/>
  <c r="J350"/>
  <c r="J1404" i="18"/>
  <c r="J1255"/>
  <c r="J1024"/>
  <c r="J605"/>
  <c r="J493"/>
  <c r="J250"/>
  <c r="J683" i="19"/>
  <c r="J1455"/>
  <c r="J1438"/>
  <c r="J102"/>
  <c r="J338"/>
  <c r="J195" i="18"/>
  <c r="J265"/>
  <c r="J978" i="19"/>
  <c r="J1372"/>
  <c r="J1422" i="18"/>
  <c r="J112"/>
  <c r="J78"/>
  <c r="J1293" i="19"/>
  <c r="J821"/>
  <c r="J727"/>
  <c r="J761"/>
  <c r="J1590"/>
  <c r="J1501"/>
  <c r="J961"/>
  <c r="J938"/>
  <c r="J1188"/>
  <c r="J298"/>
  <c r="J584"/>
  <c r="J421"/>
  <c r="J703"/>
  <c r="J575"/>
  <c r="J542"/>
  <c r="J1352"/>
  <c r="J496"/>
  <c r="J472"/>
  <c r="J1244"/>
  <c r="J1185"/>
  <c r="J1180"/>
  <c r="J297"/>
  <c r="J1141"/>
  <c r="J1109"/>
  <c r="J1102"/>
  <c r="J224"/>
  <c r="J1042"/>
  <c r="J1026"/>
  <c r="J969"/>
  <c r="J99"/>
  <c r="J904"/>
  <c r="J859"/>
  <c r="J1462" i="18"/>
  <c r="J992"/>
  <c r="J1636" i="19"/>
  <c r="J561"/>
  <c r="J558"/>
  <c r="J1290"/>
  <c r="J1252"/>
  <c r="J1231"/>
  <c r="J1182"/>
  <c r="J296"/>
  <c r="J266"/>
  <c r="J1041"/>
  <c r="J930"/>
  <c r="J58"/>
  <c r="J889"/>
  <c r="J6"/>
  <c r="J1110" i="18"/>
  <c r="J738"/>
  <c r="J336"/>
  <c r="J275"/>
  <c r="J680" i="19"/>
  <c r="J654"/>
  <c r="J633"/>
  <c r="J1401"/>
  <c r="J1368"/>
  <c r="J439"/>
  <c r="J1217"/>
  <c r="J1156"/>
  <c r="J1133"/>
  <c r="J254"/>
  <c r="J1087"/>
  <c r="J227"/>
  <c r="J1058"/>
  <c r="J986"/>
  <c r="J952"/>
  <c r="J83"/>
  <c r="J1457" i="18"/>
  <c r="J1329"/>
  <c r="J1435" i="19"/>
  <c r="J564"/>
  <c r="J1316"/>
  <c r="J454"/>
  <c r="J435"/>
  <c r="J1247"/>
  <c r="J379"/>
  <c r="J364"/>
  <c r="J1157"/>
  <c r="J284"/>
  <c r="J652"/>
  <c r="J38"/>
  <c r="J49" i="18"/>
  <c r="J31" i="19"/>
  <c r="J698"/>
  <c r="J589"/>
  <c r="J546"/>
  <c r="J501"/>
  <c r="J831"/>
  <c r="J440"/>
  <c r="J470"/>
  <c r="J326"/>
  <c r="J1455" i="18"/>
  <c r="J1516"/>
  <c r="J1483"/>
  <c r="J649"/>
  <c r="J593"/>
  <c r="J1091"/>
  <c r="J191"/>
  <c r="J1424" i="19"/>
  <c r="J1194"/>
  <c r="J820"/>
  <c r="J1632"/>
  <c r="J1616"/>
  <c r="J1164"/>
  <c r="J196"/>
  <c r="J1394" i="18"/>
  <c r="J939" i="19"/>
  <c r="J788"/>
  <c r="J731"/>
  <c r="J818"/>
  <c r="J1607"/>
  <c r="J1541"/>
  <c r="J1640"/>
  <c r="J1608"/>
  <c r="J1123"/>
  <c r="J62" i="18"/>
  <c r="J420"/>
  <c r="J363" i="19"/>
  <c r="J206"/>
  <c r="J976"/>
  <c r="J52"/>
  <c r="J506"/>
  <c r="J393"/>
  <c r="J316"/>
  <c r="J537"/>
  <c r="J367"/>
  <c r="J1199"/>
  <c r="J1515"/>
  <c r="J824"/>
  <c r="J1574"/>
  <c r="J555"/>
  <c r="J1342"/>
  <c r="J718" i="18"/>
  <c r="J557" i="19"/>
  <c r="J77" i="18"/>
  <c r="J1476"/>
  <c r="J1222"/>
  <c r="J1485"/>
  <c r="J93"/>
  <c r="J499"/>
  <c r="J702"/>
  <c r="J395"/>
  <c r="J369"/>
  <c r="J126"/>
  <c r="J348"/>
  <c r="J1630" i="19"/>
  <c r="J635"/>
  <c r="J487"/>
  <c r="J310"/>
  <c r="J1037"/>
  <c r="J145"/>
  <c r="J1057" i="18"/>
  <c r="J1117" i="19"/>
  <c r="J951"/>
  <c r="J67"/>
  <c r="J30"/>
  <c r="J1620"/>
  <c r="J1484"/>
  <c r="J758" i="18"/>
  <c r="J792" i="19"/>
  <c r="J685"/>
  <c r="J1598"/>
  <c r="J1480"/>
  <c r="J451"/>
  <c r="J1152"/>
  <c r="J1172" i="18"/>
  <c r="J995"/>
  <c r="J599" i="19"/>
  <c r="J1536"/>
  <c r="J1486"/>
  <c r="J566"/>
  <c r="J434"/>
  <c r="J87"/>
  <c r="J41"/>
  <c r="J914" i="18"/>
  <c r="J226"/>
  <c r="J212" i="19"/>
  <c r="J994"/>
  <c r="J142"/>
  <c r="J356"/>
  <c r="J1389" i="18"/>
  <c r="J195" i="19"/>
  <c r="J1480" i="18"/>
  <c r="J1464" i="19"/>
  <c r="J578"/>
  <c r="J1302"/>
  <c r="J28"/>
  <c r="J626" i="18"/>
  <c r="J316"/>
  <c r="J1255" i="19"/>
  <c r="J603"/>
  <c r="J1254"/>
  <c r="J572"/>
  <c r="J1079"/>
  <c r="J1123" i="18"/>
  <c r="J491" i="19"/>
  <c r="J1023"/>
  <c r="J366"/>
  <c r="J313" i="18"/>
  <c r="J1189"/>
  <c r="J1134"/>
  <c r="J547"/>
  <c r="J1341"/>
  <c r="J862"/>
  <c r="J760"/>
  <c r="J1427"/>
  <c r="J1183"/>
  <c r="J504"/>
  <c r="J456"/>
  <c r="J525" i="19"/>
  <c r="J428" i="18"/>
  <c r="J708" i="19"/>
  <c r="J227" i="18"/>
  <c r="J220" i="19"/>
  <c r="J1044"/>
  <c r="J1002" i="18"/>
  <c r="J535"/>
  <c r="J417"/>
  <c r="J158" i="19"/>
  <c r="J971"/>
  <c r="J54"/>
  <c r="J1150" i="18"/>
  <c r="J698"/>
  <c r="J217" i="19"/>
  <c r="J66"/>
  <c r="J959" i="18"/>
  <c r="J829" i="19"/>
  <c r="J768"/>
  <c r="J1418"/>
  <c r="J775"/>
  <c r="J1522"/>
  <c r="J115"/>
  <c r="J858"/>
  <c r="J778" i="18"/>
  <c r="J1179" i="19"/>
  <c r="J1099" i="18"/>
  <c r="J625"/>
  <c r="J722" i="19"/>
  <c r="J400"/>
  <c r="J979"/>
  <c r="J891"/>
  <c r="J835"/>
  <c r="J765"/>
  <c r="J1459"/>
  <c r="J1414"/>
  <c r="J377"/>
  <c r="J238"/>
  <c r="J1650"/>
  <c r="J1641" i="18"/>
  <c r="J1572"/>
  <c r="J1336"/>
  <c r="J162"/>
  <c r="J778" i="19"/>
  <c r="J608"/>
  <c r="J1150"/>
  <c r="J143"/>
  <c r="J941"/>
  <c r="J105"/>
  <c r="J784" i="18"/>
  <c r="J508" i="19"/>
  <c r="J15" i="18"/>
  <c r="J805" i="19"/>
  <c r="J593"/>
  <c r="J734"/>
  <c r="J718"/>
  <c r="J547"/>
  <c r="J578" i="18"/>
  <c r="J1635" i="19"/>
  <c r="J125"/>
  <c r="J1046"/>
  <c r="J1445"/>
  <c r="J1618" i="18"/>
  <c r="J152"/>
  <c r="J566"/>
  <c r="J352"/>
  <c r="J1095"/>
  <c r="J822"/>
  <c r="J758" i="19"/>
  <c r="J424"/>
  <c r="J741"/>
  <c r="J812"/>
  <c r="J188"/>
  <c r="J1005"/>
  <c r="J900"/>
  <c r="J177"/>
  <c r="J739"/>
  <c r="J1630" i="18"/>
  <c r="J1578"/>
  <c r="J826"/>
  <c r="J1557" i="19"/>
  <c r="J692"/>
  <c r="J671"/>
  <c r="J783"/>
  <c r="J1357"/>
  <c r="J1264" i="18"/>
  <c r="J1564" i="19"/>
  <c r="J540"/>
  <c r="J851"/>
  <c r="J802" i="18"/>
  <c r="J898" i="19"/>
  <c r="J984"/>
  <c r="J47"/>
  <c r="J1015"/>
  <c r="J1634"/>
  <c r="J1560"/>
  <c r="J837"/>
  <c r="J327"/>
  <c r="J277"/>
  <c r="J1577" i="18"/>
  <c r="J1357"/>
  <c r="J1215"/>
  <c r="J854"/>
  <c r="J1594"/>
  <c r="J1579"/>
  <c r="J631"/>
  <c r="J278" i="19"/>
  <c r="J789"/>
  <c r="J417"/>
  <c r="J200"/>
  <c r="J1151"/>
  <c r="J147" i="18"/>
  <c r="J99"/>
  <c r="J726"/>
  <c r="J1361"/>
  <c r="J1239"/>
  <c r="J1016"/>
  <c r="J430" i="19"/>
  <c r="J1130" i="18"/>
  <c r="J1098" i="19"/>
  <c r="J1112" i="18"/>
  <c r="J1563"/>
  <c r="J1575" i="19"/>
  <c r="J483"/>
  <c r="J1496"/>
  <c r="J1462"/>
  <c r="J780"/>
  <c r="J755"/>
  <c r="J751"/>
  <c r="J1052"/>
  <c r="J194"/>
  <c r="J777"/>
  <c r="J1537"/>
  <c r="J1470"/>
  <c r="J757"/>
  <c r="J827"/>
  <c r="J762"/>
  <c r="J1523"/>
  <c r="J1471"/>
  <c r="J1463"/>
  <c r="J1446"/>
  <c r="J612"/>
  <c r="J481"/>
  <c r="J209"/>
  <c r="J1657" i="18"/>
  <c r="J1157"/>
  <c r="J8"/>
  <c r="J1171"/>
  <c r="J601"/>
  <c r="J468"/>
  <c r="J429"/>
  <c r="J1465"/>
  <c r="J1515"/>
  <c r="J1349"/>
  <c r="J1204"/>
  <c r="J1072"/>
  <c r="J956"/>
  <c r="J814"/>
  <c r="J1638"/>
  <c r="J1280"/>
  <c r="J1162"/>
  <c r="J1141"/>
  <c r="J1103"/>
  <c r="J496"/>
  <c r="J1644"/>
  <c r="J938"/>
  <c r="J804"/>
  <c r="J731"/>
  <c r="J524"/>
  <c r="J477"/>
  <c r="J373"/>
  <c r="J1642" i="19"/>
  <c r="J1595"/>
  <c r="J1532"/>
  <c r="J1299"/>
  <c r="J1271"/>
  <c r="J407"/>
  <c r="J1516"/>
  <c r="J1566"/>
  <c r="J604"/>
  <c r="J1155"/>
  <c r="J293"/>
  <c r="J1137"/>
  <c r="J281"/>
  <c r="J190"/>
  <c r="J149"/>
  <c r="J111"/>
  <c r="J793"/>
  <c r="J776"/>
  <c r="J1601"/>
  <c r="J324" i="18"/>
  <c r="J1612" i="19"/>
  <c r="J735"/>
  <c r="J696"/>
  <c r="J1187"/>
  <c r="J313"/>
  <c r="J295"/>
  <c r="J289"/>
  <c r="J267"/>
  <c r="J222"/>
  <c r="J1062"/>
  <c r="J1000"/>
  <c r="J894"/>
  <c r="J46"/>
  <c r="J872"/>
  <c r="J26"/>
  <c r="J838"/>
  <c r="J1558"/>
  <c r="J586"/>
  <c r="J1332"/>
  <c r="J465"/>
  <c r="J388"/>
  <c r="J344"/>
  <c r="J25"/>
  <c r="J8"/>
  <c r="J1475"/>
  <c r="J1328"/>
  <c r="J429"/>
  <c r="J1159"/>
  <c r="J110"/>
  <c r="J937"/>
  <c r="J1366" i="18"/>
  <c r="J613" i="19"/>
  <c r="J1311"/>
  <c r="J445"/>
  <c r="J423"/>
  <c r="J1241"/>
  <c r="J1143"/>
  <c r="J1128"/>
  <c r="J1538"/>
  <c r="J128"/>
  <c r="J64"/>
  <c r="J1073"/>
  <c r="J163"/>
  <c r="J843"/>
  <c r="J775" i="18"/>
  <c r="J1594" i="19"/>
  <c r="J672"/>
  <c r="J560"/>
  <c r="J1178"/>
  <c r="J1468"/>
  <c r="J732"/>
  <c r="J664"/>
  <c r="J1039"/>
  <c r="J1049" i="18"/>
  <c r="J1434" i="19"/>
  <c r="J460"/>
  <c r="J287"/>
  <c r="J717"/>
  <c r="J1053"/>
  <c r="J1302" i="18"/>
  <c r="J590"/>
  <c r="J850" i="19"/>
  <c r="J1131" i="18"/>
  <c r="J1019" i="19"/>
  <c r="J124"/>
  <c r="J854"/>
  <c r="J27"/>
  <c r="J1599"/>
  <c r="J674"/>
  <c r="J705"/>
  <c r="J1651" i="18"/>
  <c r="J317"/>
  <c r="J186" i="19"/>
  <c r="J1221" i="18"/>
  <c r="J1590"/>
  <c r="J1561"/>
  <c r="J1493"/>
  <c r="J1498"/>
  <c r="J1242"/>
  <c r="J1139"/>
  <c r="J1056"/>
  <c r="J673"/>
  <c r="J273"/>
  <c r="J58"/>
  <c r="J76"/>
  <c r="J1547"/>
  <c r="J1035"/>
  <c r="J683"/>
  <c r="J448"/>
  <c r="J402"/>
  <c r="J388"/>
  <c r="J362"/>
  <c r="J1506"/>
  <c r="J1488"/>
  <c r="J1271"/>
  <c r="J1252"/>
  <c r="J1555"/>
  <c r="J1297"/>
  <c r="J1020"/>
  <c r="J309"/>
  <c r="J258"/>
  <c r="J208"/>
  <c r="J183"/>
  <c r="J86"/>
  <c r="J1549" i="19"/>
  <c r="J701"/>
  <c r="J1448"/>
  <c r="J1426"/>
  <c r="J1349"/>
  <c r="J452"/>
  <c r="J1211"/>
  <c r="J1513"/>
  <c r="J1350"/>
  <c r="J345"/>
  <c r="J172"/>
  <c r="J109"/>
  <c r="J70"/>
  <c r="J5"/>
  <c r="J1096"/>
  <c r="J1045"/>
  <c r="J1451"/>
  <c r="J1389"/>
  <c r="J1365"/>
  <c r="J428"/>
  <c r="J1249"/>
  <c r="J1238"/>
  <c r="J1228"/>
  <c r="J372"/>
  <c r="J1216"/>
  <c r="J1209"/>
  <c r="J231"/>
  <c r="J1014"/>
  <c r="J90"/>
  <c r="J597" i="18"/>
  <c r="J422"/>
  <c r="J601" i="19"/>
  <c r="J519"/>
  <c r="J509"/>
  <c r="J1270"/>
  <c r="J413"/>
  <c r="J1208"/>
  <c r="J321"/>
  <c r="J315"/>
  <c r="J306"/>
  <c r="J255"/>
  <c r="J237"/>
  <c r="J215"/>
  <c r="J160"/>
  <c r="J995"/>
  <c r="J985"/>
  <c r="J974"/>
  <c r="J116"/>
  <c r="J949"/>
  <c r="J82"/>
  <c r="J39"/>
  <c r="J874"/>
  <c r="J17"/>
  <c r="J1620" i="18"/>
  <c r="J1151"/>
  <c r="J1033"/>
  <c r="J859"/>
  <c r="J549"/>
  <c r="J65"/>
  <c r="J733" i="19"/>
  <c r="J1551"/>
  <c r="J1371"/>
  <c r="J468"/>
  <c r="J1280"/>
  <c r="J383"/>
  <c r="J375"/>
  <c r="J346"/>
  <c r="J337"/>
  <c r="J320"/>
  <c r="J1129"/>
  <c r="J1066"/>
  <c r="J1022"/>
  <c r="J1010"/>
  <c r="J977"/>
  <c r="J126"/>
  <c r="J72"/>
  <c r="J899"/>
  <c r="J37"/>
  <c r="J852"/>
  <c r="J836"/>
  <c r="J1603" i="18"/>
  <c r="J979"/>
  <c r="J671"/>
  <c r="J588"/>
  <c r="J160"/>
  <c r="J1571" i="19"/>
  <c r="J1387"/>
  <c r="J544"/>
  <c r="J484"/>
  <c r="J456"/>
  <c r="J1186"/>
  <c r="J274"/>
  <c r="J233"/>
  <c r="J204"/>
  <c r="J91"/>
  <c r="J53"/>
  <c r="J856"/>
  <c r="J19" i="18"/>
  <c r="J246" i="19"/>
  <c r="J219"/>
  <c r="J1009"/>
  <c r="J178"/>
  <c r="J63"/>
  <c r="J1109" i="18"/>
  <c r="J198" i="19"/>
  <c r="J1001"/>
  <c r="J935"/>
  <c r="J1521"/>
  <c r="J600"/>
  <c r="J1644"/>
  <c r="J1388"/>
  <c r="J514"/>
  <c r="J1145"/>
  <c r="J1053" i="18"/>
  <c r="J875"/>
  <c r="J570"/>
  <c r="J148"/>
  <c r="J695" i="19"/>
  <c r="J663"/>
  <c r="J469"/>
  <c r="J1568"/>
  <c r="J626"/>
  <c r="J1161"/>
  <c r="J265"/>
  <c r="J1556"/>
  <c r="J1362"/>
  <c r="J522"/>
  <c r="J1355"/>
  <c r="J916"/>
  <c r="J562" i="18"/>
  <c r="J1624" i="19"/>
  <c r="J721"/>
  <c r="J687"/>
  <c r="J587"/>
  <c r="J574"/>
  <c r="J1390"/>
  <c r="J464"/>
  <c r="J395"/>
  <c r="J1202"/>
  <c r="J1500"/>
  <c r="J662"/>
  <c r="J406"/>
  <c r="J1645"/>
  <c r="J750"/>
  <c r="J730"/>
  <c r="J591"/>
  <c r="J1223"/>
  <c r="J322"/>
  <c r="J309"/>
  <c r="J1108"/>
  <c r="J918"/>
  <c r="J43"/>
  <c r="J853"/>
  <c r="J1472" i="18"/>
  <c r="J196"/>
  <c r="J153" i="19"/>
  <c r="J132"/>
  <c r="J1303"/>
  <c r="J1305" i="18"/>
  <c r="J948"/>
  <c r="J1284" i="19"/>
  <c r="J448"/>
  <c r="J214"/>
  <c r="J173"/>
  <c r="J154"/>
  <c r="J970"/>
  <c r="J942"/>
  <c r="J115" i="18"/>
  <c r="J1220" i="19"/>
  <c r="J155"/>
  <c r="J920"/>
  <c r="J543" i="18"/>
  <c r="J247" i="19"/>
  <c r="J1064"/>
  <c r="J97"/>
  <c r="J902"/>
  <c r="J1260" i="18"/>
  <c r="J500"/>
  <c r="J270" i="19"/>
  <c r="J981"/>
  <c r="J1090"/>
  <c r="J990"/>
  <c r="A5"/>
  <c r="A839" s="1"/>
  <c r="A840" s="1"/>
  <c r="A841" s="1"/>
  <c r="A6" s="1"/>
  <c r="A842" s="1"/>
  <c r="A7" s="1"/>
  <c r="A843" s="1"/>
  <c r="A8" s="1"/>
  <c r="A844" s="1"/>
  <c r="A845" s="1"/>
  <c r="A9" s="1"/>
  <c r="A846" s="1"/>
  <c r="A10" s="1"/>
  <c r="A847" s="1"/>
  <c r="A11" s="1"/>
  <c r="A848" s="1"/>
  <c r="A12" s="1"/>
  <c r="A13" s="1"/>
  <c r="A849" s="1"/>
  <c r="A14" s="1"/>
  <c r="A850" s="1"/>
  <c r="A851" s="1"/>
  <c r="A15" s="1"/>
  <c r="A16" s="1"/>
  <c r="A852" s="1"/>
  <c r="A853" s="1"/>
  <c r="A17" s="1"/>
  <c r="A18" s="1"/>
  <c r="A19" s="1"/>
  <c r="A854" s="1"/>
  <c r="A20" s="1"/>
  <c r="A855" s="1"/>
  <c r="A21" s="1"/>
  <c r="A856" s="1"/>
  <c r="A22" s="1"/>
  <c r="A857" s="1"/>
  <c r="A858" s="1"/>
  <c r="A23" s="1"/>
  <c r="A859" s="1"/>
  <c r="A24" s="1"/>
  <c r="A25" s="1"/>
  <c r="A860" s="1"/>
  <c r="A26" s="1"/>
  <c r="A861" s="1"/>
  <c r="A27" s="1"/>
  <c r="A862" s="1"/>
  <c r="A28" s="1"/>
  <c r="A863" s="1"/>
  <c r="A864" s="1"/>
  <c r="A865" s="1"/>
  <c r="A866" s="1"/>
  <c r="A29" s="1"/>
  <c r="A867" s="1"/>
  <c r="A868" s="1"/>
  <c r="A869" s="1"/>
  <c r="A30" s="1"/>
  <c r="A870" s="1"/>
  <c r="A31" s="1"/>
  <c r="A32" s="1"/>
  <c r="A871" s="1"/>
  <c r="A33" s="1"/>
  <c r="A872" s="1"/>
  <c r="A34" s="1"/>
  <c r="A873" s="1"/>
  <c r="A35" s="1"/>
  <c r="A36" s="1"/>
  <c r="A874" s="1"/>
  <c r="A875" s="1"/>
  <c r="A37" s="1"/>
  <c r="A876" s="1"/>
  <c r="A877" s="1"/>
  <c r="A38" s="1"/>
  <c r="A878" s="1"/>
  <c r="A39" s="1"/>
  <c r="A879" s="1"/>
  <c r="A40" s="1"/>
  <c r="A41" s="1"/>
  <c r="A880" s="1"/>
  <c r="A881" s="1"/>
  <c r="A42" s="1"/>
  <c r="A882" s="1"/>
  <c r="A883" s="1"/>
  <c r="A884" s="1"/>
  <c r="A43" s="1"/>
  <c r="A885" s="1"/>
  <c r="A44" s="1"/>
  <c r="A886" s="1"/>
  <c r="A45" s="1"/>
  <c r="A887" s="1"/>
  <c r="A46" s="1"/>
  <c r="A888" s="1"/>
  <c r="A47" s="1"/>
  <c r="A889" s="1"/>
  <c r="A890" s="1"/>
  <c r="A48" s="1"/>
  <c r="A891" s="1"/>
  <c r="A892" s="1"/>
  <c r="A893" s="1"/>
  <c r="A49" s="1"/>
  <c r="A50" s="1"/>
  <c r="A51" s="1"/>
  <c r="A894" s="1"/>
  <c r="A52" s="1"/>
  <c r="A53" s="1"/>
  <c r="A895" s="1"/>
  <c r="A54" s="1"/>
  <c r="A896" s="1"/>
  <c r="A55" s="1"/>
  <c r="A56" s="1"/>
  <c r="A57" s="1"/>
  <c r="A58" s="1"/>
  <c r="A897" s="1"/>
  <c r="A59" s="1"/>
  <c r="A898" s="1"/>
  <c r="A60" s="1"/>
  <c r="A899" s="1"/>
  <c r="A900" s="1"/>
  <c r="A61" s="1"/>
  <c r="A901" s="1"/>
  <c r="A62" s="1"/>
  <c r="A902" s="1"/>
  <c r="A63" s="1"/>
  <c r="A903" s="1"/>
  <c r="A904" s="1"/>
  <c r="A64" s="1"/>
  <c r="A905" s="1"/>
  <c r="A65" s="1"/>
  <c r="A66" s="1"/>
  <c r="A906" s="1"/>
  <c r="A67" s="1"/>
  <c r="A68" s="1"/>
  <c r="A69" s="1"/>
  <c r="A907" s="1"/>
  <c r="A70" s="1"/>
  <c r="A908" s="1"/>
  <c r="A71" s="1"/>
  <c r="A909" s="1"/>
  <c r="A72" s="1"/>
  <c r="A73" s="1"/>
  <c r="A74" s="1"/>
  <c r="A910" s="1"/>
  <c r="A911" s="1"/>
  <c r="A75" s="1"/>
  <c r="A912" s="1"/>
  <c r="A76" s="1"/>
  <c r="A913" s="1"/>
  <c r="A77" s="1"/>
  <c r="A914" s="1"/>
  <c r="A915" s="1"/>
  <c r="A78" s="1"/>
  <c r="A79" s="1"/>
  <c r="A916" s="1"/>
  <c r="A80" s="1"/>
  <c r="A917" s="1"/>
  <c r="A81" s="1"/>
  <c r="A918" s="1"/>
  <c r="A82" s="1"/>
  <c r="A919" s="1"/>
  <c r="A83" s="1"/>
  <c r="A920" s="1"/>
  <c r="A921" s="1"/>
  <c r="A84" s="1"/>
  <c r="A922" s="1"/>
  <c r="A85" s="1"/>
  <c r="A923" s="1"/>
  <c r="A924" s="1"/>
  <c r="A86" s="1"/>
  <c r="A925" s="1"/>
  <c r="A926" s="1"/>
  <c r="A927" s="1"/>
  <c r="A87" s="1"/>
  <c r="A928" s="1"/>
  <c r="A929" s="1"/>
  <c r="A88" s="1"/>
  <c r="A930" s="1"/>
  <c r="A89" s="1"/>
  <c r="A90" s="1"/>
  <c r="A931" s="1"/>
  <c r="A932" s="1"/>
  <c r="A91" s="1"/>
  <c r="A933" s="1"/>
  <c r="A92" s="1"/>
  <c r="A934" s="1"/>
  <c r="A93" s="1"/>
  <c r="A94" s="1"/>
  <c r="A935" s="1"/>
  <c r="A95" s="1"/>
  <c r="A936" s="1"/>
  <c r="A96" s="1"/>
  <c r="A937" s="1"/>
  <c r="A938" s="1"/>
  <c r="A939" s="1"/>
  <c r="A97" s="1"/>
  <c r="A98" s="1"/>
  <c r="A940" s="1"/>
  <c r="A941" s="1"/>
  <c r="A99" s="1"/>
  <c r="A942" s="1"/>
  <c r="A943" s="1"/>
  <c r="A944" s="1"/>
  <c r="A100" s="1"/>
  <c r="A945" s="1"/>
  <c r="A946" s="1"/>
  <c r="A101" s="1"/>
  <c r="A102" s="1"/>
  <c r="A103" s="1"/>
  <c r="A104" s="1"/>
  <c r="A947" s="1"/>
  <c r="A105" s="1"/>
  <c r="A106" s="1"/>
  <c r="A948" s="1"/>
  <c r="A949" s="1"/>
  <c r="A107" s="1"/>
  <c r="A950" s="1"/>
  <c r="A108" s="1"/>
  <c r="A951" s="1"/>
  <c r="A952" s="1"/>
  <c r="A109" s="1"/>
  <c r="A953" s="1"/>
  <c r="A954" s="1"/>
  <c r="A110" s="1"/>
  <c r="A955" s="1"/>
  <c r="A111" s="1"/>
  <c r="A956" s="1"/>
  <c r="A112" s="1"/>
  <c r="A113" s="1"/>
  <c r="A957" s="1"/>
  <c r="A958" s="1"/>
  <c r="A114" s="1"/>
  <c r="A959" s="1"/>
  <c r="A115" s="1"/>
  <c r="A960" s="1"/>
  <c r="A116" s="1"/>
  <c r="A961" s="1"/>
  <c r="A962" s="1"/>
  <c r="A963" s="1"/>
  <c r="A117" s="1"/>
  <c r="A118" s="1"/>
  <c r="A119" s="1"/>
  <c r="A120" s="1"/>
  <c r="A121" s="1"/>
  <c r="A964" s="1"/>
  <c r="A122" s="1"/>
  <c r="A965" s="1"/>
  <c r="A123" s="1"/>
  <c r="A966" s="1"/>
  <c r="A124" s="1"/>
  <c r="A125" s="1"/>
  <c r="A967" s="1"/>
  <c r="A126" s="1"/>
  <c r="A968" s="1"/>
  <c r="A127" s="1"/>
  <c r="A128" s="1"/>
  <c r="A969" s="1"/>
  <c r="A970" s="1"/>
  <c r="A129" s="1"/>
  <c r="A130" s="1"/>
  <c r="A971" s="1"/>
  <c r="A972" s="1"/>
  <c r="A131" s="1"/>
  <c r="A973" s="1"/>
  <c r="A132" s="1"/>
  <c r="A974" s="1"/>
  <c r="A975" s="1"/>
  <c r="A133" s="1"/>
  <c r="A976" s="1"/>
  <c r="A134" s="1"/>
  <c r="A977" s="1"/>
  <c r="A135" s="1"/>
  <c r="A136" s="1"/>
  <c r="A978" s="1"/>
  <c r="A137" s="1"/>
  <c r="A138" s="1"/>
  <c r="A139" s="1"/>
  <c r="A979" s="1"/>
  <c r="A980" s="1"/>
  <c r="A140" s="1"/>
  <c r="A981" s="1"/>
  <c r="A141" s="1"/>
  <c r="A982" s="1"/>
  <c r="A983" s="1"/>
  <c r="A984" s="1"/>
  <c r="A142" s="1"/>
  <c r="A985" s="1"/>
  <c r="A143" s="1"/>
  <c r="A144" s="1"/>
  <c r="A986" s="1"/>
  <c r="A145" s="1"/>
  <c r="A987" s="1"/>
  <c r="A146" s="1"/>
  <c r="A988" s="1"/>
  <c r="A147" s="1"/>
  <c r="A989" s="1"/>
  <c r="A990" s="1"/>
  <c r="A148" s="1"/>
  <c r="A991" s="1"/>
  <c r="A149" s="1"/>
  <c r="A992" s="1"/>
  <c r="A150" s="1"/>
  <c r="A993" s="1"/>
  <c r="A151" s="1"/>
  <c r="A994" s="1"/>
  <c r="A995" s="1"/>
  <c r="A152" s="1"/>
  <c r="A996" s="1"/>
  <c r="A153" s="1"/>
  <c r="A997" s="1"/>
  <c r="A998" s="1"/>
  <c r="A999" s="1"/>
  <c r="A154" s="1"/>
  <c r="A155" s="1"/>
  <c r="A1000" s="1"/>
  <c r="A156" s="1"/>
  <c r="A1001" s="1"/>
  <c r="A157" s="1"/>
  <c r="A158" s="1"/>
  <c r="A1002" s="1"/>
  <c r="A1003" s="1"/>
  <c r="A159" s="1"/>
  <c r="A1004" s="1"/>
  <c r="A160" s="1"/>
  <c r="A1005" s="1"/>
  <c r="A161" s="1"/>
  <c r="A1006" s="1"/>
  <c r="A162" s="1"/>
  <c r="A1007" s="1"/>
  <c r="A1008" s="1"/>
  <c r="A1009" s="1"/>
  <c r="A163" s="1"/>
  <c r="A1010" s="1"/>
  <c r="A164" s="1"/>
  <c r="A1011" s="1"/>
  <c r="A165" s="1"/>
  <c r="A1012" s="1"/>
  <c r="A1013" s="1"/>
  <c r="A166" s="1"/>
  <c r="A1014" s="1"/>
  <c r="A1015" s="1"/>
  <c r="A167" s="1"/>
  <c r="A1016" s="1"/>
  <c r="A168" s="1"/>
  <c r="A169" s="1"/>
  <c r="A1017" s="1"/>
  <c r="A1018" s="1"/>
  <c r="A170" s="1"/>
  <c r="A1019" s="1"/>
  <c r="A171" s="1"/>
  <c r="A172" s="1"/>
  <c r="A1020" s="1"/>
  <c r="A173" s="1"/>
  <c r="A174" s="1"/>
  <c r="A175" s="1"/>
  <c r="A1021" s="1"/>
  <c r="A1022" s="1"/>
  <c r="A176" s="1"/>
  <c r="A177" s="1"/>
  <c r="A1023" s="1"/>
  <c r="A1024" s="1"/>
  <c r="A178" s="1"/>
  <c r="A1025" s="1"/>
  <c r="A1026" s="1"/>
  <c r="A179" s="1"/>
  <c r="A180" s="1"/>
  <c r="A1027" s="1"/>
  <c r="A1028" s="1"/>
  <c r="A181" s="1"/>
  <c r="A1029" s="1"/>
  <c r="A182" s="1"/>
  <c r="A1030" s="1"/>
  <c r="A183" s="1"/>
  <c r="A184" s="1"/>
  <c r="A185" s="1"/>
  <c r="A186" s="1"/>
  <c r="A187" s="1"/>
  <c r="A1031" s="1"/>
  <c r="A188" s="1"/>
  <c r="A1032" s="1"/>
  <c r="A189" s="1"/>
  <c r="A1033" s="1"/>
  <c r="A1034" s="1"/>
  <c r="A190" s="1"/>
  <c r="A191" s="1"/>
  <c r="A1035" s="1"/>
  <c r="A192" s="1"/>
  <c r="A1036" s="1"/>
  <c r="A1037" s="1"/>
  <c r="A193" s="1"/>
  <c r="A194" s="1"/>
  <c r="A1038" s="1"/>
  <c r="A1039" s="1"/>
  <c r="A195" s="1"/>
  <c r="A1040" s="1"/>
  <c r="A196" s="1"/>
  <c r="A1041" s="1"/>
  <c r="A197" s="1"/>
  <c r="A1042" s="1"/>
  <c r="A1043" s="1"/>
  <c r="A1044" s="1"/>
  <c r="A198" s="1"/>
  <c r="A1045" s="1"/>
  <c r="A199" s="1"/>
  <c r="A1046" s="1"/>
  <c r="A200" s="1"/>
  <c r="A1047" s="1"/>
  <c r="A1048" s="1"/>
  <c r="A1049" s="1"/>
  <c r="A201" s="1"/>
  <c r="A202" s="1"/>
  <c r="A203" s="1"/>
  <c r="A1050" s="1"/>
  <c r="A1051" s="1"/>
  <c r="A1052" s="1"/>
  <c r="A204" s="1"/>
  <c r="A1053" s="1"/>
  <c r="A205" s="1"/>
  <c r="A206" s="1"/>
  <c r="A1054" s="1"/>
  <c r="A1055" s="1"/>
  <c r="A207" s="1"/>
  <c r="A1056" s="1"/>
  <c r="A1057" s="1"/>
  <c r="A1058" s="1"/>
  <c r="A1059" s="1"/>
  <c r="A208" s="1"/>
  <c r="A209" s="1"/>
  <c r="A1060" s="1"/>
  <c r="A210" s="1"/>
  <c r="A1061" s="1"/>
  <c r="A1062" s="1"/>
  <c r="A211" s="1"/>
  <c r="A1063" s="1"/>
  <c r="A212" s="1"/>
  <c r="A1064" s="1"/>
  <c r="A213" s="1"/>
  <c r="A1065" s="1"/>
  <c r="A1066" s="1"/>
  <c r="A214" s="1"/>
  <c r="A215" s="1"/>
  <c r="A1067" s="1"/>
  <c r="A1068" s="1"/>
  <c r="A216" s="1"/>
  <c r="A1069" s="1"/>
  <c r="A217" s="1"/>
  <c r="A218" s="1"/>
  <c r="A219" s="1"/>
  <c r="A1070" s="1"/>
  <c r="A220" s="1"/>
  <c r="A221" s="1"/>
  <c r="A1071" s="1"/>
  <c r="A222" s="1"/>
  <c r="A1072" s="1"/>
  <c r="A223" s="1"/>
  <c r="A1073" s="1"/>
  <c r="A224" s="1"/>
  <c r="A1074" s="1"/>
  <c r="A225" s="1"/>
  <c r="A1075" s="1"/>
  <c r="A1076" s="1"/>
  <c r="A226" s="1"/>
  <c r="A1077" s="1"/>
  <c r="A227" s="1"/>
  <c r="A228" s="1"/>
  <c r="A1078" s="1"/>
  <c r="A229" s="1"/>
  <c r="A1079" s="1"/>
  <c r="A230" s="1"/>
  <c r="A1080" s="1"/>
  <c r="A231" s="1"/>
  <c r="A232" s="1"/>
  <c r="A233" s="1"/>
  <c r="A1081" s="1"/>
  <c r="A234" s="1"/>
  <c r="A1082" s="1"/>
  <c r="A235" s="1"/>
  <c r="A236" s="1"/>
  <c r="A1083" s="1"/>
  <c r="A237" s="1"/>
  <c r="A1084" s="1"/>
  <c r="A1085" s="1"/>
  <c r="A1086" s="1"/>
  <c r="A238" s="1"/>
  <c r="A1087" s="1"/>
  <c r="A1088" s="1"/>
  <c r="A1089" s="1"/>
  <c r="A239" s="1"/>
  <c r="A240" s="1"/>
  <c r="A241" s="1"/>
  <c r="A242" s="1"/>
  <c r="A1090" s="1"/>
  <c r="A243" s="1"/>
  <c r="A1091" s="1"/>
  <c r="A244" s="1"/>
  <c r="A1092" s="1"/>
  <c r="A245" s="1"/>
  <c r="A1093" s="1"/>
  <c r="A246" s="1"/>
  <c r="A1094" s="1"/>
  <c r="A247" s="1"/>
  <c r="A1095" s="1"/>
  <c r="A248" s="1"/>
  <c r="A1096" s="1"/>
  <c r="A249" s="1"/>
  <c r="A250" s="1"/>
  <c r="A1097" s="1"/>
  <c r="A1098" s="1"/>
  <c r="A251" s="1"/>
  <c r="A1099" s="1"/>
  <c r="A252" s="1"/>
  <c r="A1100" s="1"/>
  <c r="A1101" s="1"/>
  <c r="A253" s="1"/>
  <c r="A1102" s="1"/>
  <c r="A1103" s="1"/>
  <c r="A1104" s="1"/>
  <c r="A254" s="1"/>
  <c r="A1105" s="1"/>
  <c r="A255" s="1"/>
  <c r="A256" s="1"/>
  <c r="A257" s="1"/>
  <c r="A258" s="1"/>
  <c r="A259" s="1"/>
  <c r="A260" s="1"/>
  <c r="A1106" s="1"/>
  <c r="A261" s="1"/>
  <c r="A1107" s="1"/>
  <c r="A262" s="1"/>
  <c r="A263" s="1"/>
  <c r="A1108" s="1"/>
  <c r="A1109" s="1"/>
  <c r="A264" s="1"/>
  <c r="A1110" s="1"/>
  <c r="A265" s="1"/>
  <c r="A1111" s="1"/>
  <c r="A266" s="1"/>
  <c r="A1112" s="1"/>
  <c r="A267" s="1"/>
  <c r="A1113" s="1"/>
  <c r="A268" s="1"/>
  <c r="A1114" s="1"/>
  <c r="A1115" s="1"/>
  <c r="A269" s="1"/>
  <c r="A270" s="1"/>
  <c r="A271" s="1"/>
  <c r="A1116" s="1"/>
  <c r="A1117" s="1"/>
  <c r="A272" s="1"/>
  <c r="A1118" s="1"/>
  <c r="A1119" s="1"/>
  <c r="A1120" s="1"/>
  <c r="A273" s="1"/>
  <c r="A1121" s="1"/>
  <c r="A274" s="1"/>
  <c r="A275" s="1"/>
  <c r="A1122" s="1"/>
  <c r="A1123" s="1"/>
  <c r="A276" s="1"/>
  <c r="A1124" s="1"/>
  <c r="A277" s="1"/>
  <c r="A1125" s="1"/>
  <c r="A278" s="1"/>
  <c r="A279" s="1"/>
  <c r="A280" s="1"/>
  <c r="A1126" s="1"/>
  <c r="A1127" s="1"/>
  <c r="A281" s="1"/>
  <c r="A1128" s="1"/>
  <c r="A282" s="1"/>
  <c r="A1129" s="1"/>
  <c r="A1131" s="1"/>
  <c r="A283" s="1"/>
  <c r="A1132" s="1"/>
  <c r="A284" s="1"/>
  <c r="A285" s="1"/>
  <c r="A1133" s="1"/>
  <c r="A286" s="1"/>
  <c r="A1134" s="1"/>
  <c r="A287" s="1"/>
  <c r="A288" s="1"/>
  <c r="A1135" s="1"/>
  <c r="A1136" s="1"/>
  <c r="A289" s="1"/>
  <c r="A1137" s="1"/>
  <c r="A1138" s="1"/>
  <c r="A1139" s="1"/>
  <c r="A290" s="1"/>
  <c r="A291" s="1"/>
  <c r="A1140" s="1"/>
  <c r="A1141" s="1"/>
  <c r="A1142" s="1"/>
  <c r="A292" s="1"/>
  <c r="A1143" s="1"/>
  <c r="A293" s="1"/>
  <c r="A1144" s="1"/>
  <c r="A1145" s="1"/>
  <c r="A294" s="1"/>
  <c r="A295" s="1"/>
  <c r="A1146" s="1"/>
  <c r="A296" s="1"/>
  <c r="A1147" s="1"/>
  <c r="A297" s="1"/>
  <c r="A1148" s="1"/>
  <c r="A298" s="1"/>
  <c r="A299" s="1"/>
  <c r="A300" s="1"/>
  <c r="A301" s="1"/>
  <c r="A1149" s="1"/>
  <c r="A302" s="1"/>
  <c r="A1150" s="1"/>
  <c r="A1151" s="1"/>
  <c r="A1152" s="1"/>
  <c r="A303" s="1"/>
  <c r="A1153" s="1"/>
  <c r="A304" s="1"/>
  <c r="A305" s="1"/>
  <c r="A1154" s="1"/>
  <c r="A306" s="1"/>
  <c r="A1155" s="1"/>
  <c r="A307" s="1"/>
  <c r="A308" s="1"/>
  <c r="A309" s="1"/>
  <c r="A1156" s="1"/>
  <c r="A310" s="1"/>
  <c r="A1157" s="1"/>
  <c r="A1158" s="1"/>
  <c r="A1159" s="1"/>
  <c r="A311" s="1"/>
  <c r="A1160" s="1"/>
  <c r="A1161" s="1"/>
  <c r="A1162" s="1"/>
  <c r="A312" s="1"/>
  <c r="A1163" s="1"/>
  <c r="A313" s="1"/>
  <c r="A1164" s="1"/>
  <c r="A1165" s="1"/>
  <c r="A1166" s="1"/>
  <c r="A314" s="1"/>
  <c r="A315" s="1"/>
  <c r="A316" s="1"/>
  <c r="A1167" s="1"/>
  <c r="A317" s="1"/>
  <c r="A1168" s="1"/>
  <c r="A318" s="1"/>
  <c r="A319" s="1"/>
  <c r="A1169" s="1"/>
  <c r="A320" s="1"/>
  <c r="A1170" s="1"/>
  <c r="A321" s="1"/>
  <c r="A1171" s="1"/>
  <c r="A1172" s="1"/>
  <c r="A322" s="1"/>
  <c r="A1173" s="1"/>
  <c r="A323" s="1"/>
  <c r="A1174" s="1"/>
  <c r="A324" s="1"/>
  <c r="A1175" s="1"/>
  <c r="A325" s="1"/>
  <c r="A1176" s="1"/>
  <c r="A326" s="1"/>
  <c r="A1177" s="1"/>
  <c r="A327" s="1"/>
  <c r="A328" s="1"/>
  <c r="A329" s="1"/>
  <c r="A1178" s="1"/>
  <c r="A330" s="1"/>
  <c r="A331" s="1"/>
  <c r="A1179" s="1"/>
  <c r="A1180" s="1"/>
  <c r="A332" s="1"/>
  <c r="A333" s="1"/>
  <c r="A334" s="1"/>
  <c r="A335" s="1"/>
  <c r="A1181" s="1"/>
  <c r="A336" s="1"/>
  <c r="A337" s="1"/>
  <c r="A338" s="1"/>
  <c r="A1182" s="1"/>
  <c r="A1183" s="1"/>
  <c r="A339" s="1"/>
  <c r="A1184" s="1"/>
  <c r="A340" s="1"/>
  <c r="A1185" s="1"/>
  <c r="A341" s="1"/>
  <c r="A1186" s="1"/>
  <c r="A342" s="1"/>
  <c r="A1187" s="1"/>
  <c r="A343" s="1"/>
  <c r="A1188" s="1"/>
  <c r="A1189" s="1"/>
  <c r="A1190" s="1"/>
  <c r="A344" s="1"/>
  <c r="A345" s="1"/>
  <c r="A1191" s="1"/>
  <c r="A1192" s="1"/>
  <c r="A1193" s="1"/>
  <c r="A346" s="1"/>
  <c r="A1194" s="1"/>
  <c r="A1195" s="1"/>
  <c r="A1196" s="1"/>
  <c r="A347" s="1"/>
  <c r="A348" s="1"/>
  <c r="A349" s="1"/>
  <c r="A350" s="1"/>
  <c r="A1197" s="1"/>
  <c r="A351" s="1"/>
  <c r="A1198" s="1"/>
  <c r="A352" s="1"/>
  <c r="A353" s="1"/>
  <c r="A354" s="1"/>
  <c r="A1199" s="1"/>
  <c r="A355" s="1"/>
  <c r="A1200" s="1"/>
  <c r="A1201" s="1"/>
  <c r="A356" s="1"/>
  <c r="A1202" s="1"/>
  <c r="A357" s="1"/>
  <c r="A1203" s="1"/>
  <c r="A358" s="1"/>
  <c r="A1204" s="1"/>
  <c r="A359" s="1"/>
  <c r="A1205" s="1"/>
  <c r="A360" s="1"/>
  <c r="A1206" s="1"/>
  <c r="A361" s="1"/>
  <c r="A1207" s="1"/>
  <c r="A1208" s="1"/>
  <c r="A362" s="1"/>
  <c r="A1209" s="1"/>
  <c r="A363" s="1"/>
  <c r="A1210" s="1"/>
  <c r="A364" s="1"/>
  <c r="A1211" s="1"/>
  <c r="A1212" s="1"/>
  <c r="A1213" s="1"/>
  <c r="A365" s="1"/>
  <c r="A1214" s="1"/>
  <c r="A366" s="1"/>
  <c r="A367" s="1"/>
  <c r="A1215" s="1"/>
  <c r="A368" s="1"/>
  <c r="A1216" s="1"/>
  <c r="A1217" s="1"/>
  <c r="A1218" s="1"/>
  <c r="A369" s="1"/>
  <c r="A1219" s="1"/>
  <c r="A1220" s="1"/>
  <c r="A370" s="1"/>
  <c r="A1221" s="1"/>
  <c r="A1222" s="1"/>
  <c r="A371" s="1"/>
  <c r="A1223" s="1"/>
  <c r="A372" s="1"/>
  <c r="A1224" s="1"/>
  <c r="A373" s="1"/>
  <c r="A374" s="1"/>
  <c r="A375" s="1"/>
  <c r="A1225" s="1"/>
  <c r="A376" s="1"/>
  <c r="A377" s="1"/>
  <c r="A1226" s="1"/>
  <c r="A378" s="1"/>
  <c r="A1227" s="1"/>
  <c r="A379" s="1"/>
  <c r="A380" s="1"/>
  <c r="A381" s="1"/>
  <c r="A382" s="1"/>
  <c r="A1228" s="1"/>
  <c r="A383" s="1"/>
  <c r="A1229" s="1"/>
  <c r="A384" s="1"/>
  <c r="A1230" s="1"/>
  <c r="A385" s="1"/>
  <c r="A1231" s="1"/>
  <c r="A386" s="1"/>
  <c r="A387" s="1"/>
  <c r="A1232" s="1"/>
  <c r="A388" s="1"/>
  <c r="A389" s="1"/>
  <c r="A390" s="1"/>
  <c r="A1233" s="1"/>
  <c r="A391" s="1"/>
  <c r="A1234" s="1"/>
  <c r="A392" s="1"/>
  <c r="A393" s="1"/>
  <c r="A394" s="1"/>
  <c r="A395" s="1"/>
  <c r="A396" s="1"/>
  <c r="A1235" s="1"/>
  <c r="A397" s="1"/>
  <c r="A398" s="1"/>
  <c r="A1236" s="1"/>
  <c r="A1237" s="1"/>
  <c r="A399" s="1"/>
  <c r="A400" s="1"/>
  <c r="A1238" s="1"/>
  <c r="A401" s="1"/>
  <c r="A1239" s="1"/>
  <c r="A402" s="1"/>
  <c r="A403" s="1"/>
  <c r="A404" s="1"/>
  <c r="A1240" s="1"/>
  <c r="A405" s="1"/>
  <c r="A406" s="1"/>
  <c r="A1241" s="1"/>
  <c r="A407" s="1"/>
  <c r="A1242" s="1"/>
  <c r="A1243" s="1"/>
  <c r="A408" s="1"/>
  <c r="A1244" s="1"/>
  <c r="A409" s="1"/>
  <c r="A410" s="1"/>
  <c r="A411" s="1"/>
  <c r="A1245" s="1"/>
  <c r="A412" s="1"/>
  <c r="A1246" s="1"/>
  <c r="A1247" s="1"/>
  <c r="A413" s="1"/>
  <c r="A1248" s="1"/>
  <c r="A414" s="1"/>
  <c r="A415" s="1"/>
  <c r="A1249" s="1"/>
  <c r="A416" s="1"/>
  <c r="A417" s="1"/>
  <c r="A418" s="1"/>
  <c r="A419" s="1"/>
  <c r="A1250" s="1"/>
  <c r="A1251" s="1"/>
  <c r="A420" s="1"/>
  <c r="A421" s="1"/>
  <c r="A1252" s="1"/>
  <c r="A1253" s="1"/>
  <c r="A422" s="1"/>
  <c r="A1254" s="1"/>
  <c r="A1255" s="1"/>
  <c r="A423" s="1"/>
  <c r="A424" s="1"/>
  <c r="A1256" s="1"/>
  <c r="A1257" s="1"/>
  <c r="A425" s="1"/>
  <c r="A1258" s="1"/>
  <c r="A426" s="1"/>
  <c r="A427" s="1"/>
  <c r="A1259" s="1"/>
  <c r="A1260" s="1"/>
  <c r="A428" s="1"/>
  <c r="A429" s="1"/>
  <c r="A1261" s="1"/>
  <c r="A430" s="1"/>
  <c r="A1262" s="1"/>
  <c r="A431" s="1"/>
  <c r="A1263" s="1"/>
  <c r="A432" s="1"/>
  <c r="A433" s="1"/>
  <c r="A1264" s="1"/>
  <c r="A434" s="1"/>
  <c r="A435" s="1"/>
  <c r="A436" s="1"/>
  <c r="A1265" s="1"/>
  <c r="A437" s="1"/>
  <c r="A438" s="1"/>
  <c r="A1266" s="1"/>
  <c r="A1267" s="1"/>
  <c r="A439" s="1"/>
  <c r="A1268" s="1"/>
  <c r="A1269" s="1"/>
  <c r="A440" s="1"/>
  <c r="A441" s="1"/>
  <c r="A1270" s="1"/>
  <c r="A1271" s="1"/>
  <c r="A442" s="1"/>
  <c r="A1272" s="1"/>
  <c r="A443" s="1"/>
  <c r="A1273" s="1"/>
  <c r="A1274" s="1"/>
  <c r="A1275" s="1"/>
  <c r="A444" s="1"/>
  <c r="A1276" s="1"/>
  <c r="A1277" s="1"/>
  <c r="A446" s="1"/>
  <c r="A1278" s="1"/>
  <c r="A1279" s="1"/>
  <c r="A447" s="1"/>
  <c r="A1280" s="1"/>
  <c r="A1281" s="1"/>
  <c r="A448" s="1"/>
  <c r="A1282" s="1"/>
  <c r="A1283" s="1"/>
  <c r="A449" s="1"/>
  <c r="A1284" s="1"/>
  <c r="A1285" s="1"/>
  <c r="A1286" s="1"/>
  <c r="A450" s="1"/>
  <c r="A1287" s="1"/>
  <c r="A1288" s="1"/>
  <c r="A1289" s="1"/>
  <c r="A451" s="1"/>
  <c r="A1290" s="1"/>
  <c r="A452" s="1"/>
  <c r="A453" s="1"/>
  <c r="A1291" s="1"/>
  <c r="A1292" s="1"/>
  <c r="A454" s="1"/>
  <c r="A1293" s="1"/>
  <c r="A455" s="1"/>
  <c r="A1294" s="1"/>
  <c r="A456" s="1"/>
  <c r="A1295" s="1"/>
  <c r="A1296" s="1"/>
  <c r="A1297" s="1"/>
  <c r="A457" s="1"/>
  <c r="A458" s="1"/>
  <c r="A459" s="1"/>
  <c r="A1298" s="1"/>
  <c r="A1299" s="1"/>
  <c r="A1300" s="1"/>
  <c r="A460" s="1"/>
  <c r="A1301" s="1"/>
  <c r="A461" s="1"/>
  <c r="A1302" s="1"/>
  <c r="A1303" s="1"/>
  <c r="A462" s="1"/>
  <c r="A1304" s="1"/>
  <c r="A1305" s="1"/>
  <c r="A463" s="1"/>
  <c r="A1306" s="1"/>
  <c r="A1307" s="1"/>
  <c r="A464" s="1"/>
  <c r="A1308" s="1"/>
  <c r="A465" s="1"/>
  <c r="A1309" s="1"/>
  <c r="A1310" s="1"/>
  <c r="A466" s="1"/>
  <c r="A467" s="1"/>
  <c r="A1311" s="1"/>
  <c r="A468" s="1"/>
  <c r="A1312" s="1"/>
  <c r="A469" s="1"/>
  <c r="A470" s="1"/>
  <c r="A471" s="1"/>
  <c r="A1313" s="1"/>
  <c r="A472" s="1"/>
  <c r="A473" s="1"/>
  <c r="A1314" s="1"/>
  <c r="A474" s="1"/>
  <c r="A1315" s="1"/>
  <c r="A475" s="1"/>
  <c r="A1316" s="1"/>
  <c r="A1317" s="1"/>
  <c r="A476" s="1"/>
  <c r="A1318" s="1"/>
  <c r="A477" s="1"/>
  <c r="A1319" s="1"/>
  <c r="A1320" s="1"/>
  <c r="A1321" s="1"/>
  <c r="A478" s="1"/>
  <c r="A1322" s="1"/>
  <c r="A479" s="1"/>
  <c r="A1323" s="1"/>
  <c r="A480" s="1"/>
  <c r="A1324" s="1"/>
  <c r="A481" s="1"/>
  <c r="A1325" s="1"/>
  <c r="A1326" s="1"/>
  <c r="A482" s="1"/>
  <c r="A1327" s="1"/>
  <c r="A483" s="1"/>
  <c r="A484" s="1"/>
  <c r="A485" s="1"/>
  <c r="A486" s="1"/>
  <c r="A1328" s="1"/>
  <c r="A487" s="1"/>
  <c r="A1329" s="1"/>
  <c r="A488" s="1"/>
  <c r="A489" s="1"/>
  <c r="A490" s="1"/>
  <c r="A491" s="1"/>
  <c r="A1330" s="1"/>
  <c r="A492" s="1"/>
  <c r="A493" s="1"/>
  <c r="A1331" s="1"/>
  <c r="A1332" s="1"/>
  <c r="A494" s="1"/>
  <c r="A1333" s="1"/>
  <c r="A1334" s="1"/>
  <c r="A495" s="1"/>
  <c r="A496" s="1"/>
  <c r="A497" s="1"/>
  <c r="A1335" s="1"/>
  <c r="A1336" s="1"/>
  <c r="A498" s="1"/>
  <c r="A499" s="1"/>
  <c r="A500" s="1"/>
  <c r="A501" s="1"/>
  <c r="A1337" s="1"/>
  <c r="A1338" s="1"/>
  <c r="A502" s="1"/>
  <c r="A503" s="1"/>
  <c r="A1339" s="1"/>
  <c r="A1340" s="1"/>
  <c r="A1341" s="1"/>
  <c r="A504" s="1"/>
  <c r="A1342" s="1"/>
  <c r="A505" s="1"/>
  <c r="A1343" s="1"/>
  <c r="A506" s="1"/>
  <c r="A507" s="1"/>
  <c r="A1344" s="1"/>
  <c r="A508" s="1"/>
  <c r="A509" s="1"/>
  <c r="A1345" s="1"/>
  <c r="A510" s="1"/>
  <c r="A1346" s="1"/>
  <c r="A511" s="1"/>
  <c r="A512" s="1"/>
  <c r="A513" s="1"/>
  <c r="A1347" s="1"/>
  <c r="A1348" s="1"/>
  <c r="A514" s="1"/>
  <c r="A1349" s="1"/>
  <c r="A515" s="1"/>
  <c r="A1655" s="1"/>
  <c r="A1350" s="1"/>
  <c r="A516" s="1"/>
  <c r="A1351" s="1"/>
  <c r="A1352" s="1"/>
  <c r="A1353" s="1"/>
  <c r="A1354" s="1"/>
  <c r="A517" s="1"/>
  <c r="A518" s="1"/>
  <c r="A1355" s="1"/>
  <c r="A1356" s="1"/>
  <c r="A519" s="1"/>
  <c r="A520" s="1"/>
  <c r="A1357" s="1"/>
  <c r="A521" s="1"/>
  <c r="A1358" s="1"/>
  <c r="A522" s="1"/>
  <c r="A1359" s="1"/>
  <c r="A1360" s="1"/>
  <c r="A1361" s="1"/>
  <c r="A523" s="1"/>
  <c r="A1362" s="1"/>
  <c r="A1363" s="1"/>
  <c r="A524" s="1"/>
  <c r="A1364" s="1"/>
  <c r="A1365" s="1"/>
  <c r="A525" s="1"/>
  <c r="A1366" s="1"/>
  <c r="A526" s="1"/>
  <c r="A1367" s="1"/>
  <c r="A1368" s="1"/>
  <c r="A527" s="1"/>
  <c r="A1369" s="1"/>
  <c r="A1370" s="1"/>
  <c r="A1371" s="1"/>
  <c r="A528" s="1"/>
  <c r="A1372" s="1"/>
  <c r="A529" s="1"/>
  <c r="A530" s="1"/>
  <c r="A531" s="1"/>
  <c r="A1373" s="1"/>
  <c r="A532" s="1"/>
  <c r="A1374" s="1"/>
  <c r="A533" s="1"/>
  <c r="A534" s="1"/>
  <c r="A1375" s="1"/>
  <c r="A535" s="1"/>
  <c r="A1376" s="1"/>
  <c r="A536" s="1"/>
  <c r="A537" s="1"/>
  <c r="A538" s="1"/>
  <c r="A1377" s="1"/>
  <c r="A539" s="1"/>
  <c r="A1378" s="1"/>
  <c r="A540" s="1"/>
  <c r="A541" s="1"/>
  <c r="A542" s="1"/>
  <c r="A1379" s="1"/>
  <c r="A1380" s="1"/>
  <c r="A1381" s="1"/>
  <c r="A1382" s="1"/>
  <c r="A1383" s="1"/>
  <c r="A543" s="1"/>
  <c r="A544" s="1"/>
  <c r="A1384" s="1"/>
  <c r="A1385" s="1"/>
  <c r="A545" s="1"/>
  <c r="A546" s="1"/>
  <c r="A1386" s="1"/>
  <c r="A547" s="1"/>
  <c r="A1387" s="1"/>
  <c r="A548" s="1"/>
  <c r="A549" s="1"/>
  <c r="A1388" s="1"/>
  <c r="A550" s="1"/>
  <c r="A551" s="1"/>
  <c r="A552" s="1"/>
  <c r="A1389" s="1"/>
  <c r="A553" s="1"/>
  <c r="A1390" s="1"/>
  <c r="A554" s="1"/>
  <c r="A1391" s="1"/>
  <c r="A1392" s="1"/>
  <c r="A555" s="1"/>
  <c r="A556" s="1"/>
  <c r="A1393" s="1"/>
  <c r="A557" s="1"/>
  <c r="A1394" s="1"/>
  <c r="A558" s="1"/>
  <c r="A1395" s="1"/>
  <c r="A559" s="1"/>
  <c r="A560" s="1"/>
  <c r="A1396" s="1"/>
  <c r="A561" s="1"/>
  <c r="A1397" s="1"/>
  <c r="A562" s="1"/>
  <c r="A1398" s="1"/>
  <c r="A563" s="1"/>
  <c r="A1399" s="1"/>
  <c r="A1400" s="1"/>
  <c r="A1401" s="1"/>
  <c r="A564" s="1"/>
  <c r="A1402" s="1"/>
  <c r="A565" s="1"/>
  <c r="A566" s="1"/>
  <c r="A1403" s="1"/>
  <c r="A1404" s="1"/>
  <c r="A1405" s="1"/>
  <c r="A567" s="1"/>
  <c r="A568" s="1"/>
  <c r="A1406" s="1"/>
  <c r="A1407" s="1"/>
  <c r="A1408" s="1"/>
  <c r="A569" s="1"/>
  <c r="A1409" s="1"/>
  <c r="A1410" s="1"/>
  <c r="A1411" s="1"/>
  <c r="A570" s="1"/>
  <c r="A1412" s="1"/>
  <c r="A1413" s="1"/>
  <c r="A571" s="1"/>
  <c r="A1414" s="1"/>
  <c r="A572" s="1"/>
  <c r="A573" s="1"/>
  <c r="A574" s="1"/>
  <c r="A1415" s="1"/>
  <c r="A575" s="1"/>
  <c r="A1416" s="1"/>
  <c r="A1417" s="1"/>
  <c r="A576" s="1"/>
  <c r="A577" s="1"/>
  <c r="A1418" s="1"/>
  <c r="A578" s="1"/>
  <c r="A1419" s="1"/>
  <c r="A579" s="1"/>
  <c r="A580" s="1"/>
  <c r="A1420" s="1"/>
  <c r="A1421" s="1"/>
  <c r="A581" s="1"/>
  <c r="A582" s="1"/>
  <c r="A1422" s="1"/>
  <c r="A1423" s="1"/>
  <c r="A583" s="1"/>
  <c r="A1424" s="1"/>
  <c r="A584" s="1"/>
  <c r="A1425" s="1"/>
  <c r="A585" s="1"/>
  <c r="A586" s="1"/>
  <c r="A1426" s="1"/>
  <c r="A1427" s="1"/>
  <c r="A587" s="1"/>
  <c r="A1428" s="1"/>
  <c r="A588" s="1"/>
  <c r="A589" s="1"/>
  <c r="A590" s="1"/>
  <c r="A1429" s="1"/>
  <c r="A591" s="1"/>
  <c r="A1430" s="1"/>
  <c r="A592" s="1"/>
  <c r="A1431" s="1"/>
  <c r="A593" s="1"/>
  <c r="A1432" s="1"/>
  <c r="A594" s="1"/>
  <c r="A595" s="1"/>
  <c r="A1433" s="1"/>
  <c r="A1434" s="1"/>
  <c r="A596" s="1"/>
  <c r="A1435" s="1"/>
  <c r="A597" s="1"/>
  <c r="A1436" s="1"/>
  <c r="A598" s="1"/>
  <c r="A1437" s="1"/>
  <c r="A1438" s="1"/>
  <c r="A1439" s="1"/>
  <c r="A599" s="1"/>
  <c r="A600" s="1"/>
  <c r="A1440" s="1"/>
  <c r="A1441" s="1"/>
  <c r="A601" s="1"/>
  <c r="A1442" s="1"/>
  <c r="A602" s="1"/>
  <c r="A1443" s="1"/>
  <c r="A603" s="1"/>
  <c r="A604" s="1"/>
  <c r="A605" s="1"/>
  <c r="A1444" s="1"/>
  <c r="A1445" s="1"/>
  <c r="A606" s="1"/>
  <c r="A607" s="1"/>
  <c r="A608" s="1"/>
  <c r="A1446" s="1"/>
  <c r="A609" s="1"/>
  <c r="A610" s="1"/>
  <c r="A611" s="1"/>
  <c r="A612" s="1"/>
  <c r="A1447" s="1"/>
  <c r="A613" s="1"/>
  <c r="A1448" s="1"/>
  <c r="A614" s="1"/>
  <c r="A615" s="1"/>
  <c r="A1449" s="1"/>
  <c r="A1656" s="1"/>
  <c r="A1450" s="1"/>
  <c r="A616" s="1"/>
  <c r="A617" s="1"/>
  <c r="A618" s="1"/>
  <c r="A1451" s="1"/>
  <c r="A619" s="1"/>
  <c r="A620" s="1"/>
  <c r="A1452" s="1"/>
  <c r="A1453" s="1"/>
  <c r="A621" s="1"/>
  <c r="A1454" s="1"/>
  <c r="A1455" s="1"/>
  <c r="A622" s="1"/>
  <c r="A1456" s="1"/>
  <c r="A623" s="1"/>
  <c r="A624" s="1"/>
  <c r="A1457" s="1"/>
  <c r="A625" s="1"/>
  <c r="A1458" s="1"/>
  <c r="A626" s="1"/>
  <c r="A627" s="1"/>
  <c r="A1459" s="1"/>
  <c r="A628" s="1"/>
  <c r="A1460" s="1"/>
  <c r="A629" s="1"/>
  <c r="A630" s="1"/>
  <c r="A1461" s="1"/>
  <c r="A631" s="1"/>
  <c r="A1462" s="1"/>
  <c r="A632" s="1"/>
  <c r="A1463" s="1"/>
  <c r="A1464" s="1"/>
  <c r="A1465" s="1"/>
  <c r="A1466" s="1"/>
  <c r="A633" s="1"/>
  <c r="A634" s="1"/>
  <c r="A635" s="1"/>
  <c r="A1467" s="1"/>
  <c r="A636" s="1"/>
  <c r="A637" s="1"/>
  <c r="A638" s="1"/>
  <c r="A1468" s="1"/>
  <c r="A1469" s="1"/>
  <c r="A639" s="1"/>
  <c r="A1470" s="1"/>
  <c r="A1471" s="1"/>
  <c r="A1472" s="1"/>
  <c r="A640" s="1"/>
  <c r="A1473" s="1"/>
  <c r="A641" s="1"/>
  <c r="A1474" s="1"/>
  <c r="A642" s="1"/>
  <c r="A1475" s="1"/>
  <c r="A643" s="1"/>
  <c r="A1476" s="1"/>
  <c r="A644" s="1"/>
  <c r="A645" s="1"/>
  <c r="A1477" s="1"/>
  <c r="A646" s="1"/>
  <c r="A1478" s="1"/>
  <c r="A647" s="1"/>
  <c r="A648" s="1"/>
  <c r="A1479" s="1"/>
  <c r="A649" s="1"/>
  <c r="A650" s="1"/>
  <c r="A651" s="1"/>
  <c r="A1480" s="1"/>
  <c r="A652" s="1"/>
  <c r="A1481" s="1"/>
  <c r="A1482" s="1"/>
  <c r="A653" s="1"/>
  <c r="A654" s="1"/>
  <c r="J1539" i="18"/>
  <c r="J1080" i="13"/>
  <c r="J87"/>
  <c r="J278"/>
  <c r="J122"/>
  <c r="J916"/>
  <c r="J270"/>
  <c r="J1606" i="18"/>
  <c r="J1587"/>
  <c r="J1269"/>
  <c r="J449" i="19"/>
  <c r="J184"/>
  <c r="J1092" i="18"/>
  <c r="J1297" i="19"/>
  <c r="J1301" i="18"/>
  <c r="J85" i="19"/>
  <c r="J199" i="18"/>
  <c r="J1613"/>
  <c r="J1355"/>
  <c r="J1248"/>
  <c r="J1205"/>
  <c r="J1136"/>
  <c r="J1086"/>
  <c r="J1046"/>
  <c r="J167"/>
  <c r="J1203"/>
  <c r="J321"/>
  <c r="J1196"/>
  <c r="J673" i="19"/>
  <c r="J1149"/>
  <c r="J253"/>
  <c r="J1094"/>
  <c r="J207"/>
  <c r="J1641"/>
  <c r="J1407"/>
  <c r="J1378"/>
  <c r="J411"/>
  <c r="J1235"/>
  <c r="J1384" i="18"/>
  <c r="J1025"/>
  <c r="J73"/>
  <c r="J1604" i="19"/>
  <c r="J700"/>
  <c r="J648"/>
  <c r="J1472"/>
  <c r="J1466"/>
  <c r="J623"/>
  <c r="J1449"/>
  <c r="J573"/>
  <c r="J1360"/>
  <c r="J1323"/>
  <c r="J1306"/>
  <c r="J1262"/>
  <c r="J396"/>
  <c r="J1204"/>
  <c r="J981" i="18"/>
  <c r="J747"/>
  <c r="J737" i="19"/>
  <c r="J1545"/>
  <c r="J1452"/>
  <c r="J715"/>
  <c r="J355"/>
  <c r="J955" i="13"/>
  <c r="J704"/>
  <c r="J57"/>
  <c r="J414"/>
  <c r="J413" i="18"/>
  <c r="J28"/>
  <c r="J1601"/>
  <c r="J1574"/>
  <c r="J983" i="19"/>
  <c r="J588"/>
  <c r="J1624" i="18"/>
  <c r="J1486"/>
  <c r="J762"/>
  <c r="J1268" i="19"/>
  <c r="J1499"/>
  <c r="J1585" i="18"/>
  <c r="J557"/>
  <c r="J670" i="19"/>
  <c r="J221" i="18"/>
  <c r="J286"/>
  <c r="J1465" i="19"/>
  <c r="J1121"/>
  <c r="J1645" i="18"/>
  <c r="J89" i="19"/>
  <c r="J753"/>
  <c r="J746"/>
  <c r="J1136"/>
  <c r="J1626"/>
  <c r="J656"/>
  <c r="J1478"/>
  <c r="J550"/>
  <c r="J847"/>
  <c r="J1248"/>
  <c r="J954"/>
  <c r="J408"/>
  <c r="J797" i="18"/>
  <c r="J117"/>
  <c r="J305" i="13"/>
  <c r="J66"/>
  <c r="J772"/>
  <c r="J1571"/>
  <c r="J1348"/>
  <c r="J203"/>
  <c r="J662"/>
  <c r="J906"/>
  <c r="J1028"/>
  <c r="J1008"/>
  <c r="J362"/>
  <c r="J1560" i="18"/>
  <c r="J1536"/>
  <c r="J1413"/>
  <c r="J1014"/>
  <c r="J668"/>
  <c r="J1031"/>
  <c r="J975"/>
  <c r="J917"/>
  <c r="J766"/>
  <c r="J365"/>
  <c r="J357"/>
  <c r="J339"/>
  <c r="J101"/>
  <c r="J60"/>
  <c r="J34"/>
  <c r="J1241"/>
  <c r="J903"/>
  <c r="J761"/>
  <c r="J728"/>
  <c r="J706"/>
  <c r="J657"/>
  <c r="J541"/>
  <c r="J494"/>
  <c r="J478"/>
  <c r="J462"/>
  <c r="J446"/>
  <c r="J412"/>
  <c r="J360"/>
  <c r="J342"/>
  <c r="J300"/>
  <c r="J284"/>
  <c r="J266"/>
  <c r="J189"/>
  <c r="J1085"/>
  <c r="J954"/>
  <c r="J785"/>
  <c r="J689"/>
  <c r="J1047"/>
  <c r="J987"/>
  <c r="J881"/>
  <c r="J704"/>
  <c r="J674"/>
  <c r="J634"/>
  <c r="J238"/>
  <c r="J116"/>
  <c r="J109"/>
  <c r="J16"/>
  <c r="J707"/>
  <c r="J514"/>
  <c r="J425"/>
  <c r="J1628"/>
  <c r="J1426"/>
  <c r="J1137"/>
  <c r="J1499"/>
  <c r="J223"/>
  <c r="J201"/>
  <c r="J178"/>
  <c r="J780"/>
  <c r="J703"/>
  <c r="J574"/>
  <c r="J432"/>
  <c r="J231"/>
  <c r="J30"/>
  <c r="J1553" i="19"/>
  <c r="J771"/>
  <c r="J1304"/>
  <c r="J1509" i="18"/>
  <c r="J511" i="19"/>
  <c r="J462"/>
  <c r="J96"/>
  <c r="J864"/>
  <c r="J524"/>
  <c r="J1326"/>
  <c r="J1289"/>
  <c r="J813"/>
  <c r="J1457"/>
  <c r="J1425"/>
  <c r="J535"/>
  <c r="J475"/>
  <c r="J1307"/>
  <c r="J1260"/>
  <c r="J382"/>
  <c r="J810"/>
  <c r="J517"/>
  <c r="J405"/>
  <c r="J1225"/>
  <c r="J1205"/>
  <c r="J1031"/>
  <c r="J140"/>
  <c r="J113"/>
  <c r="J773"/>
  <c r="J1263"/>
  <c r="J1214"/>
  <c r="J353"/>
  <c r="J1124"/>
  <c r="J1047"/>
  <c r="J530"/>
  <c r="J269"/>
  <c r="J1081"/>
  <c r="J170"/>
  <c r="J93"/>
  <c r="J92"/>
  <c r="J1492"/>
  <c r="J1415"/>
  <c r="J74"/>
  <c r="J863"/>
  <c r="J965"/>
  <c r="J851" i="18"/>
  <c r="J1089" i="19"/>
  <c r="J180"/>
  <c r="J953"/>
  <c r="J905"/>
  <c r="J461" i="18"/>
  <c r="J252"/>
  <c r="J1279" i="19"/>
  <c r="J590"/>
  <c r="J480"/>
  <c r="J1359"/>
  <c r="J570"/>
  <c r="J1330"/>
  <c r="J308"/>
  <c r="J1413"/>
  <c r="J516"/>
  <c r="J521"/>
  <c r="J729"/>
  <c r="J1555"/>
  <c r="J706"/>
  <c r="J1282"/>
  <c r="J1203"/>
  <c r="J828"/>
  <c r="J1543"/>
  <c r="J1481"/>
  <c r="J374"/>
  <c r="J1118"/>
  <c r="J967"/>
  <c r="J108"/>
  <c r="J796" i="18"/>
  <c r="J473" i="19"/>
  <c r="J1309"/>
  <c r="J370" i="18"/>
  <c r="J1230" i="19"/>
  <c r="J252"/>
  <c r="J203"/>
  <c r="J956"/>
  <c r="J1100" i="18"/>
  <c r="J188"/>
  <c r="J59"/>
  <c r="J216" i="19"/>
  <c r="J957"/>
  <c r="J187" i="18"/>
  <c r="J272" i="19"/>
  <c r="J285"/>
  <c r="J62"/>
  <c r="J874" i="18"/>
  <c r="J151" i="19"/>
  <c r="J1352" i="13"/>
  <c r="J1304"/>
  <c r="J1065"/>
  <c r="J643"/>
  <c r="J280"/>
  <c r="J272"/>
  <c r="J317"/>
  <c r="J603"/>
  <c r="J1248"/>
  <c r="J1124"/>
  <c r="J898"/>
  <c r="J377"/>
  <c r="J1051"/>
  <c r="J908"/>
  <c r="J1646"/>
  <c r="J1637" i="18"/>
  <c r="J1582"/>
  <c r="J1537"/>
  <c r="J1460"/>
  <c r="J1399"/>
  <c r="J1368"/>
  <c r="J1344"/>
  <c r="J1064"/>
  <c r="J647"/>
  <c r="J443"/>
  <c r="J170"/>
  <c r="J110"/>
  <c r="J1182"/>
  <c r="J1146"/>
  <c r="J696"/>
  <c r="J606"/>
  <c r="J218"/>
  <c r="J1278"/>
  <c r="J936"/>
  <c r="J729"/>
  <c r="J29"/>
  <c r="J491"/>
  <c r="J1520"/>
  <c r="J688"/>
  <c r="J585"/>
  <c r="J882"/>
  <c r="J1075"/>
  <c r="J1381"/>
  <c r="J133"/>
  <c r="J1195"/>
  <c r="J819"/>
  <c r="J710" i="19"/>
  <c r="J1518"/>
  <c r="J1638"/>
  <c r="J1629"/>
  <c r="J759"/>
  <c r="J611"/>
  <c r="J1146"/>
  <c r="J1084"/>
  <c r="J78"/>
  <c r="J1099"/>
  <c r="J1207"/>
  <c r="J1153"/>
  <c r="J832"/>
  <c r="J175"/>
  <c r="J104"/>
  <c r="J868"/>
  <c r="J884"/>
  <c r="J1038" i="18"/>
  <c r="J931" i="19"/>
  <c r="J10"/>
  <c r="J219" i="18"/>
  <c r="J716" i="19"/>
  <c r="J426"/>
  <c r="J1192"/>
  <c r="J1006"/>
  <c r="J860"/>
  <c r="J840"/>
  <c r="J797"/>
  <c r="J545"/>
  <c r="J1261"/>
  <c r="J292"/>
  <c r="J744"/>
  <c r="J485"/>
  <c r="J44" i="18"/>
  <c r="J1576" i="19"/>
  <c r="J518"/>
  <c r="J1158"/>
  <c r="J806"/>
  <c r="J597"/>
  <c r="J197"/>
  <c r="J501" i="18"/>
  <c r="J263" i="19"/>
  <c r="J1291"/>
  <c r="J162"/>
  <c r="J258"/>
  <c r="J1429" i="18"/>
  <c r="J1639"/>
  <c r="J1615"/>
  <c r="J1473"/>
  <c r="J1290"/>
  <c r="J1202"/>
  <c r="J1148"/>
  <c r="J1090"/>
  <c r="J1034"/>
  <c r="J1424"/>
  <c r="J1209"/>
  <c r="J1185"/>
  <c r="J1144"/>
  <c r="J1433"/>
  <c r="J1235"/>
  <c r="J1062"/>
  <c r="J655"/>
  <c r="J591"/>
  <c r="J552"/>
  <c r="J423"/>
  <c r="J371"/>
  <c r="J303"/>
  <c r="J237"/>
  <c r="J1346"/>
  <c r="J967"/>
  <c r="J672"/>
  <c r="J545"/>
  <c r="J498"/>
  <c r="J450"/>
  <c r="J364"/>
  <c r="J856"/>
  <c r="J522"/>
  <c r="J315"/>
  <c r="J1267"/>
  <c r="J243"/>
  <c r="J1561" i="19"/>
  <c r="J987"/>
  <c r="J925"/>
  <c r="J885"/>
  <c r="J901"/>
  <c r="J1097"/>
  <c r="J1017"/>
  <c r="J940"/>
  <c r="J604" i="18"/>
  <c r="J1605"/>
  <c r="J1532"/>
  <c r="J1648"/>
  <c r="J1626"/>
  <c r="J1591"/>
  <c r="J1548"/>
  <c r="J1471"/>
  <c r="J1360"/>
  <c r="J1251"/>
  <c r="J1524"/>
  <c r="J1285"/>
  <c r="J1111"/>
  <c r="J982"/>
  <c r="J958"/>
  <c r="J701"/>
  <c r="J664"/>
  <c r="J523"/>
  <c r="J1378"/>
  <c r="J1258"/>
  <c r="J1199"/>
  <c r="J1174"/>
  <c r="J1107"/>
  <c r="J985"/>
  <c r="J968"/>
  <c r="J331"/>
  <c r="J98"/>
  <c r="J50"/>
  <c r="J31"/>
  <c r="J401"/>
  <c r="J125"/>
  <c r="J665"/>
  <c r="J651"/>
  <c r="J841"/>
  <c r="J678"/>
  <c r="J661"/>
  <c r="J635"/>
  <c r="J1259"/>
  <c r="J745"/>
  <c r="J1390"/>
  <c r="J905"/>
  <c r="J929"/>
  <c r="J1409"/>
  <c r="J1284"/>
  <c r="J1226"/>
  <c r="J1190"/>
  <c r="J1180"/>
  <c r="J1147"/>
  <c r="J1089"/>
  <c r="J1073"/>
  <c r="J714"/>
  <c r="J298"/>
  <c r="J392"/>
  <c r="J1617"/>
  <c r="J645"/>
  <c r="J488"/>
  <c r="J1317"/>
  <c r="J833"/>
  <c r="J684"/>
  <c r="J1276"/>
  <c r="J984"/>
  <c r="J943"/>
  <c r="J666"/>
  <c r="J484"/>
  <c r="J754" i="19"/>
  <c r="J749"/>
  <c r="J738"/>
  <c r="J1570"/>
  <c r="J822"/>
  <c r="J1609"/>
  <c r="J583"/>
  <c r="J582"/>
  <c r="J1417"/>
  <c r="J1383"/>
  <c r="J420"/>
  <c r="J361"/>
  <c r="J786"/>
  <c r="J743"/>
  <c r="J1527"/>
  <c r="J1441"/>
  <c r="J493"/>
  <c r="J1266"/>
  <c r="J404"/>
  <c r="J368"/>
  <c r="J787"/>
  <c r="J1605"/>
  <c r="J1593"/>
  <c r="J1539"/>
  <c r="J1528"/>
  <c r="J676"/>
  <c r="J1458"/>
  <c r="J592"/>
  <c r="J1411"/>
  <c r="J548"/>
  <c r="J815"/>
  <c r="J1433"/>
  <c r="J422"/>
  <c r="J1171"/>
  <c r="J1067"/>
  <c r="J1013"/>
  <c r="J998"/>
  <c r="J893"/>
  <c r="J881"/>
  <c r="J844"/>
  <c r="J1606"/>
  <c r="J1542"/>
  <c r="J1447"/>
  <c r="J1386"/>
  <c r="J495"/>
  <c r="J1312"/>
  <c r="J1276"/>
  <c r="J436"/>
  <c r="J348"/>
  <c r="J305"/>
  <c r="J236"/>
  <c r="J159"/>
  <c r="J973"/>
  <c r="J106"/>
  <c r="J870"/>
  <c r="J1373" i="18"/>
  <c r="J1380" i="19"/>
  <c r="J536"/>
  <c r="J401"/>
  <c r="J205"/>
  <c r="J48"/>
  <c r="J966" i="18"/>
  <c r="J630" i="19"/>
  <c r="J1374"/>
  <c r="J523"/>
  <c r="J1331"/>
  <c r="J365"/>
  <c r="J1148"/>
  <c r="J11" i="18"/>
  <c r="J1445"/>
  <c r="J1400"/>
  <c r="J1562"/>
  <c r="J1527"/>
  <c r="J1263"/>
  <c r="J1425"/>
  <c r="J1228"/>
  <c r="J1178"/>
  <c r="J1129"/>
  <c r="J1074"/>
  <c r="J1018"/>
  <c r="J1117"/>
  <c r="J1063"/>
  <c r="J1022"/>
  <c r="J1184"/>
  <c r="J945"/>
  <c r="J855"/>
  <c r="J641"/>
  <c r="J609"/>
  <c r="J568"/>
  <c r="J516"/>
  <c r="J386"/>
  <c r="J319"/>
  <c r="J253"/>
  <c r="J211"/>
  <c r="J509"/>
  <c r="J474"/>
  <c r="J434"/>
  <c r="J1631"/>
  <c r="J1208"/>
  <c r="J1021"/>
  <c r="J648"/>
  <c r="J580"/>
  <c r="J225"/>
  <c r="J1127"/>
  <c r="J25"/>
  <c r="J230" i="19"/>
  <c r="J1034"/>
  <c r="J1056"/>
  <c r="J193"/>
  <c r="J129"/>
  <c r="J861"/>
  <c r="J247" i="18"/>
  <c r="J1629"/>
  <c r="J1475"/>
  <c r="J991"/>
  <c r="J1508"/>
  <c r="J1191"/>
  <c r="J974"/>
  <c r="J363"/>
  <c r="J157"/>
  <c r="J149"/>
  <c r="J1396"/>
  <c r="J1155"/>
  <c r="J1060"/>
  <c r="J840"/>
  <c r="J857"/>
  <c r="J820"/>
  <c r="J719"/>
  <c r="J1153"/>
  <c r="J622"/>
  <c r="J530"/>
  <c r="J838"/>
  <c r="J1206"/>
  <c r="J1010"/>
  <c r="J1545"/>
  <c r="J933"/>
  <c r="J1000"/>
  <c r="J817"/>
  <c r="J1028"/>
  <c r="J792"/>
  <c r="J754"/>
  <c r="J1646" i="19"/>
  <c r="J1627"/>
  <c r="J781"/>
  <c r="J1562"/>
  <c r="J1524"/>
  <c r="J679"/>
  <c r="J1476"/>
  <c r="J640"/>
  <c r="J622"/>
  <c r="J1550"/>
  <c r="J638"/>
  <c r="J1114"/>
  <c r="J1356"/>
  <c r="J1428"/>
  <c r="J1450"/>
  <c r="J1572"/>
  <c r="J890" i="18"/>
  <c r="J770"/>
  <c r="J384"/>
  <c r="J1247"/>
  <c r="J1169"/>
  <c r="J1106"/>
  <c r="J1614"/>
  <c r="J1566"/>
  <c r="J1534"/>
  <c r="J1512"/>
  <c r="J1418"/>
  <c r="J1293"/>
  <c r="J1257"/>
  <c r="J1083"/>
  <c r="J926"/>
  <c r="J788"/>
  <c r="J283"/>
  <c r="J121"/>
  <c r="J1443"/>
  <c r="J1397"/>
  <c r="J1358"/>
  <c r="J1219"/>
  <c r="J934"/>
  <c r="J898"/>
  <c r="J865"/>
  <c r="J559"/>
  <c r="J159"/>
  <c r="J1595"/>
  <c r="J1286"/>
  <c r="J1154"/>
  <c r="J789"/>
  <c r="J659"/>
  <c r="J607"/>
  <c r="J507"/>
  <c r="J310"/>
  <c r="J263"/>
  <c r="J1353"/>
  <c r="J1121"/>
  <c r="J902"/>
  <c r="J864"/>
  <c r="J734"/>
  <c r="J623"/>
  <c r="J539"/>
  <c r="J485"/>
  <c r="J349"/>
  <c r="J1622"/>
  <c r="J1571"/>
  <c r="J1542"/>
  <c r="J1415"/>
  <c r="J1227"/>
  <c r="J1192"/>
  <c r="J1069"/>
  <c r="J675"/>
  <c r="J656"/>
  <c r="J583"/>
  <c r="J551"/>
  <c r="J518"/>
  <c r="J411"/>
  <c r="J358"/>
  <c r="J1619" i="19"/>
  <c r="J1589"/>
  <c r="J725"/>
  <c r="J571"/>
  <c r="J802"/>
  <c r="J798"/>
  <c r="J766"/>
  <c r="J740"/>
  <c r="J1546"/>
  <c r="J632"/>
  <c r="J627"/>
  <c r="J748"/>
  <c r="J1573"/>
  <c r="J567"/>
  <c r="J959"/>
  <c r="J1639"/>
  <c r="J799"/>
  <c r="J764"/>
  <c r="J1577"/>
  <c r="J713"/>
  <c r="J1508"/>
  <c r="J645"/>
  <c r="J641"/>
  <c r="J631"/>
  <c r="J1625"/>
  <c r="J1580"/>
  <c r="J1498"/>
  <c r="J458"/>
  <c r="J1246"/>
  <c r="J1219"/>
  <c r="J747"/>
  <c r="J714"/>
  <c r="J1544"/>
  <c r="J702"/>
  <c r="J1491"/>
  <c r="J659"/>
  <c r="J634"/>
  <c r="J605"/>
  <c r="J568"/>
  <c r="J1392"/>
  <c r="J1585"/>
  <c r="J688"/>
  <c r="J1506"/>
  <c r="J1345"/>
  <c r="J1267"/>
  <c r="J419"/>
  <c r="J380"/>
  <c r="J1221"/>
  <c r="J1183"/>
  <c r="J1177"/>
  <c r="J273"/>
  <c r="J256"/>
  <c r="J1032"/>
  <c r="J1016"/>
  <c r="J141"/>
  <c r="J958"/>
  <c r="J929"/>
  <c r="J915"/>
  <c r="J77"/>
  <c r="J865"/>
  <c r="J18"/>
  <c r="J976" i="18"/>
  <c r="J728" i="19"/>
  <c r="J1482"/>
  <c r="J651"/>
  <c r="J610"/>
  <c r="J1391"/>
  <c r="J1317"/>
  <c r="J447"/>
  <c r="J443"/>
  <c r="J398"/>
  <c r="J317"/>
  <c r="J1125"/>
  <c r="J213"/>
  <c r="J1049"/>
  <c r="J997"/>
  <c r="J117"/>
  <c r="J921"/>
  <c r="J917"/>
  <c r="J907"/>
  <c r="J68"/>
  <c r="J880"/>
  <c r="J15"/>
  <c r="J923" i="18"/>
  <c r="J460"/>
  <c r="J825" i="19"/>
  <c r="J1618"/>
  <c r="J677"/>
  <c r="J1454"/>
  <c r="J1385"/>
  <c r="J1337"/>
  <c r="J489"/>
  <c r="J1313"/>
  <c r="J1298"/>
  <c r="J441"/>
  <c r="J352"/>
  <c r="J347"/>
  <c r="J329"/>
  <c r="J318"/>
  <c r="J1127"/>
  <c r="J271"/>
  <c r="J1095"/>
  <c r="J171"/>
  <c r="J1007"/>
  <c r="J996"/>
  <c r="J137"/>
  <c r="J962"/>
  <c r="J911"/>
  <c r="J40"/>
  <c r="J7"/>
  <c r="J1244" i="18"/>
  <c r="J653"/>
  <c r="J1535" i="19"/>
  <c r="J1460"/>
  <c r="J1396"/>
  <c r="J529"/>
  <c r="J1366"/>
  <c r="J512"/>
  <c r="J1343"/>
  <c r="J1324"/>
  <c r="J425"/>
  <c r="J1224"/>
  <c r="J324"/>
  <c r="J323"/>
  <c r="J1119"/>
  <c r="J261"/>
  <c r="J1104"/>
  <c r="J29"/>
  <c r="J136"/>
  <c r="J11"/>
  <c r="J1635" i="18"/>
  <c r="J739"/>
  <c r="J1028" i="19"/>
  <c r="J1652"/>
  <c r="J1648"/>
  <c r="J723"/>
  <c r="J1531"/>
  <c r="J1507"/>
  <c r="J642"/>
  <c r="J625"/>
  <c r="J562"/>
  <c r="J507"/>
  <c r="J1310"/>
  <c r="J1651"/>
  <c r="J808"/>
  <c r="J791"/>
  <c r="J736"/>
  <c r="J719"/>
  <c r="J1520"/>
  <c r="J1511"/>
  <c r="J1494"/>
  <c r="J639"/>
  <c r="J1453"/>
  <c r="J1404"/>
  <c r="J794"/>
  <c r="J1489"/>
  <c r="J653"/>
  <c r="J1467"/>
  <c r="J649"/>
  <c r="J585"/>
  <c r="J1400"/>
  <c r="J513"/>
  <c r="J498"/>
  <c r="J1327"/>
  <c r="J459"/>
  <c r="J453"/>
  <c r="J1273"/>
  <c r="J312"/>
  <c r="J1135"/>
  <c r="J210"/>
  <c r="J1040"/>
  <c r="J1036"/>
  <c r="J992"/>
  <c r="J991"/>
  <c r="J118"/>
  <c r="J94"/>
  <c r="J84"/>
  <c r="J871"/>
  <c r="J4"/>
  <c r="J40" i="18"/>
  <c r="J1621" i="19"/>
  <c r="J693"/>
  <c r="J675"/>
  <c r="J669"/>
  <c r="J1469"/>
  <c r="J532"/>
  <c r="J1354"/>
  <c r="J478"/>
  <c r="J471"/>
  <c r="J461"/>
  <c r="J1295"/>
  <c r="J446"/>
  <c r="J1258"/>
  <c r="J418"/>
  <c r="J1189"/>
  <c r="J1181"/>
  <c r="J286"/>
  <c r="J1110"/>
  <c r="J223"/>
  <c r="J1059"/>
  <c r="J183"/>
  <c r="J182"/>
  <c r="J75"/>
  <c r="J892"/>
  <c r="J1039" i="18"/>
  <c r="J403"/>
  <c r="J720" i="19"/>
  <c r="J686"/>
  <c r="J1474"/>
  <c r="J618"/>
  <c r="J1442"/>
  <c r="J1421"/>
  <c r="J1410"/>
  <c r="J1377"/>
  <c r="J1353"/>
  <c r="J1320"/>
  <c r="J1301"/>
  <c r="J1277"/>
  <c r="J416"/>
  <c r="J1200"/>
  <c r="J302"/>
  <c r="J301"/>
  <c r="J283"/>
  <c r="J275"/>
  <c r="J240"/>
  <c r="J1055"/>
  <c r="J1051"/>
  <c r="J199"/>
  <c r="J157"/>
  <c r="J988"/>
  <c r="J936"/>
  <c r="J661"/>
  <c r="J1408"/>
  <c r="J510"/>
  <c r="J504"/>
  <c r="J1198"/>
  <c r="J303"/>
  <c r="J1113"/>
  <c r="J1101"/>
  <c r="J1075"/>
  <c r="J260"/>
  <c r="J943"/>
  <c r="J833"/>
  <c r="J830"/>
  <c r="J945"/>
  <c r="J24" i="18"/>
  <c r="J255"/>
  <c r="J972" i="13"/>
  <c r="J910"/>
  <c r="J402"/>
  <c r="J290"/>
  <c r="J852"/>
  <c r="J282"/>
  <c r="J1553" i="18"/>
  <c r="J1528"/>
  <c r="J1410"/>
  <c r="J1416"/>
  <c r="J1098"/>
  <c r="J1338"/>
  <c r="J1197"/>
  <c r="J1005"/>
  <c r="J957"/>
  <c r="J860"/>
  <c r="J831"/>
  <c r="J782"/>
  <c r="J748"/>
  <c r="J61"/>
  <c r="J1027"/>
  <c r="J1453"/>
  <c r="J1643"/>
  <c r="J1444"/>
  <c r="J1279"/>
  <c r="J1237"/>
  <c r="J1140"/>
  <c r="J868"/>
  <c r="J290"/>
  <c r="J1011"/>
  <c r="J931"/>
  <c r="J723"/>
  <c r="J512"/>
  <c r="J235"/>
  <c r="J5"/>
  <c r="J1428"/>
  <c r="J1128"/>
  <c r="J567"/>
  <c r="J340"/>
  <c r="J722"/>
  <c r="J1408"/>
  <c r="J1065"/>
  <c r="J772"/>
  <c r="J716"/>
  <c r="J644"/>
  <c r="J1648" i="13"/>
  <c r="J1045"/>
  <c r="J425"/>
  <c r="J605"/>
  <c r="J35"/>
  <c r="J552"/>
  <c r="J1538"/>
  <c r="J358"/>
  <c r="J209"/>
  <c r="J1036"/>
  <c r="J319"/>
  <c r="J1636"/>
  <c r="J91"/>
  <c r="J77"/>
  <c r="J1625" i="18"/>
  <c r="J1586"/>
  <c r="J1507"/>
  <c r="J1552"/>
  <c r="J1489"/>
  <c r="J1654"/>
  <c r="J1604"/>
  <c r="J1580"/>
  <c r="J1546"/>
  <c r="J1491"/>
  <c r="J1441"/>
  <c r="J1395"/>
  <c r="J1448"/>
  <c r="J1375"/>
  <c r="J1359"/>
  <c r="J1343"/>
  <c r="J1327"/>
  <c r="J1311"/>
  <c r="J1295"/>
  <c r="J1274"/>
  <c r="J1484"/>
  <c r="J1210"/>
  <c r="J1119"/>
  <c r="J1371"/>
  <c r="J1298"/>
  <c r="J1253"/>
  <c r="J1231"/>
  <c r="J1160"/>
  <c r="J1142"/>
  <c r="J1122"/>
  <c r="J1101"/>
  <c r="J1059"/>
  <c r="J1043"/>
  <c r="J1414"/>
  <c r="J863"/>
  <c r="J818"/>
  <c r="J467"/>
  <c r="J415"/>
  <c r="J281"/>
  <c r="J165"/>
  <c r="J459"/>
  <c r="J83"/>
  <c r="J694"/>
  <c r="J1126"/>
  <c r="J849"/>
  <c r="J697"/>
  <c r="J1079"/>
  <c r="J658"/>
  <c r="J204"/>
  <c r="J182"/>
  <c r="J154"/>
  <c r="J308"/>
  <c r="J1391"/>
  <c r="J1081"/>
  <c r="J1042"/>
  <c r="J955"/>
  <c r="J1218"/>
  <c r="J1120"/>
  <c r="J1113"/>
  <c r="J937"/>
  <c r="J242"/>
  <c r="J884"/>
  <c r="J810"/>
  <c r="J216"/>
  <c r="J205"/>
  <c r="J213"/>
  <c r="J100"/>
  <c r="J999"/>
  <c r="J715"/>
  <c r="J532"/>
  <c r="J525"/>
  <c r="J399"/>
  <c r="J359"/>
  <c r="J299"/>
  <c r="J291"/>
  <c r="J1436"/>
  <c r="J1294"/>
  <c r="J811"/>
  <c r="J755"/>
  <c r="J616"/>
  <c r="J575"/>
  <c r="J393"/>
  <c r="J1581"/>
  <c r="J1500"/>
  <c r="J1420"/>
  <c r="J1179"/>
  <c r="J677"/>
  <c r="J608"/>
  <c r="J531"/>
  <c r="J444"/>
  <c r="J377"/>
  <c r="J341"/>
  <c r="J282"/>
  <c r="J69"/>
  <c r="J951" i="13"/>
  <c r="J32"/>
  <c r="J748"/>
  <c r="J590"/>
  <c r="J532"/>
  <c r="J1598" i="18"/>
  <c r="J1466"/>
  <c r="J1401"/>
  <c r="J1322"/>
  <c r="J1469"/>
  <c r="J1339"/>
  <c r="J681"/>
  <c r="J1125"/>
  <c r="J1078"/>
  <c r="J964"/>
  <c r="J939"/>
  <c r="J844"/>
  <c r="J798"/>
  <c r="J732"/>
  <c r="J662"/>
  <c r="J39"/>
  <c r="J1350"/>
  <c r="J1342"/>
  <c r="J1066"/>
  <c r="J1318"/>
  <c r="J907"/>
  <c r="J615"/>
  <c r="J302"/>
  <c r="J385"/>
  <c r="J95"/>
  <c r="J1004"/>
  <c r="J410"/>
  <c r="J378"/>
  <c r="J1041"/>
  <c r="J899"/>
  <c r="J1603" i="13"/>
  <c r="J734"/>
  <c r="J894"/>
  <c r="J79"/>
  <c r="J16"/>
  <c r="J1652"/>
  <c r="J953"/>
  <c r="J990"/>
  <c r="J647"/>
  <c r="J534"/>
  <c r="J371"/>
  <c r="J1540"/>
  <c r="J1482" i="18"/>
  <c r="J1514"/>
  <c r="J1650"/>
  <c r="J1616"/>
  <c r="J1607"/>
  <c r="J1573"/>
  <c r="J1494"/>
  <c r="J1634"/>
  <c r="J1597"/>
  <c r="J1556"/>
  <c r="J1510"/>
  <c r="J1281"/>
  <c r="J1407"/>
  <c r="J1376"/>
  <c r="J1312"/>
  <c r="J1296"/>
  <c r="J1266"/>
  <c r="J1236"/>
  <c r="J1149"/>
  <c r="J1502"/>
  <c r="J1168"/>
  <c r="J497"/>
  <c r="J391"/>
  <c r="J184"/>
  <c r="J435"/>
  <c r="J48"/>
  <c r="J1217"/>
  <c r="J1006"/>
  <c r="J965"/>
  <c r="J828"/>
  <c r="J690"/>
  <c r="J639"/>
  <c r="J646"/>
  <c r="J296"/>
  <c r="J994"/>
  <c r="J400"/>
  <c r="J983"/>
  <c r="J1627"/>
  <c r="J1382"/>
  <c r="J1193"/>
  <c r="J972"/>
  <c r="J930"/>
  <c r="J767"/>
  <c r="J1273"/>
  <c r="J764"/>
  <c r="J540"/>
  <c r="J453"/>
  <c r="J611"/>
  <c r="J209"/>
  <c r="J9"/>
  <c r="J239"/>
  <c r="J114"/>
  <c r="J997"/>
  <c r="J676"/>
  <c r="J476"/>
  <c r="J445"/>
  <c r="J906"/>
  <c r="J883"/>
  <c r="J781"/>
  <c r="J614"/>
  <c r="J301"/>
  <c r="J1623"/>
  <c r="J1451"/>
  <c r="J1551"/>
  <c r="J1438"/>
  <c r="J1464"/>
  <c r="J1432"/>
  <c r="J1405"/>
  <c r="J1367"/>
  <c r="J1351"/>
  <c r="J1335"/>
  <c r="J1319"/>
  <c r="J1303"/>
  <c r="J1287"/>
  <c r="J1463"/>
  <c r="J1354"/>
  <c r="J1299"/>
  <c r="J1262"/>
  <c r="J1220"/>
  <c r="J1194"/>
  <c r="J1170"/>
  <c r="J1138"/>
  <c r="J1082"/>
  <c r="J1040"/>
  <c r="J1026"/>
  <c r="J1535"/>
  <c r="J1330"/>
  <c r="J1588"/>
  <c r="J1291"/>
  <c r="J1234"/>
  <c r="J1118"/>
  <c r="J1055"/>
  <c r="J1513"/>
  <c r="J1347"/>
  <c r="J1135"/>
  <c r="J1054"/>
  <c r="J1003"/>
  <c r="J932"/>
  <c r="J916"/>
  <c r="J900"/>
  <c r="J877"/>
  <c r="J866"/>
  <c r="J773"/>
  <c r="J717"/>
  <c r="J138"/>
  <c r="J64"/>
  <c r="J1379"/>
  <c r="J1008"/>
  <c r="J935"/>
  <c r="J889"/>
  <c r="J821"/>
  <c r="J803"/>
  <c r="J752"/>
  <c r="J720"/>
  <c r="J1164"/>
  <c r="J1077"/>
  <c r="J919"/>
  <c r="J777"/>
  <c r="J650"/>
  <c r="J458"/>
  <c r="J390"/>
  <c r="J353"/>
  <c r="J338"/>
  <c r="J272"/>
  <c r="J848"/>
  <c r="J660"/>
  <c r="J602"/>
  <c r="J587"/>
  <c r="J564"/>
  <c r="J419"/>
  <c r="J323"/>
  <c r="J249"/>
  <c r="J233"/>
  <c r="J214"/>
  <c r="J2"/>
  <c r="J1315"/>
  <c r="J1173"/>
  <c r="J911"/>
  <c r="J847"/>
  <c r="J769"/>
  <c r="J667"/>
  <c r="J1240"/>
  <c r="J1093"/>
  <c r="J808"/>
  <c r="J768"/>
  <c r="J685"/>
  <c r="J1097"/>
  <c r="J895"/>
  <c r="J827"/>
  <c r="J721"/>
  <c r="J1107" i="13"/>
  <c r="J1140"/>
  <c r="J1006"/>
  <c r="J1368"/>
  <c r="J1322"/>
  <c r="J1057"/>
  <c r="J679"/>
  <c r="J660"/>
  <c r="J487"/>
  <c r="J99"/>
  <c r="J83"/>
  <c r="J609"/>
  <c r="J412"/>
  <c r="J286"/>
  <c r="J1163"/>
  <c r="J617"/>
  <c r="J1235"/>
  <c r="J303"/>
  <c r="J276"/>
  <c r="J1478"/>
  <c r="J404"/>
  <c r="J284"/>
  <c r="J1400"/>
  <c r="J787"/>
  <c r="J641"/>
  <c r="J201"/>
  <c r="J1523" i="18"/>
  <c r="J1632"/>
  <c r="J1540"/>
  <c r="J1481"/>
  <c r="J1647"/>
  <c r="J1596"/>
  <c r="J1565"/>
  <c r="J1492"/>
  <c r="J1454"/>
  <c r="J1437"/>
  <c r="J1421"/>
  <c r="J1392"/>
  <c r="J1268"/>
  <c r="J1612"/>
  <c r="J1583"/>
  <c r="J1440"/>
  <c r="J1403"/>
  <c r="J1383"/>
  <c r="J1256"/>
  <c r="J1559"/>
  <c r="J1554"/>
  <c r="J1459"/>
  <c r="J1386"/>
  <c r="J1331"/>
  <c r="J1277"/>
  <c r="J1362"/>
  <c r="J1307"/>
  <c r="J1261"/>
  <c r="J1245"/>
  <c r="J1213"/>
  <c r="J1152"/>
  <c r="J1132"/>
  <c r="J1114"/>
  <c r="J1067"/>
  <c r="J1051"/>
  <c r="J1181"/>
  <c r="J1108"/>
  <c r="J1096"/>
  <c r="J1023"/>
  <c r="J1001"/>
  <c r="J980"/>
  <c r="J978"/>
  <c r="J960"/>
  <c r="J949"/>
  <c r="J852"/>
  <c r="J834"/>
  <c r="J812"/>
  <c r="J790"/>
  <c r="J779"/>
  <c r="J756"/>
  <c r="J740"/>
  <c r="J724"/>
  <c r="J1314"/>
  <c r="J1270"/>
  <c r="J1250"/>
  <c r="J1223"/>
  <c r="J1156"/>
  <c r="J1104"/>
  <c r="J1030"/>
  <c r="J989"/>
  <c r="J127"/>
  <c r="J546"/>
  <c r="J106"/>
  <c r="J90"/>
  <c r="J1370"/>
  <c r="J1017"/>
  <c r="J912"/>
  <c r="J815"/>
  <c r="J794"/>
  <c r="J744"/>
  <c r="J713"/>
  <c r="J632"/>
  <c r="J533"/>
  <c r="J502"/>
  <c r="J486"/>
  <c r="J470"/>
  <c r="J454"/>
  <c r="J438"/>
  <c r="J404"/>
  <c r="J367"/>
  <c r="J350"/>
  <c r="J334"/>
  <c r="J292"/>
  <c r="J276"/>
  <c r="J197"/>
  <c r="J1071"/>
  <c r="J896"/>
  <c r="J805"/>
  <c r="J743"/>
  <c r="J699"/>
  <c r="J1224"/>
  <c r="J952"/>
  <c r="J944"/>
  <c r="J837"/>
  <c r="J687"/>
  <c r="J520"/>
  <c r="J220"/>
  <c r="J10"/>
  <c r="J171"/>
  <c r="J53"/>
  <c r="J20"/>
  <c r="J1306"/>
  <c r="J1283"/>
  <c r="J1198"/>
  <c r="J1145"/>
  <c r="J973"/>
  <c r="J942"/>
  <c r="J825"/>
  <c r="J617"/>
  <c r="J599"/>
  <c r="J576"/>
  <c r="J560"/>
  <c r="J526"/>
  <c r="J430"/>
  <c r="J397"/>
  <c r="J379"/>
  <c r="J326"/>
  <c r="J311"/>
  <c r="J268"/>
  <c r="J261"/>
  <c r="J245"/>
  <c r="J229"/>
  <c r="J203"/>
  <c r="J1029"/>
  <c r="J751"/>
  <c r="J537"/>
  <c r="J506"/>
  <c r="J490"/>
  <c r="J466"/>
  <c r="J442"/>
  <c r="J416"/>
  <c r="J330"/>
  <c r="J288"/>
  <c r="J193"/>
  <c r="J1087"/>
  <c r="J823"/>
  <c r="J776"/>
  <c r="J630"/>
  <c r="J624"/>
  <c r="J556"/>
  <c r="J427"/>
  <c r="J375"/>
  <c r="J307"/>
  <c r="J207"/>
  <c r="J132"/>
  <c r="J1398" i="13"/>
  <c r="J321"/>
  <c r="J495"/>
  <c r="J649"/>
  <c r="J132"/>
  <c r="J607"/>
  <c r="J536"/>
  <c r="J874"/>
  <c r="J1644"/>
  <c r="J1609"/>
  <c r="J211"/>
  <c r="J1146"/>
  <c r="J385"/>
  <c r="J1324"/>
  <c r="J740"/>
  <c r="J582"/>
  <c r="J39"/>
  <c r="J1655" i="18"/>
  <c r="J1656"/>
  <c r="J1567"/>
  <c r="J1519"/>
  <c r="J1642"/>
  <c r="J1599"/>
  <c r="J1538"/>
  <c r="J1640"/>
  <c r="J1521"/>
  <c r="J1417"/>
  <c r="J1388"/>
  <c r="J1589"/>
  <c r="J1530"/>
  <c r="J1467"/>
  <c r="J1363"/>
  <c r="J1272"/>
  <c r="J1176"/>
  <c r="J1105"/>
  <c r="J990"/>
  <c r="J759"/>
  <c r="J970"/>
  <c r="J962"/>
  <c r="J924"/>
  <c r="J908"/>
  <c r="J885"/>
  <c r="J869"/>
  <c r="J765"/>
  <c r="J709"/>
  <c r="J1323"/>
  <c r="J1163"/>
  <c r="J1070"/>
  <c r="J1012"/>
  <c r="J971"/>
  <c r="J946"/>
  <c r="J880"/>
  <c r="J807"/>
  <c r="J786"/>
  <c r="J736"/>
  <c r="J618"/>
  <c r="J513"/>
  <c r="J394"/>
  <c r="J200"/>
  <c r="J1225"/>
  <c r="J996"/>
  <c r="J928"/>
  <c r="J873"/>
  <c r="J793"/>
  <c r="J727"/>
  <c r="J482"/>
  <c r="J408"/>
  <c r="J356"/>
  <c r="J346"/>
  <c r="J280"/>
  <c r="J1216"/>
  <c r="J904"/>
  <c r="J787"/>
  <c r="J613"/>
  <c r="J595"/>
  <c r="J572"/>
  <c r="J548"/>
  <c r="J383"/>
  <c r="J257"/>
  <c r="J241"/>
  <c r="J206"/>
  <c r="J140"/>
  <c r="J173"/>
  <c r="J55"/>
  <c r="J37"/>
  <c r="J6"/>
  <c r="J1461"/>
  <c r="J1188"/>
  <c r="J1124"/>
  <c r="J920"/>
  <c r="J888"/>
  <c r="J809"/>
  <c r="J712"/>
  <c r="J680"/>
  <c r="J264"/>
  <c r="J1406"/>
  <c r="J816"/>
  <c r="J801"/>
  <c r="J735"/>
  <c r="J222"/>
  <c r="J1249"/>
  <c r="J927"/>
  <c r="J872"/>
  <c r="J795"/>
  <c r="J753"/>
  <c r="J737"/>
  <c r="J627"/>
  <c r="J651" i="13"/>
  <c r="J356"/>
  <c r="J1486"/>
  <c r="J633"/>
  <c r="J558"/>
  <c r="J1530"/>
  <c r="J812"/>
  <c r="J101"/>
  <c r="J922"/>
  <c r="J708"/>
  <c r="J666"/>
  <c r="J1142"/>
  <c r="J2"/>
  <c r="J960"/>
  <c r="J1296"/>
  <c r="J53"/>
  <c r="J51"/>
  <c r="J85"/>
  <c r="J114"/>
  <c r="J1494"/>
  <c r="J1422"/>
  <c r="J41"/>
  <c r="J1548"/>
  <c r="J1316"/>
  <c r="J835"/>
  <c r="J850"/>
  <c r="J274"/>
  <c r="J1253"/>
  <c r="J1012"/>
  <c r="J781"/>
  <c r="J379"/>
  <c r="J309"/>
  <c r="J1611"/>
  <c r="J1614"/>
  <c r="J1071"/>
  <c r="J774"/>
  <c r="J529"/>
  <c r="J635"/>
  <c r="J364"/>
  <c r="J408"/>
  <c r="J28"/>
  <c r="J22"/>
  <c r="J702"/>
  <c r="J657"/>
  <c r="J130"/>
  <c r="J550"/>
  <c r="J1133"/>
  <c r="J793"/>
  <c r="J108"/>
  <c r="J1472"/>
  <c r="J1128"/>
  <c r="J1047"/>
  <c r="J292"/>
  <c r="J1638"/>
  <c r="J1086"/>
  <c r="J994"/>
  <c r="J949"/>
  <c r="J369"/>
  <c r="J20"/>
  <c r="J1306"/>
  <c r="J12"/>
  <c r="J1550"/>
  <c r="J423"/>
  <c r="J1522"/>
  <c r="J914"/>
  <c r="J1574"/>
  <c r="J827"/>
  <c r="J823"/>
  <c r="J110"/>
  <c r="J116"/>
  <c r="J970"/>
  <c r="J935"/>
  <c r="J825"/>
  <c r="J676"/>
  <c r="J417"/>
  <c r="J718"/>
  <c r="J833"/>
  <c r="J1273"/>
  <c r="J1137"/>
  <c r="J1601"/>
  <c r="J992"/>
  <c r="J1507"/>
  <c r="J982"/>
  <c r="J840"/>
  <c r="J1285"/>
  <c r="J1281"/>
  <c r="J1181"/>
  <c r="J838"/>
  <c r="J760"/>
  <c r="J627"/>
  <c r="J296"/>
  <c r="J513"/>
  <c r="J400"/>
  <c r="J965"/>
  <c r="J958"/>
  <c r="J659"/>
  <c r="J326"/>
  <c r="J214"/>
  <c r="J971"/>
  <c r="J1620"/>
  <c r="J1390"/>
  <c r="J626"/>
  <c r="J1106"/>
  <c r="J268"/>
  <c r="J1298"/>
  <c r="J1396"/>
  <c r="J759"/>
  <c r="J353"/>
  <c r="J18"/>
  <c r="J1283"/>
  <c r="J1138"/>
  <c r="J758"/>
  <c r="J625"/>
  <c r="J354"/>
  <c r="J133"/>
  <c r="J862"/>
  <c r="J62"/>
  <c r="J24"/>
  <c r="J554"/>
  <c r="J803"/>
  <c r="J1143"/>
  <c r="J863"/>
  <c r="J675"/>
  <c r="J86"/>
  <c r="J530"/>
  <c r="J1391"/>
  <c r="J1269"/>
  <c r="J1546"/>
  <c r="J10"/>
  <c r="J1191"/>
  <c r="J570"/>
  <c r="J367"/>
  <c r="J507"/>
  <c r="J1035"/>
  <c r="J168"/>
  <c r="J638"/>
  <c r="J40"/>
  <c r="J1455"/>
  <c r="J807"/>
  <c r="J82"/>
  <c r="J618"/>
  <c r="J1369"/>
  <c r="J966"/>
  <c r="J796"/>
  <c r="J187"/>
  <c r="J539"/>
  <c r="J1303"/>
  <c r="J152"/>
  <c r="J197"/>
  <c r="J266"/>
  <c r="J500"/>
  <c r="J395"/>
  <c r="J142"/>
  <c r="J1432"/>
  <c r="J1506"/>
  <c r="J1056"/>
  <c r="J1259"/>
  <c r="J937"/>
  <c r="J388"/>
  <c r="J88"/>
  <c r="J709"/>
  <c r="J1543"/>
  <c r="J1317"/>
  <c r="J1239"/>
  <c r="J866"/>
  <c r="J1621"/>
  <c r="J765"/>
  <c r="J328"/>
  <c r="J1007"/>
  <c r="J410"/>
  <c r="J1470"/>
  <c r="J902"/>
  <c r="J924"/>
  <c r="J406"/>
  <c r="J325"/>
  <c r="J261"/>
  <c r="J1380"/>
  <c r="J1302"/>
  <c r="J669"/>
  <c r="J136"/>
  <c r="J846"/>
  <c r="J294"/>
  <c r="J584"/>
  <c r="J757"/>
  <c r="J311"/>
  <c r="J1590"/>
  <c r="J1078"/>
  <c r="J421"/>
  <c r="J1420"/>
  <c r="J493"/>
  <c r="J987"/>
  <c r="J336"/>
  <c r="J1027"/>
  <c r="J92"/>
  <c r="J686"/>
  <c r="J352"/>
  <c r="J1291"/>
  <c r="J713"/>
  <c r="J8"/>
  <c r="J175"/>
  <c r="J117"/>
  <c r="J1653"/>
  <c r="J563"/>
  <c r="J245"/>
  <c r="J113"/>
  <c r="J38"/>
  <c r="J961"/>
  <c r="J932"/>
  <c r="J577"/>
  <c r="J519"/>
  <c r="J342"/>
  <c r="J466"/>
  <c r="J434"/>
  <c r="J46"/>
  <c r="J27"/>
  <c r="J1325"/>
  <c r="J1475"/>
  <c r="J1263"/>
  <c r="J65"/>
  <c r="J1247"/>
  <c r="J397"/>
  <c r="J1347"/>
  <c r="J1245"/>
  <c r="J828"/>
  <c r="J111"/>
  <c r="J755"/>
  <c r="J243"/>
  <c r="J183"/>
  <c r="J528"/>
  <c r="J1064"/>
  <c r="J624"/>
  <c r="J684"/>
  <c r="J1220"/>
  <c r="J399"/>
  <c r="J189"/>
  <c r="J458"/>
  <c r="J1631"/>
  <c r="J1355"/>
  <c r="J1397"/>
  <c r="J869"/>
  <c r="J610"/>
  <c r="J717"/>
  <c r="J1295"/>
  <c r="J448"/>
  <c r="J1132"/>
  <c r="J1052"/>
  <c r="J595"/>
  <c r="J859"/>
  <c r="J115"/>
  <c r="J569"/>
  <c r="J237"/>
  <c r="J1491"/>
  <c r="J1070"/>
  <c r="J688"/>
  <c r="J84"/>
  <c r="J522"/>
  <c r="J1383"/>
  <c r="J668"/>
  <c r="J177"/>
  <c r="J541"/>
  <c r="J506"/>
  <c r="J259"/>
  <c r="J227"/>
  <c r="J480"/>
  <c r="J1568"/>
  <c r="J1091"/>
  <c r="J1371"/>
  <c r="J102"/>
  <c r="J1427"/>
  <c r="J1656"/>
  <c r="J456"/>
  <c r="J166"/>
  <c r="J891"/>
  <c r="J235"/>
  <c r="J1629"/>
  <c r="J1525"/>
  <c r="J334"/>
  <c r="J1311"/>
  <c r="J749"/>
  <c r="J1209"/>
  <c r="J440"/>
  <c r="J1213"/>
  <c r="J1339"/>
  <c r="J1309"/>
  <c r="J981"/>
  <c r="J1228"/>
  <c r="J1062"/>
  <c r="J877"/>
  <c r="J509"/>
  <c r="J160"/>
  <c r="J599"/>
  <c r="J104"/>
  <c r="J36"/>
  <c r="J4"/>
  <c r="J474"/>
  <c r="J442"/>
  <c r="J711"/>
  <c r="J464"/>
  <c r="J735"/>
  <c r="J1502"/>
  <c r="J1519"/>
  <c r="J1038"/>
  <c r="J1582"/>
  <c r="J1046"/>
  <c r="J229"/>
  <c r="J1275"/>
  <c r="J216"/>
  <c r="J191"/>
  <c r="J106"/>
  <c r="J1406"/>
  <c r="J788"/>
  <c r="J338"/>
  <c r="J181"/>
  <c r="J1517"/>
  <c r="J694"/>
  <c r="J251"/>
  <c r="J1442"/>
  <c r="J1171"/>
  <c r="J1359"/>
  <c r="J1193"/>
  <c r="J1054"/>
  <c r="J811"/>
  <c r="J543"/>
  <c r="J346"/>
  <c r="J330"/>
  <c r="J350"/>
  <c r="J90"/>
  <c r="J52"/>
  <c r="J561"/>
  <c r="J482"/>
  <c r="J450"/>
  <c r="J719"/>
  <c r="J44"/>
  <c r="J517"/>
  <c r="J253"/>
  <c r="J794"/>
  <c r="J1435"/>
  <c r="J340"/>
  <c r="J959"/>
  <c r="J173"/>
  <c r="J1557"/>
  <c r="J1156"/>
  <c r="J575"/>
  <c r="J526"/>
  <c r="J767"/>
  <c r="J1533"/>
  <c r="J936"/>
  <c r="J452"/>
  <c r="J1649"/>
  <c r="J701"/>
  <c r="J1655"/>
  <c r="J1635"/>
  <c r="J499"/>
  <c r="J240"/>
  <c r="J521"/>
  <c r="J441"/>
  <c r="J196"/>
  <c r="J1615"/>
  <c r="J943"/>
  <c r="J911"/>
  <c r="J923"/>
  <c r="J1294"/>
  <c r="J1139"/>
  <c r="J583"/>
  <c r="J818"/>
  <c r="J1375"/>
  <c r="J1357"/>
  <c r="J918"/>
  <c r="J42"/>
  <c r="J1496"/>
  <c r="J109"/>
  <c r="J1567"/>
  <c r="J1645"/>
  <c r="J134"/>
  <c r="J1021"/>
  <c r="J1063"/>
  <c r="J1360"/>
  <c r="J1479"/>
  <c r="J19"/>
  <c r="J1212"/>
  <c r="J1092"/>
  <c r="J422"/>
  <c r="J915"/>
  <c r="J1367"/>
  <c r="J623"/>
  <c r="J426"/>
  <c r="J374"/>
  <c r="J855"/>
  <c r="J1205"/>
  <c r="J48"/>
  <c r="J23"/>
  <c r="J172"/>
  <c r="J386"/>
  <c r="J1208"/>
  <c r="J472"/>
  <c r="J17"/>
  <c r="J1234"/>
  <c r="J1155"/>
  <c r="J689"/>
  <c r="J1608"/>
  <c r="J1159"/>
  <c r="J3"/>
  <c r="J295"/>
  <c r="J851"/>
  <c r="J696"/>
  <c r="J100"/>
  <c r="J360"/>
  <c r="J726"/>
  <c r="J70"/>
  <c r="J1170"/>
  <c r="J907"/>
  <c r="J860"/>
  <c r="J1094"/>
  <c r="J430"/>
  <c r="J1307"/>
  <c r="J1591"/>
  <c r="J1529"/>
  <c r="J1374"/>
  <c r="J1405"/>
  <c r="J873"/>
  <c r="J1518"/>
  <c r="J1083"/>
  <c r="J878"/>
  <c r="J978"/>
  <c r="J756"/>
  <c r="J1641"/>
  <c r="J967"/>
  <c r="J1276"/>
  <c r="J697"/>
  <c r="J333"/>
  <c r="J1312"/>
  <c r="J710"/>
  <c r="J510"/>
  <c r="J1189"/>
  <c r="J903"/>
  <c r="J502"/>
  <c r="J1342"/>
  <c r="J432"/>
  <c r="J546"/>
  <c r="J476"/>
  <c r="J655"/>
  <c r="J1334"/>
  <c r="J1055"/>
  <c r="J382"/>
  <c r="J145"/>
  <c r="J1043"/>
  <c r="J1583"/>
  <c r="J265"/>
  <c r="J824"/>
  <c r="J1346"/>
  <c r="J131"/>
  <c r="J1586"/>
  <c r="J1098"/>
  <c r="J1014"/>
  <c r="J1005"/>
  <c r="J381"/>
  <c r="J1460"/>
  <c r="J494"/>
  <c r="J55"/>
  <c r="J228"/>
  <c r="J1384"/>
  <c r="J373"/>
  <c r="J1192"/>
  <c r="J1286"/>
  <c r="J525"/>
  <c r="J1418"/>
  <c r="J1173"/>
  <c r="J1338"/>
  <c r="J1117"/>
  <c r="J778"/>
  <c r="J722"/>
  <c r="J433"/>
  <c r="J310"/>
  <c r="J7"/>
  <c r="J473"/>
  <c r="J486"/>
  <c r="J283"/>
  <c r="J1600"/>
  <c r="J1154"/>
  <c r="J985"/>
  <c r="J1017"/>
  <c r="J1001"/>
  <c r="J783"/>
  <c r="J729"/>
  <c r="J881"/>
  <c r="J332"/>
  <c r="J1412"/>
  <c r="J461"/>
  <c r="J415"/>
  <c r="J403"/>
  <c r="J318"/>
  <c r="J232"/>
  <c r="J169"/>
  <c r="J137"/>
  <c r="J75"/>
  <c r="J1511"/>
  <c r="J1050"/>
  <c r="J449"/>
  <c r="J119"/>
  <c r="J1426"/>
  <c r="J784"/>
  <c r="J1566"/>
  <c r="J298"/>
  <c r="J484"/>
  <c r="J219"/>
  <c r="J1575"/>
  <c r="J762"/>
  <c r="J1594"/>
  <c r="J205"/>
  <c r="J118"/>
  <c r="J72"/>
  <c r="J30"/>
  <c r="J1182"/>
  <c r="J485"/>
  <c r="J396"/>
  <c r="J1150"/>
  <c r="J895"/>
  <c r="J644"/>
  <c r="J1612"/>
  <c r="J206"/>
  <c r="J1382"/>
  <c r="J1373"/>
  <c r="J1231"/>
  <c r="J940"/>
  <c r="J792"/>
  <c r="J444"/>
  <c r="J524"/>
  <c r="J156"/>
  <c r="J80"/>
  <c r="J1456"/>
  <c r="J1200"/>
  <c r="J928"/>
  <c r="J1452"/>
  <c r="J693"/>
  <c r="J680"/>
  <c r="J604"/>
  <c r="J260"/>
  <c r="J21"/>
  <c r="J1560"/>
  <c r="J389"/>
  <c r="J1596"/>
  <c r="J1136"/>
  <c r="J1112"/>
  <c r="J1003"/>
  <c r="J1282"/>
  <c r="J1176"/>
  <c r="J1216"/>
  <c r="J355"/>
  <c r="J1428"/>
  <c r="J839"/>
  <c r="J68"/>
  <c r="J770"/>
  <c r="J1499"/>
  <c r="J1415"/>
  <c r="J766"/>
  <c r="J1402"/>
  <c r="J1385"/>
  <c r="J1599"/>
  <c r="J1031"/>
  <c r="J700"/>
  <c r="J140"/>
  <c r="J1547"/>
  <c r="J1393"/>
  <c r="J780"/>
  <c r="J685"/>
  <c r="J648"/>
  <c r="J573"/>
  <c r="J537"/>
  <c r="J393"/>
  <c r="J370"/>
  <c r="J112"/>
  <c r="J1279"/>
  <c r="J158"/>
  <c r="J123"/>
  <c r="J1185"/>
  <c r="J1514"/>
  <c r="J1487"/>
  <c r="J591"/>
  <c r="J252"/>
  <c r="J1632"/>
  <c r="J1539"/>
  <c r="J1440"/>
  <c r="J275"/>
  <c r="J1637"/>
  <c r="J1551"/>
  <c r="J1147"/>
  <c r="J867"/>
  <c r="J801"/>
  <c r="J1556"/>
  <c r="J1308"/>
  <c r="J300"/>
  <c r="J652"/>
  <c r="J1471"/>
  <c r="J1490"/>
  <c r="J1627"/>
  <c r="J1188"/>
  <c r="J1149"/>
  <c r="J1410"/>
  <c r="J952"/>
  <c r="J800"/>
  <c r="J738"/>
  <c r="J628"/>
  <c r="J1023"/>
  <c r="J392"/>
  <c r="J1230"/>
  <c r="J947"/>
  <c r="J929"/>
  <c r="J739"/>
  <c r="J608"/>
  <c r="J559"/>
  <c r="J542"/>
  <c r="J199"/>
  <c r="J1167"/>
  <c r="J407"/>
  <c r="J322"/>
  <c r="J337"/>
  <c r="J25"/>
  <c r="J1178"/>
  <c r="J1030"/>
  <c r="J1203"/>
  <c r="J1103"/>
  <c r="J1628"/>
  <c r="J578"/>
  <c r="J153"/>
  <c r="J1016"/>
  <c r="J188"/>
  <c r="J1350"/>
  <c r="J1102"/>
  <c r="J1069"/>
  <c r="J999"/>
  <c r="J674"/>
  <c r="J1024"/>
  <c r="J586"/>
  <c r="J67"/>
  <c r="J6"/>
  <c r="J870"/>
  <c r="J743"/>
  <c r="J601"/>
  <c r="J574"/>
  <c r="J538"/>
  <c r="J469"/>
  <c r="J349"/>
  <c r="J180"/>
  <c r="J1122"/>
  <c r="J13"/>
  <c r="J1483"/>
  <c r="J1320"/>
  <c r="J1226"/>
  <c r="J1466"/>
  <c r="J974"/>
  <c r="J821"/>
  <c r="J224"/>
  <c r="J1441"/>
  <c r="J287"/>
  <c r="J71"/>
  <c r="J1445"/>
  <c r="J1060"/>
  <c r="J829"/>
  <c r="J551"/>
  <c r="J1271"/>
  <c r="J1079"/>
  <c r="J705"/>
  <c r="J533"/>
  <c r="J1254"/>
  <c r="J1174"/>
  <c r="J1526"/>
  <c r="J775"/>
  <c r="J1130"/>
  <c r="J1121"/>
  <c r="J164"/>
  <c r="J1204"/>
  <c r="J672"/>
  <c r="J568"/>
  <c r="J124"/>
  <c r="J457"/>
  <c r="J1260"/>
  <c r="J919"/>
  <c r="J217"/>
  <c r="J490"/>
  <c r="J1521"/>
  <c r="J1211"/>
  <c r="J1129"/>
  <c r="J976"/>
  <c r="J1457"/>
  <c r="J1409"/>
  <c r="J1356"/>
  <c r="J1323"/>
  <c r="J1297"/>
  <c r="J1274"/>
  <c r="J1270"/>
  <c r="J1252"/>
  <c r="J1148"/>
  <c r="J1131"/>
  <c r="J968"/>
  <c r="J1313"/>
  <c r="J1272"/>
  <c r="J1255"/>
  <c r="J1144"/>
  <c r="J721"/>
  <c r="J247"/>
  <c r="J1340"/>
  <c r="J1197"/>
  <c r="J1013"/>
  <c r="J888"/>
  <c r="J776"/>
  <c r="J683"/>
  <c r="J600"/>
  <c r="J460"/>
  <c r="J429"/>
  <c r="J1250"/>
  <c r="J185"/>
  <c r="J390"/>
  <c r="J171"/>
  <c r="J1563"/>
  <c r="J1113"/>
  <c r="J948"/>
  <c r="J634"/>
  <c r="J555"/>
  <c r="J418"/>
  <c r="J248"/>
  <c r="J58"/>
  <c r="J789"/>
  <c r="J150"/>
  <c r="J826"/>
  <c r="J1289"/>
  <c r="J1267"/>
  <c r="J1218"/>
  <c r="J127"/>
  <c r="J105"/>
  <c r="J271"/>
  <c r="J956"/>
  <c r="J481"/>
  <c r="J279"/>
  <c r="J730"/>
  <c r="J1351"/>
  <c r="J1386"/>
  <c r="J1061"/>
  <c r="J847"/>
  <c r="J302"/>
  <c r="J1033"/>
  <c r="J256"/>
  <c r="J1110"/>
  <c r="J329"/>
  <c r="J1482"/>
  <c r="J1362"/>
  <c r="J1166"/>
  <c r="J1162"/>
  <c r="J1451"/>
  <c r="J1266"/>
  <c r="J1379"/>
  <c r="J989"/>
  <c r="J1300"/>
  <c r="J195"/>
  <c r="J1366"/>
  <c r="J1040"/>
  <c r="J998"/>
  <c r="J468"/>
  <c r="J64"/>
  <c r="J288"/>
  <c r="J98"/>
  <c r="J54"/>
  <c r="J49"/>
  <c r="J962"/>
  <c r="J107"/>
  <c r="J1419"/>
  <c r="J1219"/>
  <c r="J1196"/>
  <c r="J518"/>
  <c r="J437"/>
  <c r="J378"/>
  <c r="J345"/>
  <c r="J291"/>
  <c r="J263"/>
  <c r="J184"/>
  <c r="J161"/>
  <c r="J94"/>
  <c r="J236"/>
  <c r="J1624"/>
  <c r="J1257"/>
  <c r="J1243"/>
  <c r="J1199"/>
  <c r="J221"/>
  <c r="J1095"/>
  <c r="J1403"/>
  <c r="J314"/>
  <c r="J661"/>
  <c r="J1592"/>
  <c r="J1437"/>
  <c r="J1416"/>
  <c r="J1217"/>
  <c r="J1157"/>
  <c r="J1101"/>
  <c r="J1278"/>
  <c r="J1109"/>
  <c r="J692"/>
  <c r="J593"/>
  <c r="J93"/>
  <c r="J1290"/>
  <c r="J1075"/>
  <c r="J973"/>
  <c r="J465"/>
  <c r="J244"/>
  <c r="J887"/>
  <c r="J1579"/>
  <c r="J1559"/>
  <c r="J1495"/>
  <c r="J1388"/>
  <c r="J883"/>
  <c r="J1535"/>
  <c r="J1160"/>
  <c r="J1607"/>
  <c r="J1354"/>
  <c r="J1019"/>
  <c r="J1010"/>
  <c r="J1114"/>
  <c r="J815"/>
  <c r="J844"/>
  <c r="J664"/>
  <c r="J746"/>
  <c r="J255"/>
  <c r="J126"/>
  <c r="J436"/>
  <c r="J14"/>
  <c r="J366"/>
  <c r="J920"/>
  <c r="J791"/>
  <c r="J557"/>
  <c r="J501"/>
  <c r="J475"/>
  <c r="J443"/>
  <c r="J186"/>
  <c r="J95"/>
  <c r="J56"/>
  <c r="J889"/>
  <c r="J754"/>
  <c r="J682"/>
  <c r="J631"/>
  <c r="J594"/>
  <c r="J581"/>
  <c r="J548"/>
  <c r="J505"/>
  <c r="J471"/>
  <c r="J439"/>
  <c r="J242"/>
  <c r="J198"/>
  <c r="J147"/>
  <c r="J1423"/>
  <c r="J1186"/>
  <c r="J752"/>
  <c r="J656"/>
  <c r="J560"/>
  <c r="J202"/>
  <c r="J836"/>
  <c r="J1523"/>
  <c r="J1433"/>
  <c r="J341"/>
  <c r="J306"/>
  <c r="J1542"/>
  <c r="J1345"/>
  <c r="J890"/>
  <c r="J1604"/>
  <c r="J1467"/>
  <c r="J1458"/>
  <c r="J1407"/>
  <c r="J1328"/>
  <c r="J1099"/>
  <c r="J733"/>
  <c r="J725"/>
  <c r="J1299"/>
  <c r="J1087"/>
  <c r="J210"/>
  <c r="J50"/>
  <c r="J363"/>
  <c r="J299"/>
  <c r="J31"/>
  <c r="J613"/>
  <c r="J453"/>
  <c r="J445"/>
  <c r="J1536"/>
  <c r="J1172"/>
  <c r="J1120"/>
  <c r="J1215"/>
  <c r="J1227"/>
  <c r="J843"/>
  <c r="J411"/>
  <c r="J176"/>
  <c r="J61"/>
  <c r="J157"/>
  <c r="J934"/>
  <c r="J1436"/>
  <c r="J1284"/>
  <c r="J1244"/>
  <c r="J1578"/>
  <c r="J1179"/>
  <c r="J1463"/>
  <c r="J1233"/>
  <c r="J1201"/>
  <c r="J1015"/>
  <c r="J1330"/>
  <c r="J1126"/>
  <c r="J223"/>
  <c r="J103"/>
  <c r="J1011"/>
  <c r="J78"/>
  <c r="J15"/>
  <c r="J81"/>
  <c r="J1411"/>
  <c r="J503"/>
  <c r="J89"/>
  <c r="J45"/>
  <c r="J933"/>
  <c r="J1222"/>
  <c r="J1082"/>
  <c r="J983"/>
  <c r="J899"/>
  <c r="J797"/>
  <c r="J629"/>
  <c r="J564"/>
  <c r="J96"/>
  <c r="J1074"/>
  <c r="J1125"/>
  <c r="J1088"/>
  <c r="J677"/>
  <c r="J587"/>
  <c r="J514"/>
  <c r="J34"/>
  <c r="J1555"/>
  <c r="J996"/>
  <c r="J1503"/>
  <c r="J773"/>
  <c r="J687"/>
  <c r="J1105"/>
  <c r="J950"/>
  <c r="J909"/>
  <c r="J868"/>
  <c r="J750"/>
  <c r="J678"/>
  <c r="J148"/>
  <c r="J29"/>
  <c r="J97"/>
  <c r="J1595"/>
  <c r="J1449"/>
  <c r="J1119"/>
  <c r="J900"/>
  <c r="J1587"/>
  <c r="J149"/>
  <c r="J1572"/>
  <c r="J809"/>
  <c r="J1377"/>
  <c r="J1251"/>
  <c r="J1072"/>
  <c r="J1337"/>
  <c r="J1237"/>
  <c r="J1158"/>
  <c r="J1104"/>
  <c r="J1096"/>
  <c r="J1241"/>
  <c r="J1169"/>
  <c r="J761"/>
  <c r="J344"/>
  <c r="J1617"/>
  <c r="J1326"/>
  <c r="J1041"/>
  <c r="J612"/>
  <c r="J1127"/>
  <c r="J925"/>
  <c r="J879"/>
  <c r="J786"/>
  <c r="J650"/>
  <c r="J611"/>
  <c r="J576"/>
  <c r="J508"/>
  <c r="J398"/>
  <c r="J372"/>
  <c r="J320"/>
  <c r="J304"/>
  <c r="J262"/>
  <c r="J246"/>
  <c r="J230"/>
  <c r="J204"/>
  <c r="J159"/>
  <c r="J143"/>
  <c r="J125"/>
  <c r="J946"/>
  <c r="J179"/>
  <c r="J1332"/>
  <c r="J1177"/>
  <c r="J977"/>
  <c r="J853"/>
  <c r="J690"/>
  <c r="J324"/>
  <c r="J218"/>
  <c r="J865"/>
  <c r="J348"/>
  <c r="J43"/>
  <c r="J5"/>
  <c r="J37"/>
  <c r="J1387"/>
  <c r="J941"/>
  <c r="J882"/>
  <c r="J547"/>
  <c r="J74"/>
  <c r="J1573"/>
  <c r="J1195"/>
  <c r="J857"/>
  <c r="J822"/>
  <c r="J1534"/>
  <c r="J747"/>
  <c r="J670"/>
  <c r="J639"/>
  <c r="J592"/>
  <c r="J498"/>
  <c r="J192"/>
  <c r="J141"/>
  <c r="J63"/>
  <c r="J1321"/>
  <c r="J856"/>
  <c r="J1508"/>
  <c r="J714"/>
  <c r="J1378"/>
  <c r="J1048"/>
  <c r="J1265"/>
  <c r="J1301"/>
  <c r="J1135"/>
  <c r="J1020"/>
  <c r="J858"/>
  <c r="J817"/>
  <c r="J703"/>
  <c r="J751"/>
  <c r="J988"/>
  <c r="J938"/>
  <c r="J893"/>
  <c r="J782"/>
  <c r="J720"/>
  <c r="J231"/>
  <c r="J11"/>
  <c r="J1580"/>
  <c r="J1476"/>
  <c r="J1164"/>
  <c r="J963"/>
  <c r="J1464"/>
  <c r="J884"/>
  <c r="J727"/>
  <c r="J1640"/>
  <c r="J1647"/>
  <c r="J1520"/>
  <c r="J1489"/>
  <c r="J1633"/>
  <c r="J1606"/>
  <c r="J1577"/>
  <c r="J1515"/>
  <c r="J1477"/>
  <c r="J1434"/>
  <c r="J1341"/>
  <c r="J1643"/>
  <c r="J1619"/>
  <c r="J1565"/>
  <c r="J1537"/>
  <c r="J1504"/>
  <c r="J1151"/>
  <c r="J1058"/>
  <c r="J1650"/>
  <c r="J1597"/>
  <c r="J1516"/>
  <c r="J1439"/>
  <c r="J1389"/>
  <c r="J1361"/>
  <c r="J1353"/>
  <c r="J1232"/>
  <c r="J1206"/>
  <c r="J1161"/>
  <c r="J1152"/>
  <c r="J1108"/>
  <c r="J742"/>
  <c r="J1431"/>
  <c r="J1358"/>
  <c r="J1044"/>
  <c r="J1002"/>
  <c r="J927"/>
  <c r="J239"/>
  <c r="J144"/>
  <c r="J1256"/>
  <c r="J622"/>
  <c r="J832"/>
  <c r="J1395"/>
  <c r="J26"/>
  <c r="J1032"/>
  <c r="J1018"/>
  <c r="J763"/>
  <c r="J640"/>
  <c r="J630"/>
  <c r="J588"/>
  <c r="J504"/>
  <c r="J478"/>
  <c r="J462"/>
  <c r="J446"/>
  <c r="J416"/>
  <c r="J351"/>
  <c r="J170"/>
  <c r="J154"/>
  <c r="J138"/>
  <c r="J121"/>
  <c r="J1141"/>
  <c r="J912"/>
  <c r="J715"/>
  <c r="J620"/>
  <c r="J597"/>
  <c r="J579"/>
  <c r="J200"/>
  <c r="J128"/>
  <c r="J497"/>
  <c r="J9"/>
  <c r="J1240"/>
  <c r="J1264"/>
  <c r="J808"/>
  <c r="J991"/>
  <c r="J892"/>
  <c r="J842"/>
  <c r="J1618"/>
  <c r="J1527"/>
  <c r="J1480"/>
  <c r="J1448"/>
  <c r="J1329"/>
  <c r="J1116"/>
  <c r="J1100"/>
  <c r="J1068"/>
  <c r="J805"/>
  <c r="J596"/>
  <c r="J477"/>
  <c r="J359"/>
  <c r="J165"/>
  <c r="J1474"/>
  <c r="J1333"/>
  <c r="J1280"/>
  <c r="J1223"/>
  <c r="J1168"/>
  <c r="J964"/>
  <c r="J837"/>
  <c r="J1588"/>
  <c r="J1488"/>
  <c r="J1364"/>
  <c r="J875"/>
  <c r="J816"/>
  <c r="A499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J1657"/>
  <c r="J1602"/>
  <c r="J1549"/>
  <c r="J1570"/>
  <c r="J1497"/>
  <c r="J1421"/>
  <c r="J1484"/>
  <c r="J1512"/>
  <c r="J1430"/>
  <c r="J1344"/>
  <c r="J1314"/>
  <c r="J1198"/>
  <c r="J1292"/>
  <c r="J954"/>
  <c r="J913"/>
  <c r="J871"/>
  <c r="J813"/>
  <c r="J1392"/>
  <c r="J1134"/>
  <c r="J1029"/>
  <c r="J820"/>
  <c r="J681"/>
  <c r="J598"/>
  <c r="J654"/>
  <c r="J544"/>
  <c r="J401"/>
  <c r="J289"/>
  <c r="J273"/>
  <c r="J854"/>
  <c r="J241"/>
  <c r="J841"/>
  <c r="J616"/>
  <c r="J323"/>
  <c r="J33"/>
  <c r="J897"/>
  <c r="J527"/>
  <c r="J467"/>
  <c r="J435"/>
  <c r="J387"/>
  <c r="J335"/>
  <c r="J745"/>
  <c r="J447"/>
  <c r="J361"/>
  <c r="J174"/>
  <c r="J1630"/>
  <c r="J1610"/>
  <c r="J1589"/>
  <c r="J1558"/>
  <c r="J1541"/>
  <c r="J1465"/>
  <c r="J1510"/>
  <c r="J1454"/>
  <c r="J1616"/>
  <c r="J1585"/>
  <c r="J1500"/>
  <c r="J1569"/>
  <c r="J1545"/>
  <c r="J1513"/>
  <c r="J1469"/>
  <c r="J1443"/>
  <c r="J1651"/>
  <c r="J1564"/>
  <c r="J1446"/>
  <c r="J1394"/>
  <c r="J1372"/>
  <c r="J1370"/>
  <c r="J1605"/>
  <c r="J1524"/>
  <c r="J1453"/>
  <c r="J1401"/>
  <c r="J1399"/>
  <c r="J1642"/>
  <c r="J1417"/>
  <c r="J1093"/>
  <c r="J1073"/>
  <c r="J1413"/>
  <c r="J1336"/>
  <c r="J1288"/>
  <c r="J1184"/>
  <c r="J1090"/>
  <c r="J1634"/>
  <c r="J1444"/>
  <c r="J1414"/>
  <c r="J1376"/>
  <c r="J1318"/>
  <c r="J980"/>
  <c r="J886"/>
  <c r="J1544"/>
  <c r="J1462"/>
  <c r="J1287"/>
  <c r="J1277"/>
  <c r="J1268"/>
  <c r="J1183"/>
  <c r="J1034"/>
  <c r="J979"/>
  <c r="J969"/>
  <c r="J1194"/>
  <c r="J930"/>
  <c r="J904"/>
  <c r="J834"/>
  <c r="J790"/>
  <c r="J732"/>
  <c r="J667"/>
  <c r="J665"/>
  <c r="J1363"/>
  <c r="J1319"/>
  <c r="J942"/>
  <c r="J785"/>
  <c r="J753"/>
  <c r="J698"/>
  <c r="J671"/>
  <c r="J567"/>
  <c r="J1084"/>
  <c r="J993"/>
  <c r="J921"/>
  <c r="J861"/>
  <c r="J707"/>
  <c r="J653"/>
  <c r="J531"/>
  <c r="J511"/>
  <c r="J419"/>
  <c r="J413"/>
  <c r="J405"/>
  <c r="J293"/>
  <c r="J285"/>
  <c r="J277"/>
  <c r="J269"/>
  <c r="J208"/>
  <c r="J1626"/>
  <c r="J1562"/>
  <c r="J1242"/>
  <c r="J1042"/>
  <c r="J1022"/>
  <c r="J777"/>
  <c r="J520"/>
  <c r="J249"/>
  <c r="J233"/>
  <c r="J207"/>
  <c r="J190"/>
  <c r="J129"/>
  <c r="J1424"/>
  <c r="J1076"/>
  <c r="J997"/>
  <c r="J636"/>
  <c r="J545"/>
  <c r="J515"/>
  <c r="J368"/>
  <c r="J343"/>
  <c r="J220"/>
  <c r="J799"/>
  <c r="J585"/>
  <c r="J562"/>
  <c r="J549"/>
  <c r="J483"/>
  <c r="J451"/>
  <c r="J394"/>
  <c r="J383"/>
  <c r="J339"/>
  <c r="J315"/>
  <c r="J1059"/>
  <c r="J716"/>
  <c r="J615"/>
  <c r="J512"/>
  <c r="J463"/>
  <c r="J431"/>
  <c r="J365"/>
  <c r="J331"/>
  <c r="J307"/>
  <c r="J250"/>
  <c r="J178"/>
  <c r="J155"/>
  <c r="J76"/>
  <c r="J1207"/>
  <c r="J572"/>
  <c r="J1622"/>
  <c r="J1581"/>
  <c r="J1473"/>
  <c r="J1501"/>
  <c r="J1625"/>
  <c r="J1598"/>
  <c r="J1505"/>
  <c r="J1561"/>
  <c r="J1450"/>
  <c r="J1584"/>
  <c r="J1429"/>
  <c r="J1066"/>
  <c r="J1554"/>
  <c r="J1221"/>
  <c r="J1081"/>
  <c r="J1493"/>
  <c r="J1381"/>
  <c r="J1145"/>
  <c r="J1498"/>
  <c r="J1438"/>
  <c r="J1408"/>
  <c r="J1225"/>
  <c r="J1085"/>
  <c r="J975"/>
  <c r="J313"/>
  <c r="J1293"/>
  <c r="J744"/>
  <c r="J723"/>
  <c r="J1115"/>
  <c r="J1009"/>
  <c r="J731"/>
  <c r="J606"/>
  <c r="J931"/>
  <c r="J896"/>
  <c r="J830"/>
  <c r="J779"/>
  <c r="J645"/>
  <c r="J535"/>
  <c r="J427"/>
  <c r="J409"/>
  <c r="J316"/>
  <c r="J297"/>
  <c r="J281"/>
  <c r="J1310"/>
  <c r="J945"/>
  <c r="J673"/>
  <c r="J496"/>
  <c r="J257"/>
  <c r="J225"/>
  <c r="J706"/>
  <c r="J540"/>
  <c r="J428"/>
  <c r="J384"/>
  <c r="J347"/>
  <c r="J699"/>
  <c r="J375"/>
  <c r="J880"/>
  <c r="J646"/>
  <c r="J589"/>
  <c r="J479"/>
  <c r="J391"/>
  <c r="J327"/>
  <c r="J234"/>
  <c r="J139"/>
  <c r="J1623"/>
  <c r="J1654"/>
  <c r="J1639"/>
  <c r="J1528"/>
  <c r="J1509"/>
  <c r="J1481"/>
  <c r="J1593"/>
  <c r="J1532"/>
  <c r="J1459"/>
  <c r="J1553"/>
  <c r="J1531"/>
  <c r="J1485"/>
  <c r="J1576"/>
  <c r="J1425"/>
  <c r="J1349"/>
  <c r="J1236"/>
  <c r="J1210"/>
  <c r="J1165"/>
  <c r="J1111"/>
  <c r="J1613"/>
  <c r="J1552"/>
  <c r="J1468"/>
  <c r="J1365"/>
  <c r="J1258"/>
  <c r="J1214"/>
  <c r="J1190"/>
  <c r="J1180"/>
  <c r="J1153"/>
  <c r="J1123"/>
  <c r="J1097"/>
  <c r="J1331"/>
  <c r="J1315"/>
  <c r="J1305"/>
  <c r="J1246"/>
  <c r="J1229"/>
  <c r="J1187"/>
  <c r="J1175"/>
  <c r="J1461"/>
  <c r="J1492"/>
  <c r="J1343"/>
  <c r="J1262"/>
  <c r="J1118"/>
  <c r="J1077"/>
  <c r="J957"/>
  <c r="J876"/>
  <c r="J795"/>
  <c r="J741"/>
  <c r="J695"/>
  <c r="J769"/>
  <c r="J1404"/>
  <c r="J1249"/>
  <c r="J1039"/>
  <c r="J1004"/>
  <c r="J984"/>
  <c r="J939"/>
  <c r="J917"/>
  <c r="J901"/>
  <c r="J885"/>
  <c r="J845"/>
  <c r="J810"/>
  <c r="J768"/>
  <c r="J728"/>
  <c r="J712"/>
  <c r="J1067"/>
  <c r="J995"/>
  <c r="J849"/>
  <c r="J798"/>
  <c r="J736"/>
  <c r="J658"/>
  <c r="J642"/>
  <c r="J602"/>
  <c r="J571"/>
  <c r="J424"/>
  <c r="J380"/>
  <c r="J312"/>
  <c r="J264"/>
  <c r="J254"/>
  <c r="J238"/>
  <c r="J212"/>
  <c r="J167"/>
  <c r="J151"/>
  <c r="J1335"/>
  <c r="J1327"/>
  <c r="J1224"/>
  <c r="J1202"/>
  <c r="J1053"/>
  <c r="J1025"/>
  <c r="J944"/>
  <c r="J771"/>
  <c r="J724"/>
  <c r="J1000"/>
  <c r="J986"/>
  <c r="J926"/>
  <c r="J864"/>
  <c r="J814"/>
  <c r="J804"/>
  <c r="J764"/>
  <c r="J308"/>
  <c r="J301"/>
  <c r="J215"/>
  <c r="J60"/>
  <c r="J1026"/>
  <c r="J905"/>
  <c r="J819"/>
  <c r="J663"/>
  <c r="J580"/>
  <c r="J516"/>
  <c r="J488"/>
  <c r="J470"/>
  <c r="J454"/>
  <c r="J438"/>
  <c r="J357"/>
  <c r="J267"/>
  <c r="J162"/>
  <c r="J146"/>
  <c r="J135"/>
  <c r="J59"/>
  <c r="J1089"/>
  <c r="J831"/>
  <c r="J806"/>
  <c r="J691"/>
  <c r="J614"/>
  <c r="J565"/>
  <c r="J553"/>
  <c r="J492"/>
  <c r="J376"/>
  <c r="J194"/>
  <c r="J182"/>
  <c r="J120"/>
  <c r="J489"/>
  <c r="J848"/>
  <c r="J632"/>
  <c r="J491"/>
  <c r="J459"/>
  <c r="J420"/>
  <c r="J222"/>
  <c r="J69"/>
  <c r="J1261"/>
  <c r="J872"/>
  <c r="J802"/>
  <c r="J737"/>
  <c r="J637"/>
  <c r="J619"/>
  <c r="J566"/>
  <c r="J556"/>
  <c r="J523"/>
  <c r="J455"/>
  <c r="J258"/>
  <c r="J226"/>
  <c r="J193"/>
  <c r="J163"/>
  <c r="H4" i="1"/>
  <c r="H3"/>
  <c r="H5"/>
  <c r="A513" i="13" l="1"/>
  <c r="A514" s="1"/>
  <c r="A515" s="1"/>
  <c r="A516" s="1"/>
  <c r="A517" s="1"/>
  <c r="A518" s="1"/>
  <c r="A519" s="1"/>
  <c r="A520" l="1"/>
  <c r="A521" s="1"/>
  <c r="A522" s="1"/>
  <c r="A523" s="1"/>
  <c r="A524" s="1"/>
  <c r="A525" s="1"/>
  <c r="A526" s="1"/>
  <c r="A527" s="1"/>
  <c r="A528" s="1"/>
  <c r="A529" l="1"/>
  <c r="A530" s="1"/>
  <c r="A531" s="1"/>
  <c r="A532" s="1"/>
  <c r="A533" s="1"/>
  <c r="A534" s="1"/>
  <c r="A535" s="1"/>
  <c r="A536" s="1"/>
  <c r="A537" s="1"/>
  <c r="A538" l="1"/>
  <c r="A539" s="1"/>
  <c r="A540" s="1"/>
  <c r="A541" s="1"/>
  <c r="A542" s="1"/>
  <c r="A543" s="1"/>
  <c r="A544" l="1"/>
  <c r="A545" s="1"/>
  <c r="A546" s="1"/>
  <c r="A547" l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l="1"/>
  <c r="A561" s="1"/>
  <c r="A562" s="1"/>
  <c r="A563" s="1"/>
  <c r="A564" s="1"/>
  <c r="A565" s="1"/>
  <c r="A566" s="1"/>
  <c r="A567" s="1"/>
  <c r="A568" s="1"/>
  <c r="A569" s="1"/>
  <c r="A570" l="1"/>
  <c r="A571" s="1"/>
  <c r="A572" s="1"/>
  <c r="A573" s="1"/>
  <c r="A574" l="1"/>
  <c r="A575" s="1"/>
  <c r="A576" s="1"/>
  <c r="A577" s="1"/>
  <c r="A578" s="1"/>
  <c r="A579" s="1"/>
  <c r="A580" l="1"/>
  <c r="A581" s="1"/>
  <c r="A582" s="1"/>
  <c r="A583" s="1"/>
  <c r="A585" l="1"/>
  <c r="A586" s="1"/>
  <c r="A587" s="1"/>
  <c r="A588" s="1"/>
  <c r="A589" s="1"/>
  <c r="A590" s="1"/>
  <c r="A591" s="1"/>
  <c r="A592" l="1"/>
  <c r="A593" s="1"/>
  <c r="A594" s="1"/>
  <c r="A595" s="1"/>
  <c r="A596" s="1"/>
  <c r="A597" s="1"/>
  <c r="A598" s="1"/>
  <c r="A599" s="1"/>
  <c r="A600" l="1"/>
  <c r="A601" s="1"/>
  <c r="A602" s="1"/>
  <c r="A603" s="1"/>
  <c r="A604" s="1"/>
  <c r="A605" s="1"/>
  <c r="A606" l="1"/>
  <c r="A607" s="1"/>
  <c r="A608" s="1"/>
  <c r="A609" s="1"/>
  <c r="A610" l="1"/>
  <c r="A611" s="1"/>
  <c r="A612" s="1"/>
  <c r="A613" s="1"/>
  <c r="A614" s="1"/>
  <c r="A615" l="1"/>
  <c r="A616" s="1"/>
  <c r="A617" s="1"/>
  <c r="A618" s="1"/>
  <c r="A619" s="1"/>
  <c r="A620" s="1"/>
  <c r="A621" s="1"/>
  <c r="A622" l="1"/>
  <c r="A623" s="1"/>
  <c r="A624" s="1"/>
  <c r="A625" s="1"/>
  <c r="A626" s="1"/>
  <c r="A627" s="1"/>
  <c r="A628" l="1"/>
  <c r="A629" s="1"/>
  <c r="A630" s="1"/>
  <c r="A631" l="1"/>
  <c r="A632" s="1"/>
  <c r="A633" s="1"/>
  <c r="A634" s="1"/>
  <c r="A635" s="1"/>
  <c r="A636" s="1"/>
  <c r="A637" l="1"/>
  <c r="A638" s="1"/>
  <c r="A639" s="1"/>
  <c r="A640" s="1"/>
  <c r="A641" l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l="1"/>
  <c r="A655" s="1"/>
  <c r="A656" s="1"/>
  <c r="A657" s="1"/>
  <c r="A658" s="1"/>
  <c r="A659" s="1"/>
  <c r="A660" l="1"/>
  <c r="A661" s="1"/>
  <c r="A662" s="1"/>
  <c r="A663" s="1"/>
  <c r="A664" l="1"/>
  <c r="A665" s="1"/>
  <c r="A666" s="1"/>
  <c r="A667" s="1"/>
  <c r="A668" s="1"/>
  <c r="A669" s="1"/>
  <c r="A670" s="1"/>
  <c r="A671" l="1"/>
  <c r="A672" s="1"/>
  <c r="A673" s="1"/>
  <c r="A674" s="1"/>
  <c r="A675" s="1"/>
  <c r="A676" s="1"/>
  <c r="A677" s="1"/>
  <c r="A678" s="1"/>
  <c r="A679" s="1"/>
  <c r="A680" s="1"/>
  <c r="A681" s="1"/>
  <c r="A682" s="1"/>
  <c r="A683" l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l="1"/>
  <c r="A698" s="1"/>
  <c r="A699" s="1"/>
  <c r="A700" s="1"/>
  <c r="A701" s="1"/>
  <c r="A702" s="1"/>
  <c r="A703" s="1"/>
  <c r="A704" s="1"/>
  <c r="A705" s="1"/>
  <c r="A706" s="1"/>
  <c r="A707" s="1"/>
  <c r="A708" s="1"/>
  <c r="A709" l="1"/>
  <c r="A710" s="1"/>
  <c r="A711" s="1"/>
  <c r="A712" s="1"/>
  <c r="A713" s="1"/>
  <c r="A714" s="1"/>
  <c r="A715" s="1"/>
  <c r="A716" s="1"/>
  <c r="A717" s="1"/>
  <c r="A718" s="1"/>
  <c r="A719" l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l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l="1"/>
  <c r="A750" s="1"/>
  <c r="A751" s="1"/>
  <c r="A752" s="1"/>
  <c r="A753" s="1"/>
  <c r="A754" s="1"/>
  <c r="A755" s="1"/>
  <c r="A756" s="1"/>
  <c r="A757" s="1"/>
  <c r="A758" s="1"/>
  <c r="A759" s="1"/>
  <c r="A760" s="1"/>
  <c r="A761" l="1"/>
  <c r="A762" s="1"/>
  <c r="A763" s="1"/>
  <c r="A764" s="1"/>
  <c r="A765" s="1"/>
  <c r="A766" s="1"/>
  <c r="A767" s="1"/>
  <c r="A768" s="1"/>
  <c r="A769" s="1"/>
  <c r="A770" s="1"/>
  <c r="A771" s="1"/>
  <c r="A772" l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l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l="1"/>
  <c r="A808" s="1"/>
  <c r="A809" s="1"/>
  <c r="A810" s="1"/>
  <c r="A811" s="1"/>
  <c r="A812" s="1"/>
  <c r="A813" s="1"/>
  <c r="A814" s="1"/>
  <c r="A815" s="1"/>
  <c r="A816" l="1"/>
  <c r="A817" s="1"/>
  <c r="A818" s="1"/>
  <c r="A819" s="1"/>
  <c r="A820" s="1"/>
  <c r="A821" s="1"/>
  <c r="A822" s="1"/>
  <c r="A823" s="1"/>
  <c r="A824" s="1"/>
  <c r="A825" s="1"/>
  <c r="A826" s="1"/>
  <c r="A827" s="1"/>
  <c r="A828" l="1"/>
  <c r="A829" s="1"/>
  <c r="A830" s="1"/>
  <c r="A831" s="1"/>
  <c r="A832" s="1"/>
  <c r="A833" s="1"/>
  <c r="A834" s="1"/>
  <c r="A835" s="1"/>
  <c r="A836" s="1"/>
  <c r="A837" s="1"/>
  <c r="A838" s="1"/>
  <c r="A839" s="1"/>
  <c r="A840" l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l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l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l="1"/>
  <c r="A885" s="1"/>
  <c r="A886" s="1"/>
  <c r="A887" s="1"/>
  <c r="A888" s="1"/>
  <c r="A889" s="1"/>
  <c r="A890" s="1"/>
  <c r="A891" s="1"/>
  <c r="A892" s="1"/>
  <c r="A894" l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l="1"/>
  <c r="A926" s="1"/>
  <c r="A927" s="1"/>
  <c r="A928" s="1"/>
  <c r="A929" l="1"/>
  <c r="A930" s="1"/>
  <c r="A931" s="1"/>
  <c r="A932" s="1"/>
  <c r="A933" s="1"/>
  <c r="A934" s="1"/>
  <c r="A935" s="1"/>
  <c r="A936" s="1"/>
  <c r="A937" s="1"/>
  <c r="A938" s="1"/>
  <c r="A939" l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l="1"/>
  <c r="A953" s="1"/>
  <c r="A954" s="1"/>
  <c r="A955" s="1"/>
  <c r="A956" s="1"/>
  <c r="A957" s="1"/>
  <c r="A958" s="1"/>
  <c r="A959" s="1"/>
  <c r="A960" s="1"/>
  <c r="A961" s="1"/>
  <c r="A962" s="1"/>
  <c r="A963" s="1"/>
  <c r="A964" l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l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l="1"/>
  <c r="A998" s="1"/>
  <c r="A999" s="1"/>
  <c r="A1000" s="1"/>
  <c r="A1001" s="1"/>
  <c r="A1002" s="1"/>
  <c r="A1003" s="1"/>
  <c r="A1004" s="1"/>
  <c r="A1005" s="1"/>
  <c r="A1006" s="1"/>
  <c r="A1007" s="1"/>
  <c r="A1008" s="1"/>
  <c r="A1009" s="1"/>
  <c r="A1010" s="1"/>
  <c r="A1011" l="1"/>
  <c r="A1012" s="1"/>
  <c r="A1013" s="1"/>
  <c r="A1014" s="1"/>
  <c r="A1015" s="1"/>
  <c r="A1016" s="1"/>
  <c r="A1017" s="1"/>
  <c r="A1018" s="1"/>
  <c r="A1019" s="1"/>
  <c r="A1020" s="1"/>
  <c r="A1021" s="1"/>
  <c r="A1022" s="1"/>
  <c r="A1023" s="1"/>
  <c r="A1024" s="1"/>
  <c r="A1025" s="1"/>
  <c r="A1026" l="1"/>
  <c r="A1027" s="1"/>
  <c r="A1028" s="1"/>
  <c r="A1029" s="1"/>
  <c r="A1030" s="1"/>
  <c r="A1031" s="1"/>
  <c r="A1032" s="1"/>
  <c r="A1033" s="1"/>
  <c r="A1034" s="1"/>
  <c r="A1035" s="1"/>
  <c r="A1036" s="1"/>
  <c r="A1037" s="1"/>
  <c r="A1038" s="1"/>
  <c r="A1039" s="1"/>
  <c r="A1040" s="1"/>
  <c r="A1041" l="1"/>
  <c r="A1042" s="1"/>
  <c r="A1043" s="1"/>
  <c r="A1044" s="1"/>
  <c r="A1045" s="1"/>
  <c r="A1046" s="1"/>
  <c r="A1047" s="1"/>
  <c r="A1048" s="1"/>
  <c r="A1049" s="1"/>
  <c r="A1050" s="1"/>
  <c r="A1051" s="1"/>
  <c r="A1052" l="1"/>
  <c r="A1053" s="1"/>
  <c r="A1054" s="1"/>
  <c r="A1055" s="1"/>
  <c r="A1056" s="1"/>
  <c r="A1057" s="1"/>
  <c r="A1058" s="1"/>
  <c r="A1059" s="1"/>
  <c r="A1060" s="1"/>
  <c r="A1061" s="1"/>
  <c r="A1062" s="1"/>
  <c r="A1063" s="1"/>
  <c r="A1064" s="1"/>
  <c r="A1065" s="1"/>
  <c r="A1066" s="1"/>
  <c r="A1067" s="1"/>
  <c r="A1068" s="1"/>
  <c r="A1069" s="1"/>
  <c r="A1070" s="1"/>
  <c r="A1071" l="1"/>
  <c r="A1072" s="1"/>
  <c r="A1073" s="1"/>
  <c r="A1074" s="1"/>
  <c r="A1075" s="1"/>
  <c r="A1076" s="1"/>
  <c r="A1077" s="1"/>
  <c r="A1078" s="1"/>
  <c r="A1079" s="1"/>
  <c r="A1080" s="1"/>
  <c r="A1081" s="1"/>
  <c r="A1082" s="1"/>
  <c r="A1083" s="1"/>
  <c r="A1084" s="1"/>
  <c r="A1085" s="1"/>
  <c r="A1086" s="1"/>
  <c r="A1087" s="1"/>
  <c r="A1088" l="1"/>
  <c r="A1089" s="1"/>
  <c r="A1090" s="1"/>
  <c r="A1091" s="1"/>
  <c r="A1092" s="1"/>
  <c r="A1093" s="1"/>
  <c r="A1094" s="1"/>
  <c r="A1095" s="1"/>
  <c r="A1096" s="1"/>
  <c r="A1097" s="1"/>
  <c r="A1098" s="1"/>
  <c r="A1099" s="1"/>
  <c r="A1100" s="1"/>
  <c r="A1101" s="1"/>
  <c r="A1102" s="1"/>
  <c r="A1103" s="1"/>
  <c r="A1104" s="1"/>
  <c r="A1105" l="1"/>
  <c r="A1106" s="1"/>
  <c r="A1107" s="1"/>
  <c r="A1108" s="1"/>
  <c r="A1109" s="1"/>
  <c r="A1110" s="1"/>
  <c r="A1111" s="1"/>
  <c r="A1112" s="1"/>
  <c r="A1113" s="1"/>
  <c r="A1114" s="1"/>
  <c r="A1115" s="1"/>
  <c r="A1116" s="1"/>
  <c r="A1117" s="1"/>
  <c r="A1118" s="1"/>
  <c r="A1119" l="1"/>
  <c r="A1120" s="1"/>
  <c r="A1121" s="1"/>
  <c r="A1122" s="1"/>
  <c r="A1123" s="1"/>
  <c r="A1124" s="1"/>
  <c r="A1125" s="1"/>
  <c r="A1126" s="1"/>
  <c r="A1127" s="1"/>
  <c r="A1128" s="1"/>
  <c r="A1129" l="1"/>
  <c r="A1130" s="1"/>
  <c r="A1131" s="1"/>
  <c r="A1132" s="1"/>
  <c r="A1133" s="1"/>
  <c r="A1134" s="1"/>
  <c r="A1135" s="1"/>
  <c r="A1136" s="1"/>
  <c r="A1137" s="1"/>
  <c r="A1138" s="1"/>
  <c r="A1139" s="1"/>
  <c r="A1140" s="1"/>
  <c r="A1141" s="1"/>
  <c r="A1142" s="1"/>
  <c r="A1143" s="1"/>
  <c r="A1144" l="1"/>
  <c r="A1145" s="1"/>
  <c r="A1146" s="1"/>
  <c r="A1147" s="1"/>
  <c r="A1148" s="1"/>
  <c r="A1149" s="1"/>
  <c r="A1150" s="1"/>
  <c r="A1151" s="1"/>
  <c r="A1152" s="1"/>
  <c r="A1153" l="1"/>
  <c r="A1154" s="1"/>
  <c r="A1155" s="1"/>
  <c r="A1156" s="1"/>
  <c r="A1157" s="1"/>
  <c r="A1158" s="1"/>
  <c r="A1159" s="1"/>
  <c r="A1160" s="1"/>
  <c r="A1161" s="1"/>
  <c r="A1162" s="1"/>
  <c r="A1163" s="1"/>
  <c r="A1164" s="1"/>
  <c r="A1165" s="1"/>
  <c r="A1166" s="1"/>
  <c r="A1167" s="1"/>
  <c r="A1168" l="1"/>
  <c r="A1169" s="1"/>
  <c r="A1170" s="1"/>
  <c r="A1171" s="1"/>
  <c r="A1172" s="1"/>
  <c r="A1173" s="1"/>
  <c r="A1174" s="1"/>
  <c r="A1175" s="1"/>
  <c r="A1176" s="1"/>
  <c r="A1177" s="1"/>
  <c r="A1178" s="1"/>
  <c r="A1179" s="1"/>
  <c r="A1180" s="1"/>
  <c r="A1181" l="1"/>
  <c r="A1182" s="1"/>
  <c r="A1183" s="1"/>
  <c r="A1184" s="1"/>
  <c r="A1185" s="1"/>
  <c r="A1186" s="1"/>
  <c r="A1187" s="1"/>
  <c r="A1188" s="1"/>
  <c r="A1189" s="1"/>
  <c r="A1190" s="1"/>
  <c r="A1191" s="1"/>
  <c r="A1192" l="1"/>
  <c r="A1193" s="1"/>
  <c r="A1194" s="1"/>
  <c r="A1195" s="1"/>
  <c r="A1196" s="1"/>
  <c r="A1197" s="1"/>
  <c r="A1198" s="1"/>
  <c r="A1199" s="1"/>
  <c r="A1200" s="1"/>
  <c r="A1201" s="1"/>
  <c r="A1202" s="1"/>
  <c r="A1203" s="1"/>
  <c r="A1204" s="1"/>
  <c r="A1205" l="1"/>
  <c r="A1206" s="1"/>
  <c r="A1207" s="1"/>
  <c r="A1208" s="1"/>
  <c r="A1209" s="1"/>
  <c r="A1210" s="1"/>
  <c r="A1211" s="1"/>
  <c r="A1212" s="1"/>
  <c r="A1213" s="1"/>
  <c r="A1214" s="1"/>
  <c r="A1215" s="1"/>
  <c r="A1216" s="1"/>
  <c r="A1217" s="1"/>
  <c r="A1218" s="1"/>
  <c r="A1219" s="1"/>
  <c r="A1220" s="1"/>
  <c r="A1221" s="1"/>
  <c r="A1222" s="1"/>
  <c r="A1223" s="1"/>
  <c r="A1224" s="1"/>
  <c r="A1225" s="1"/>
  <c r="A1226" s="1"/>
  <c r="A1227" s="1"/>
  <c r="A1228" s="1"/>
  <c r="A1229" s="1"/>
  <c r="A1230" s="1"/>
  <c r="A1231" s="1"/>
  <c r="A1232" s="1"/>
  <c r="A1233" s="1"/>
  <c r="A1234" s="1"/>
  <c r="A1235" s="1"/>
  <c r="A1236" s="1"/>
  <c r="A1237" s="1"/>
  <c r="A1238" s="1"/>
  <c r="A1239" s="1"/>
  <c r="A1240" s="1"/>
  <c r="A1241" s="1"/>
  <c r="A1242" s="1"/>
  <c r="A1243" s="1"/>
  <c r="A1244" s="1"/>
  <c r="A1245" s="1"/>
  <c r="A1246" s="1"/>
  <c r="A1247" s="1"/>
  <c r="A1248" s="1"/>
  <c r="A1249" s="1"/>
  <c r="A1250" s="1"/>
  <c r="A1251" s="1"/>
  <c r="A1252" s="1"/>
  <c r="A1253" s="1"/>
  <c r="A1254" s="1"/>
  <c r="A1255" s="1"/>
  <c r="A1256" s="1"/>
  <c r="A1257" s="1"/>
  <c r="A1258" s="1"/>
  <c r="A1259" s="1"/>
  <c r="A1260" s="1"/>
  <c r="A1261" s="1"/>
  <c r="A1262" s="1"/>
  <c r="A1263" s="1"/>
  <c r="A1264" s="1"/>
  <c r="A1265" s="1"/>
  <c r="A1266" s="1"/>
  <c r="A1267" s="1"/>
  <c r="A1268" s="1"/>
  <c r="A1269" s="1"/>
  <c r="A1270" s="1"/>
  <c r="A1271" s="1"/>
  <c r="A1272" s="1"/>
  <c r="A1273" s="1"/>
  <c r="A1274" s="1"/>
  <c r="A1275" s="1"/>
  <c r="A1276" s="1"/>
  <c r="A1277" s="1"/>
  <c r="A1278" s="1"/>
  <c r="A1279" s="1"/>
  <c r="A1280" s="1"/>
  <c r="A1281" s="1"/>
  <c r="A1282" s="1"/>
  <c r="A1283" s="1"/>
  <c r="A1284" s="1"/>
  <c r="A1285" s="1"/>
  <c r="A1286" s="1"/>
  <c r="A1287" l="1"/>
  <c r="A1288" s="1"/>
  <c r="A1289" s="1"/>
  <c r="A1290" s="1"/>
  <c r="A1291" s="1"/>
  <c r="A1292" s="1"/>
  <c r="A1293" l="1"/>
  <c r="A1294" s="1"/>
  <c r="A1295" s="1"/>
  <c r="A1296" s="1"/>
  <c r="A1297" s="1"/>
  <c r="A1298" s="1"/>
  <c r="A1299" s="1"/>
  <c r="A1300" s="1"/>
  <c r="A1301" s="1"/>
  <c r="A1302" s="1"/>
  <c r="A1303" s="1"/>
  <c r="A1304" s="1"/>
  <c r="A1305" s="1"/>
  <c r="A1306" s="1"/>
  <c r="A1307" s="1"/>
  <c r="A1308" l="1"/>
  <c r="A1309" s="1"/>
  <c r="A1310" s="1"/>
  <c r="A1311" s="1"/>
  <c r="A1312" s="1"/>
  <c r="A1313" s="1"/>
  <c r="A1314" s="1"/>
  <c r="A1315" l="1"/>
  <c r="A1316" s="1"/>
  <c r="A1317" s="1"/>
  <c r="A1318" s="1"/>
  <c r="A1319" s="1"/>
  <c r="A1320" s="1"/>
  <c r="A1321" s="1"/>
  <c r="A1322" s="1"/>
  <c r="A1323" s="1"/>
  <c r="A1324" s="1"/>
  <c r="A1325" s="1"/>
  <c r="A1326" s="1"/>
  <c r="A1327" s="1"/>
  <c r="A1328" s="1"/>
  <c r="A1329" s="1"/>
  <c r="A1330" s="1"/>
  <c r="A1331" s="1"/>
  <c r="A1332" l="1"/>
  <c r="A1333" s="1"/>
  <c r="A1334" s="1"/>
  <c r="A1335" s="1"/>
  <c r="A1336" s="1"/>
  <c r="A1337" s="1"/>
  <c r="A1338" s="1"/>
  <c r="A1339" s="1"/>
  <c r="A1340" s="1"/>
  <c r="A1341" s="1"/>
  <c r="A1342" s="1"/>
  <c r="A1343" s="1"/>
  <c r="A1344" s="1"/>
  <c r="A1345" s="1"/>
  <c r="A1346" s="1"/>
  <c r="A1347" s="1"/>
  <c r="A1348" l="1"/>
  <c r="A1349" s="1"/>
  <c r="A1350" s="1"/>
  <c r="A1351" s="1"/>
  <c r="A1352" s="1"/>
  <c r="A1353" s="1"/>
  <c r="A1354" s="1"/>
  <c r="A1355" s="1"/>
  <c r="A1356" l="1"/>
  <c r="A1357" s="1"/>
  <c r="A1358" s="1"/>
  <c r="A1359" s="1"/>
  <c r="A1360" s="1"/>
  <c r="A1361" l="1"/>
  <c r="A1362" s="1"/>
  <c r="A1363" s="1"/>
  <c r="A1364" s="1"/>
  <c r="A1365" s="1"/>
  <c r="A1366" s="1"/>
  <c r="A1367" s="1"/>
  <c r="A1368" s="1"/>
  <c r="A1369" s="1"/>
  <c r="A1370" s="1"/>
  <c r="A1371" s="1"/>
  <c r="A1372" s="1"/>
  <c r="A1373" s="1"/>
  <c r="A1374" s="1"/>
  <c r="A1375" l="1"/>
  <c r="A1376" s="1"/>
  <c r="A1377" s="1"/>
  <c r="A1378" s="1"/>
  <c r="A1379" s="1"/>
  <c r="A1380" s="1"/>
  <c r="A1381" s="1"/>
  <c r="A1382" s="1"/>
  <c r="A1383" s="1"/>
  <c r="A1384" s="1"/>
  <c r="A1385" s="1"/>
  <c r="A1386" s="1"/>
  <c r="A1387" s="1"/>
  <c r="A1388" l="1"/>
  <c r="A1389" s="1"/>
  <c r="A1390" s="1"/>
  <c r="A1391" s="1"/>
  <c r="A1392" s="1"/>
  <c r="A1393" s="1"/>
  <c r="A1394" s="1"/>
  <c r="A1395" s="1"/>
  <c r="A1396" s="1"/>
  <c r="A1397" s="1"/>
  <c r="A1398" s="1"/>
  <c r="A1399" s="1"/>
  <c r="A1400" s="1"/>
  <c r="A1401" s="1"/>
  <c r="A1402" s="1"/>
  <c r="A1403" s="1"/>
  <c r="A1404" s="1"/>
  <c r="A1405" s="1"/>
  <c r="A1406" s="1"/>
  <c r="A1407" s="1"/>
  <c r="A1408" s="1"/>
  <c r="A1409" s="1"/>
  <c r="A1410" s="1"/>
  <c r="A1411" s="1"/>
  <c r="A1412" l="1"/>
  <c r="A1413" s="1"/>
  <c r="A1414" s="1"/>
  <c r="A1415" s="1"/>
  <c r="A1416" s="1"/>
  <c r="A1417" s="1"/>
  <c r="A1418" s="1"/>
  <c r="A1419" s="1"/>
  <c r="A1420" s="1"/>
  <c r="A1421" s="1"/>
  <c r="A1422" s="1"/>
  <c r="A1423" s="1"/>
  <c r="A1424" s="1"/>
  <c r="A1425" s="1"/>
  <c r="A1426" s="1"/>
  <c r="A1427" l="1"/>
  <c r="A1428" s="1"/>
  <c r="A1429" s="1"/>
  <c r="A1430" s="1"/>
  <c r="A1431" s="1"/>
  <c r="A1432" s="1"/>
  <c r="A1433" s="1"/>
  <c r="A1434" s="1"/>
  <c r="A1435" s="1"/>
  <c r="A1436" s="1"/>
  <c r="A1437" s="1"/>
  <c r="A1438" l="1"/>
  <c r="A1439" s="1"/>
  <c r="A1440" s="1"/>
  <c r="A1441" s="1"/>
  <c r="A1442" s="1"/>
  <c r="A1443" s="1"/>
  <c r="A1444" s="1"/>
  <c r="A1445" s="1"/>
  <c r="A1446" s="1"/>
  <c r="A1447" s="1"/>
  <c r="A1448" s="1"/>
  <c r="A1449" l="1"/>
  <c r="A1450" s="1"/>
  <c r="A1451" s="1"/>
  <c r="A1452" s="1"/>
  <c r="A1453" s="1"/>
  <c r="A1454" s="1"/>
  <c r="A1455" s="1"/>
  <c r="A1456" s="1"/>
  <c r="A1457" s="1"/>
  <c r="A1458" s="1"/>
  <c r="A1459" s="1"/>
  <c r="A1460" s="1"/>
  <c r="A1461" s="1"/>
  <c r="A1462" s="1"/>
  <c r="A1463" s="1"/>
  <c r="A1464" l="1"/>
  <c r="A1465" s="1"/>
  <c r="A1466" s="1"/>
  <c r="A1467" s="1"/>
  <c r="A1468" s="1"/>
  <c r="A1469" s="1"/>
  <c r="A1470" s="1"/>
  <c r="A1471" s="1"/>
  <c r="A1472" s="1"/>
  <c r="A1473" s="1"/>
  <c r="A1474" s="1"/>
  <c r="A1475" s="1"/>
  <c r="A1476" l="1"/>
  <c r="A1477" s="1"/>
  <c r="A1478" s="1"/>
  <c r="A1479" s="1"/>
  <c r="A1480" s="1"/>
  <c r="A1481" s="1"/>
  <c r="A1482" s="1"/>
  <c r="A1483" s="1"/>
  <c r="A1484" s="1"/>
  <c r="A1485" s="1"/>
  <c r="A1486" s="1"/>
  <c r="A1487" s="1"/>
  <c r="A1488" s="1"/>
  <c r="A1489" s="1"/>
  <c r="A1490" s="1"/>
  <c r="A1491" s="1"/>
  <c r="A1492" s="1"/>
  <c r="A1493" s="1"/>
  <c r="A1494" s="1"/>
  <c r="A1495" l="1"/>
  <c r="A1496" s="1"/>
  <c r="A1497" s="1"/>
  <c r="A1498" s="1"/>
  <c r="A1499" s="1"/>
  <c r="A1500" s="1"/>
  <c r="A1501" s="1"/>
  <c r="A1502" s="1"/>
  <c r="A1503" s="1"/>
  <c r="A1504" s="1"/>
  <c r="A1505" l="1"/>
  <c r="A1506" s="1"/>
  <c r="A1507" s="1"/>
  <c r="A1508" s="1"/>
  <c r="A1509" s="1"/>
  <c r="A1510" s="1"/>
  <c r="A1511" s="1"/>
  <c r="A1512" s="1"/>
  <c r="A1513" s="1"/>
  <c r="A1514" s="1"/>
  <c r="A1515" s="1"/>
  <c r="A1516" s="1"/>
  <c r="A1517" s="1"/>
  <c r="A1518" s="1"/>
  <c r="A1519" s="1"/>
  <c r="A1520" s="1"/>
  <c r="A1521" s="1"/>
  <c r="A1522" l="1"/>
  <c r="A1523" s="1"/>
  <c r="A1524" s="1"/>
  <c r="A1525" s="1"/>
  <c r="A1526" s="1"/>
  <c r="A1527" s="1"/>
  <c r="A1528" s="1"/>
  <c r="A1529" s="1"/>
  <c r="A1530" s="1"/>
  <c r="A1531" s="1"/>
  <c r="A1532" s="1"/>
  <c r="A1533" s="1"/>
  <c r="A1534" s="1"/>
  <c r="A1535" s="1"/>
  <c r="A1536" l="1"/>
  <c r="A1537" s="1"/>
  <c r="A1538" s="1"/>
  <c r="A1539" s="1"/>
  <c r="A1540" s="1"/>
  <c r="A1541" s="1"/>
  <c r="A1542" s="1"/>
  <c r="A1543" s="1"/>
  <c r="A1544" s="1"/>
  <c r="A1545" s="1"/>
  <c r="A1546" s="1"/>
  <c r="A1547" s="1"/>
  <c r="A1548" s="1"/>
  <c r="A1549" s="1"/>
  <c r="A1550" s="1"/>
  <c r="A1551" s="1"/>
  <c r="A1552" s="1"/>
  <c r="A1553" s="1"/>
  <c r="A1554" l="1"/>
  <c r="A1555" s="1"/>
  <c r="A1556" s="1"/>
  <c r="A1557" s="1"/>
  <c r="A1558" s="1"/>
  <c r="A1559" s="1"/>
  <c r="A1560" s="1"/>
  <c r="A1561" s="1"/>
  <c r="A1562" s="1"/>
  <c r="A1563" s="1"/>
  <c r="A1564" s="1"/>
  <c r="A1565" s="1"/>
  <c r="A1566" s="1"/>
  <c r="A1567" s="1"/>
  <c r="A1568" l="1"/>
  <c r="A1569" s="1"/>
  <c r="A1570" s="1"/>
  <c r="A1571" s="1"/>
  <c r="A1572" s="1"/>
  <c r="A1573" s="1"/>
  <c r="A1574" s="1"/>
  <c r="A1575" s="1"/>
  <c r="A1576" s="1"/>
  <c r="A1577" s="1"/>
  <c r="A1578" s="1"/>
  <c r="A1579" s="1"/>
  <c r="A1580" s="1"/>
  <c r="A1581" s="1"/>
  <c r="A1583" l="1"/>
  <c r="A1584" s="1"/>
  <c r="A1585" s="1"/>
  <c r="A1586" s="1"/>
  <c r="A1587" s="1"/>
  <c r="A1588" s="1"/>
  <c r="A1589" s="1"/>
  <c r="A1590" s="1"/>
  <c r="A1591" s="1"/>
  <c r="A1592" s="1"/>
  <c r="A1593" s="1"/>
  <c r="A1594" s="1"/>
  <c r="A1595" s="1"/>
  <c r="A1596" l="1"/>
  <c r="A1597" s="1"/>
  <c r="A1598" s="1"/>
  <c r="A1599" s="1"/>
  <c r="A1600" s="1"/>
  <c r="A1601" s="1"/>
  <c r="A1602" s="1"/>
  <c r="A1603" s="1"/>
  <c r="A1604" s="1"/>
  <c r="A1605" s="1"/>
  <c r="A1606" s="1"/>
  <c r="A1607" s="1"/>
  <c r="A1608" s="1"/>
  <c r="A1609" s="1"/>
  <c r="A1610" s="1"/>
  <c r="A1611" s="1"/>
  <c r="A1612" s="1"/>
  <c r="A1613" s="1"/>
  <c r="A1614" s="1"/>
  <c r="A1615" s="1"/>
  <c r="A1616" s="1"/>
  <c r="A1617" s="1"/>
  <c r="A1618" s="1"/>
  <c r="A1619" s="1"/>
  <c r="A1620" s="1"/>
  <c r="A1621" l="1"/>
  <c r="A1622" s="1"/>
  <c r="A1623" s="1"/>
  <c r="A1624" s="1"/>
  <c r="A1625" s="1"/>
  <c r="A1626" s="1"/>
  <c r="A1627" s="1"/>
  <c r="A1628" s="1"/>
  <c r="A1629" s="1"/>
  <c r="A1630" s="1"/>
  <c r="A1631" s="1"/>
  <c r="A1632" s="1"/>
  <c r="A1633" s="1"/>
  <c r="A1634" s="1"/>
  <c r="A1635" s="1"/>
  <c r="A1636" l="1"/>
  <c r="A1637" s="1"/>
  <c r="A1638" s="1"/>
  <c r="A1639" s="1"/>
  <c r="A1640" s="1"/>
  <c r="A1641" s="1"/>
  <c r="A1642" s="1"/>
  <c r="A1643" s="1"/>
  <c r="A1644" s="1"/>
  <c r="A1645" s="1"/>
  <c r="A1646" s="1"/>
  <c r="A1647" s="1"/>
  <c r="A1648" s="1"/>
  <c r="A1649" s="1"/>
  <c r="A1650" s="1"/>
  <c r="A1651" s="1"/>
  <c r="A1652" s="1"/>
  <c r="A1653" s="1"/>
  <c r="A1654" s="1"/>
  <c r="A1655" s="1"/>
  <c r="A1656" s="1"/>
  <c r="A1657" s="1"/>
  <c r="A1619" i="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483"/>
  <c r="A655"/>
  <c r="A656"/>
  <c r="A1484"/>
  <c r="A657"/>
  <c r="A1485"/>
  <c r="A658"/>
  <c r="A1486"/>
  <c r="A659"/>
  <c r="A1487"/>
  <c r="A660"/>
  <c r="A661"/>
  <c r="A1488"/>
  <c r="A1489"/>
  <c r="A662"/>
  <c r="A663"/>
  <c r="A1490"/>
  <c r="A1491"/>
  <c r="A664"/>
  <c r="A1492"/>
  <c r="A1493"/>
  <c r="A665"/>
  <c r="A1494"/>
  <c r="A1495"/>
  <c r="A1496"/>
  <c r="A666"/>
  <c r="A667"/>
  <c r="A1497"/>
  <c r="A668"/>
  <c r="A1498"/>
  <c r="A669"/>
  <c r="A1499"/>
  <c r="A670"/>
  <c r="A671"/>
  <c r="A672"/>
  <c r="A1500"/>
  <c r="A1501"/>
  <c r="A673"/>
  <c r="A674"/>
  <c r="A1502"/>
  <c r="A675"/>
  <c r="A676"/>
  <c r="A677"/>
  <c r="A678"/>
  <c r="A1503"/>
  <c r="A679"/>
  <c r="A1504"/>
  <c r="A680"/>
  <c r="A1505"/>
  <c r="A1506"/>
  <c r="A681"/>
  <c r="A1507"/>
  <c r="A1508"/>
  <c r="A1509"/>
  <c r="A1510"/>
  <c r="A682"/>
  <c r="A683"/>
  <c r="A1511"/>
  <c r="A1512"/>
  <c r="A684"/>
  <c r="A1513"/>
  <c r="A685"/>
  <c r="A1514"/>
  <c r="A1515"/>
  <c r="A686"/>
  <c r="A1516"/>
  <c r="A687"/>
  <c r="A1517"/>
  <c r="A688"/>
  <c r="A1518"/>
  <c r="A689"/>
  <c r="A1519"/>
  <c r="A1520"/>
  <c r="A1521"/>
  <c r="A690"/>
  <c r="A691"/>
  <c r="A1522"/>
  <c r="A692"/>
  <c r="A693"/>
  <c r="A1523"/>
  <c r="A1524"/>
  <c r="A694"/>
  <c r="A1525"/>
  <c r="A1526"/>
  <c r="A1527"/>
  <c r="A695"/>
  <c r="A696"/>
  <c r="A1528"/>
  <c r="A1529"/>
  <c r="A1530"/>
  <c r="A697"/>
  <c r="A1531"/>
  <c r="A698"/>
  <c r="A1532"/>
  <c r="A699"/>
  <c r="A1533"/>
  <c r="A1534"/>
  <c r="A700"/>
  <c r="A701"/>
  <c r="A1535"/>
  <c r="A1536"/>
  <c r="A702"/>
  <c r="A1537"/>
  <c r="A1538"/>
  <c r="A703"/>
  <c r="A1539"/>
  <c r="A1540"/>
  <c r="A704"/>
  <c r="A1541"/>
  <c r="A1542"/>
  <c r="A705"/>
  <c r="A706"/>
  <c r="A707"/>
  <c r="A708"/>
  <c r="A1543"/>
  <c r="A1544"/>
  <c r="A709"/>
  <c r="A710"/>
  <c r="A1545"/>
  <c r="A711"/>
  <c r="A1546"/>
  <c r="A712"/>
  <c r="A1547"/>
  <c r="A713"/>
  <c r="A1548"/>
  <c r="A714"/>
  <c r="A1549"/>
  <c r="A715"/>
  <c r="A1550"/>
  <c r="A1551"/>
  <c r="A716"/>
  <c r="A1552"/>
  <c r="A717"/>
  <c r="A1553"/>
  <c r="A718"/>
  <c r="A1657"/>
  <c r="A1554"/>
  <c r="A1555"/>
  <c r="A719"/>
  <c r="A720"/>
  <c r="A1556"/>
  <c r="A721"/>
  <c r="A1557"/>
  <c r="A722"/>
  <c r="A723"/>
  <c r="A1558"/>
  <c r="A724"/>
  <c r="A1559"/>
  <c r="A1560"/>
  <c r="A1561"/>
  <c r="A1562"/>
  <c r="A1563"/>
  <c r="A725"/>
  <c r="A1564"/>
  <c r="A726"/>
  <c r="A1565"/>
  <c r="A1566"/>
  <c r="A727"/>
  <c r="A1567"/>
  <c r="A1568"/>
  <c r="A728"/>
  <c r="A1569"/>
  <c r="A729"/>
  <c r="A730"/>
  <c r="A1570"/>
  <c r="A1571"/>
  <c r="A731"/>
  <c r="A1572"/>
  <c r="A1573"/>
  <c r="A732"/>
  <c r="A1574"/>
  <c r="A733"/>
  <c r="A1575"/>
  <c r="A734"/>
  <c r="A1576"/>
  <c r="A1577"/>
  <c r="A735"/>
  <c r="A736"/>
  <c r="A737"/>
  <c r="A1578"/>
  <c r="A738"/>
  <c r="A1579"/>
  <c r="A1580"/>
  <c r="A1581"/>
  <c r="A739"/>
  <c r="A1582"/>
  <c r="A740"/>
  <c r="A741"/>
  <c r="A742"/>
  <c r="A1583"/>
  <c r="A743"/>
  <c r="A1584"/>
  <c r="A744"/>
  <c r="A745"/>
  <c r="A1585"/>
  <c r="A746"/>
  <c r="A747"/>
  <c r="A1586"/>
  <c r="A1587"/>
  <c r="A748"/>
  <c r="A1588"/>
  <c r="A1589"/>
  <c r="A749"/>
  <c r="A750"/>
  <c r="A751"/>
  <c r="A752"/>
  <c r="A1590"/>
  <c r="A753"/>
  <c r="A1591"/>
  <c r="A754"/>
  <c r="A1592"/>
  <c r="A755"/>
  <c r="A1593"/>
  <c r="A756"/>
  <c r="A757"/>
  <c r="A758"/>
  <c r="A759"/>
  <c r="A760"/>
  <c r="A761"/>
  <c r="A1594"/>
  <c r="A1595"/>
  <c r="A762"/>
  <c r="A763"/>
  <c r="A764"/>
  <c r="A1596"/>
  <c r="A1597"/>
  <c r="A765"/>
  <c r="A766"/>
  <c r="A1598"/>
  <c r="A767"/>
  <c r="A1599"/>
  <c r="A1600"/>
  <c r="A1601"/>
  <c r="A1602"/>
  <c r="A768"/>
  <c r="A769"/>
  <c r="A1603"/>
  <c r="A1604"/>
  <c r="A770"/>
  <c r="A771"/>
  <c r="A772"/>
  <c r="A1605"/>
  <c r="A1606"/>
  <c r="A1607"/>
  <c r="A773"/>
  <c r="A774"/>
  <c r="A1608"/>
  <c r="A775"/>
  <c r="A1609"/>
  <c r="A1610"/>
  <c r="A1611"/>
  <c r="A1612"/>
  <c r="A1613"/>
  <c r="A776"/>
  <c r="A777"/>
  <c r="A778"/>
  <c r="A1614"/>
  <c r="A779"/>
  <c r="A780"/>
  <c r="A781"/>
  <c r="A1615"/>
  <c r="A782"/>
  <c r="A783"/>
  <c r="A784"/>
  <c r="A785"/>
  <c r="A1616"/>
  <c r="A1617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</calcChain>
</file>

<file path=xl/sharedStrings.xml><?xml version="1.0" encoding="utf-8"?>
<sst xmlns="http://schemas.openxmlformats.org/spreadsheetml/2006/main" count="27192" uniqueCount="2750">
  <si>
    <t>Soni</t>
  </si>
  <si>
    <t>Davda</t>
  </si>
  <si>
    <t>Doshi</t>
  </si>
  <si>
    <t>Surname</t>
  </si>
  <si>
    <t>Agathiya</t>
  </si>
  <si>
    <t>Dodu</t>
  </si>
  <si>
    <t>Dotiya</t>
  </si>
  <si>
    <t>Gadiya</t>
  </si>
  <si>
    <t>Gandhi</t>
  </si>
  <si>
    <t>Ghia</t>
  </si>
  <si>
    <t>Karwa</t>
  </si>
  <si>
    <t>Kotadiya</t>
  </si>
  <si>
    <t>Malasa</t>
  </si>
  <si>
    <t>Minda</t>
  </si>
  <si>
    <t>Mehta</t>
  </si>
  <si>
    <t>Panola</t>
  </si>
  <si>
    <t>Paronigar</t>
  </si>
  <si>
    <t>Sanghvi</t>
  </si>
  <si>
    <t>Saraiya</t>
  </si>
  <si>
    <t>Selwadiya</t>
  </si>
  <si>
    <t>Seth</t>
  </si>
  <si>
    <t>Date of Birth</t>
  </si>
  <si>
    <t>Age</t>
  </si>
  <si>
    <t>Self</t>
  </si>
  <si>
    <t>Husband</t>
  </si>
  <si>
    <t>Wife</t>
  </si>
  <si>
    <t>Father</t>
  </si>
  <si>
    <t>Mother</t>
  </si>
  <si>
    <t>Son</t>
  </si>
  <si>
    <t>Daughter</t>
  </si>
  <si>
    <t>Grand son</t>
  </si>
  <si>
    <t>Grand Daughter</t>
  </si>
  <si>
    <t>Grand Father</t>
  </si>
  <si>
    <t>Grand Mother</t>
  </si>
  <si>
    <t>Relation</t>
  </si>
  <si>
    <t>Daughter-in-law</t>
  </si>
  <si>
    <t>Madanlal Motilalji</t>
  </si>
  <si>
    <t>Kirtiben Madanlal</t>
  </si>
  <si>
    <t>Shashank Madanlal</t>
  </si>
  <si>
    <t>Meghna Shashank</t>
  </si>
  <si>
    <t>M</t>
  </si>
  <si>
    <t>F</t>
  </si>
  <si>
    <t>DOB</t>
  </si>
  <si>
    <t>Pg</t>
  </si>
  <si>
    <t>U</t>
  </si>
  <si>
    <t>W</t>
  </si>
  <si>
    <t>Agathia</t>
  </si>
  <si>
    <t>Sonal Aadeshkumar</t>
  </si>
  <si>
    <t>Kamla Jaswantlal</t>
  </si>
  <si>
    <t>Mahavirkumar</t>
  </si>
  <si>
    <t>Ganeshlalji</t>
  </si>
  <si>
    <t>Suvarnlata</t>
  </si>
  <si>
    <t>Rishuk</t>
  </si>
  <si>
    <t>Ajabdevi</t>
  </si>
  <si>
    <t>Shekhar</t>
  </si>
  <si>
    <t>Manilal</t>
  </si>
  <si>
    <t>Mannalalji</t>
  </si>
  <si>
    <t>Laxmi</t>
  </si>
  <si>
    <t>Vinesh</t>
  </si>
  <si>
    <t>Tarabai</t>
  </si>
  <si>
    <t>Surajmalji</t>
  </si>
  <si>
    <t>Nileshkumar</t>
  </si>
  <si>
    <t>Sangeeta</t>
  </si>
  <si>
    <t>Aditya</t>
  </si>
  <si>
    <t>Nirbhaykumar</t>
  </si>
  <si>
    <t>Manaklalji</t>
  </si>
  <si>
    <t>Sashi</t>
  </si>
  <si>
    <t>Nikul</t>
  </si>
  <si>
    <t>Neelima</t>
  </si>
  <si>
    <t>Padmaja</t>
  </si>
  <si>
    <t>Kanhaiyalalji</t>
  </si>
  <si>
    <t>Pankajkumar</t>
  </si>
  <si>
    <t>Dhanpalji</t>
  </si>
  <si>
    <t>Neeta</t>
  </si>
  <si>
    <t>Shraddha</t>
  </si>
  <si>
    <t>Shreya</t>
  </si>
  <si>
    <t>Pramodchandra</t>
  </si>
  <si>
    <t>Vasantlalji</t>
  </si>
  <si>
    <t>Shakuntala</t>
  </si>
  <si>
    <t>Pranavkumar</t>
  </si>
  <si>
    <t>Aadit</t>
  </si>
  <si>
    <t>Poornima</t>
  </si>
  <si>
    <t>Manilalji</t>
  </si>
  <si>
    <t>Urmila</t>
  </si>
  <si>
    <t>Nayna</t>
  </si>
  <si>
    <t>Kishor</t>
  </si>
  <si>
    <t>Rashmikant</t>
  </si>
  <si>
    <t>Kumud</t>
  </si>
  <si>
    <t>Ravikumar</t>
  </si>
  <si>
    <t>Rajvi</t>
  </si>
  <si>
    <t>Rajendrakumar</t>
  </si>
  <si>
    <t>Bhagchandji</t>
  </si>
  <si>
    <t>Priyesh</t>
  </si>
  <si>
    <t>Rajeshkumar</t>
  </si>
  <si>
    <t>Chandmalji</t>
  </si>
  <si>
    <t>Rachna</t>
  </si>
  <si>
    <t>Rajesh</t>
  </si>
  <si>
    <t>Rinkle</t>
  </si>
  <si>
    <t>Rupeshkumar</t>
  </si>
  <si>
    <t>Jayantilalji</t>
  </si>
  <si>
    <t>Priyanka</t>
  </si>
  <si>
    <t>Naman</t>
  </si>
  <si>
    <t>Saroj</t>
  </si>
  <si>
    <t>Lalitkumarji</t>
  </si>
  <si>
    <t>Anupkumar</t>
  </si>
  <si>
    <t>Aarti</t>
  </si>
  <si>
    <t>Ansh</t>
  </si>
  <si>
    <t>Aashi</t>
  </si>
  <si>
    <t>Arya</t>
  </si>
  <si>
    <t>Sanatkumar</t>
  </si>
  <si>
    <t>Tarachandji</t>
  </si>
  <si>
    <t>Nirmala</t>
  </si>
  <si>
    <t>Manoj</t>
  </si>
  <si>
    <t>Asha</t>
  </si>
  <si>
    <t>Hemant</t>
  </si>
  <si>
    <t>Usha</t>
  </si>
  <si>
    <t>Tanishq</t>
  </si>
  <si>
    <t>Rishi</t>
  </si>
  <si>
    <t>Manish</t>
  </si>
  <si>
    <t>Yamini</t>
  </si>
  <si>
    <t>Aryan</t>
  </si>
  <si>
    <t>Kirti</t>
  </si>
  <si>
    <t>Sonal</t>
  </si>
  <si>
    <t>Sanjaykumar</t>
  </si>
  <si>
    <t>Bharti</t>
  </si>
  <si>
    <t>Neha</t>
  </si>
  <si>
    <t>Gaurav</t>
  </si>
  <si>
    <t>Sudhirkumar</t>
  </si>
  <si>
    <t>Najarsinghji</t>
  </si>
  <si>
    <t>Archana</t>
  </si>
  <si>
    <t>Rikin</t>
  </si>
  <si>
    <t>Peksha</t>
  </si>
  <si>
    <t>Najarsingh</t>
  </si>
  <si>
    <t>Dhankuvar</t>
  </si>
  <si>
    <t>Shantilalji</t>
  </si>
  <si>
    <t>Mahavir</t>
  </si>
  <si>
    <t>Shantilal</t>
  </si>
  <si>
    <t>Nilakshi</t>
  </si>
  <si>
    <t>Kamlesh</t>
  </si>
  <si>
    <t>Pratima</t>
  </si>
  <si>
    <t>Himanshu</t>
  </si>
  <si>
    <t>Priyanshu</t>
  </si>
  <si>
    <t>Shailendrakumar</t>
  </si>
  <si>
    <t>Sunita</t>
  </si>
  <si>
    <t>Shailendra</t>
  </si>
  <si>
    <t>Payal</t>
  </si>
  <si>
    <t>Shrikant</t>
  </si>
  <si>
    <t>Vibhuti</t>
  </si>
  <si>
    <t>Prashun</t>
  </si>
  <si>
    <t>Ummedmal</t>
  </si>
  <si>
    <t>Darshana</t>
  </si>
  <si>
    <t>Ronak</t>
  </si>
  <si>
    <t>Umesh</t>
  </si>
  <si>
    <t>Pravinchandraji</t>
  </si>
  <si>
    <t>Nipa</t>
  </si>
  <si>
    <t>Anita</t>
  </si>
  <si>
    <t>Mahek</t>
  </si>
  <si>
    <t>Prakashchandra</t>
  </si>
  <si>
    <t>Basantlalji</t>
  </si>
  <si>
    <t>Uhlaas</t>
  </si>
  <si>
    <t>Shweta</t>
  </si>
  <si>
    <t>Anand</t>
  </si>
  <si>
    <t>Abhaykumar</t>
  </si>
  <si>
    <t>Hema</t>
  </si>
  <si>
    <t>Sharad</t>
  </si>
  <si>
    <t>Anjali</t>
  </si>
  <si>
    <t>Nilesh</t>
  </si>
  <si>
    <t>Ritu</t>
  </si>
  <si>
    <t>Vivek</t>
  </si>
  <si>
    <t>Hitesh</t>
  </si>
  <si>
    <t>Swati</t>
  </si>
  <si>
    <t>Balbhadra</t>
  </si>
  <si>
    <t>Valchandraji</t>
  </si>
  <si>
    <t>Majula</t>
  </si>
  <si>
    <t>Shilbhadra</t>
  </si>
  <si>
    <t>Jyoti</t>
  </si>
  <si>
    <t>Palak</t>
  </si>
  <si>
    <t>Keval</t>
  </si>
  <si>
    <t>Suvarna</t>
  </si>
  <si>
    <t>Ayush</t>
  </si>
  <si>
    <t>Arpita</t>
  </si>
  <si>
    <t>Bahubali</t>
  </si>
  <si>
    <t>Jyotibala</t>
  </si>
  <si>
    <t>Abhishek</t>
  </si>
  <si>
    <t>Chandrasen</t>
  </si>
  <si>
    <t>Kulankarji</t>
  </si>
  <si>
    <t>Somlata</t>
  </si>
  <si>
    <t>Tejal</t>
  </si>
  <si>
    <t>Gunmala</t>
  </si>
  <si>
    <t>Vimalchandraji</t>
  </si>
  <si>
    <t>Sumitra</t>
  </si>
  <si>
    <t>Deepak</t>
  </si>
  <si>
    <t>Harsha</t>
  </si>
  <si>
    <t>Dhanpal</t>
  </si>
  <si>
    <t>Sheela</t>
  </si>
  <si>
    <t>Yashasvi</t>
  </si>
  <si>
    <t>Manubai</t>
  </si>
  <si>
    <t>Manakben</t>
  </si>
  <si>
    <t>Motilalji</t>
  </si>
  <si>
    <t>Gajkumar</t>
  </si>
  <si>
    <t>Naina</t>
  </si>
  <si>
    <t>Anik</t>
  </si>
  <si>
    <t>Nidhi</t>
  </si>
  <si>
    <t>Pranav</t>
  </si>
  <si>
    <t>Ghanshyam</t>
  </si>
  <si>
    <t>Vimalchandji</t>
  </si>
  <si>
    <t>Shriya</t>
  </si>
  <si>
    <t>Sidhant</t>
  </si>
  <si>
    <t>Kamalkumar</t>
  </si>
  <si>
    <t>Valchandji</t>
  </si>
  <si>
    <t>Kailash</t>
  </si>
  <si>
    <t>Komal</t>
  </si>
  <si>
    <t>Deepti</t>
  </si>
  <si>
    <t>Komalkumar</t>
  </si>
  <si>
    <t>Kaihalkumar</t>
  </si>
  <si>
    <t>Shivlalji</t>
  </si>
  <si>
    <t>Indira</t>
  </si>
  <si>
    <t>Manibhadra</t>
  </si>
  <si>
    <t>Manjula</t>
  </si>
  <si>
    <t>Shubi</t>
  </si>
  <si>
    <t>Nagkumar</t>
  </si>
  <si>
    <t>Saranga</t>
  </si>
  <si>
    <t>Vibha</t>
  </si>
  <si>
    <t>Harshit</t>
  </si>
  <si>
    <t>Padamkumar</t>
  </si>
  <si>
    <t>Rohit</t>
  </si>
  <si>
    <t>Chandraprabha</t>
  </si>
  <si>
    <t>Bhanukumarji</t>
  </si>
  <si>
    <t>Prashant</t>
  </si>
  <si>
    <t>Vishal</t>
  </si>
  <si>
    <t>Rajmal</t>
  </si>
  <si>
    <t>Vaishali</t>
  </si>
  <si>
    <t>Kala</t>
  </si>
  <si>
    <t>Narendrakumarji</t>
  </si>
  <si>
    <t>Rahul</t>
  </si>
  <si>
    <t>Narendrakumar</t>
  </si>
  <si>
    <t>Chaitali</t>
  </si>
  <si>
    <t>Sanmatikumar</t>
  </si>
  <si>
    <t>Chetna</t>
  </si>
  <si>
    <t>Nirav</t>
  </si>
  <si>
    <t>Aashita</t>
  </si>
  <si>
    <t>Niravkumar</t>
  </si>
  <si>
    <t>Rupesh</t>
  </si>
  <si>
    <t>Sudarshan</t>
  </si>
  <si>
    <t>Sardarmalji</t>
  </si>
  <si>
    <t>Kaushal</t>
  </si>
  <si>
    <t>Priya</t>
  </si>
  <si>
    <t>Dhruvi</t>
  </si>
  <si>
    <t>Dhichi</t>
  </si>
  <si>
    <t>Sharadkumar</t>
  </si>
  <si>
    <t>Balchandji</t>
  </si>
  <si>
    <t>Pratik</t>
  </si>
  <si>
    <t>Shaila</t>
  </si>
  <si>
    <t>Pradip</t>
  </si>
  <si>
    <t>Pradipkumar</t>
  </si>
  <si>
    <t>Tarun</t>
  </si>
  <si>
    <t>Trishala</t>
  </si>
  <si>
    <t>Rishab</t>
  </si>
  <si>
    <t>Forum</t>
  </si>
  <si>
    <t>Vibhav</t>
  </si>
  <si>
    <t>Ajitkumarji</t>
  </si>
  <si>
    <t>Kalpana</t>
  </si>
  <si>
    <t>Vibhavkumar</t>
  </si>
  <si>
    <t>Mohit</t>
  </si>
  <si>
    <t>Vidyachandra</t>
  </si>
  <si>
    <t>Anju</t>
  </si>
  <si>
    <t>Virendrakumar</t>
  </si>
  <si>
    <t>Kanakmalji</t>
  </si>
  <si>
    <t>Toyesh</t>
  </si>
  <si>
    <t>Asit</t>
  </si>
  <si>
    <t>Roopchandji</t>
  </si>
  <si>
    <t>Karva</t>
  </si>
  <si>
    <t>Hansmukhlal</t>
  </si>
  <si>
    <t>Bhavarlaljia</t>
  </si>
  <si>
    <t>Satish</t>
  </si>
  <si>
    <t>Renuka</t>
  </si>
  <si>
    <t>Varun</t>
  </si>
  <si>
    <t>Hemantkumar</t>
  </si>
  <si>
    <t>Vardhmanji</t>
  </si>
  <si>
    <t>Mankuvar</t>
  </si>
  <si>
    <t>Ruchi</t>
  </si>
  <si>
    <t>Ekansh</t>
  </si>
  <si>
    <t>Keshrimalji</t>
  </si>
  <si>
    <t>Sugandhben</t>
  </si>
  <si>
    <t>Vijaykumar</t>
  </si>
  <si>
    <t>Vipinchandra</t>
  </si>
  <si>
    <t>Jhamaklalji</t>
  </si>
  <si>
    <t>Vijaylaxmi</t>
  </si>
  <si>
    <t>Preeti</t>
  </si>
  <si>
    <t>Vishita</t>
  </si>
  <si>
    <t>Nehal</t>
  </si>
  <si>
    <t>Vijaykumarji</t>
  </si>
  <si>
    <t>Vasantlal</t>
  </si>
  <si>
    <t>Minaben</t>
  </si>
  <si>
    <t>Sehul</t>
  </si>
  <si>
    <t>Namita</t>
  </si>
  <si>
    <t>Hiral</t>
  </si>
  <si>
    <t>Parth</t>
  </si>
  <si>
    <t>Devendrakumarji</t>
  </si>
  <si>
    <t>Vaibhav</t>
  </si>
  <si>
    <t>Kalpak</t>
  </si>
  <si>
    <t>Vikas</t>
  </si>
  <si>
    <t>Varsha</t>
  </si>
  <si>
    <t>Vidhi</t>
  </si>
  <si>
    <t>Ajanta</t>
  </si>
  <si>
    <t>Amit</t>
  </si>
  <si>
    <t>Amarchandji</t>
  </si>
  <si>
    <t>Siddhant</t>
  </si>
  <si>
    <t>Ajaykumar</t>
  </si>
  <si>
    <t>Amarchand</t>
  </si>
  <si>
    <t>Dadamchandji</t>
  </si>
  <si>
    <t>Rajkuvar</t>
  </si>
  <si>
    <t>Vipul</t>
  </si>
  <si>
    <t>Tripti</t>
  </si>
  <si>
    <t>Ananya</t>
  </si>
  <si>
    <t>Ashokkumar</t>
  </si>
  <si>
    <t>Shobhagmalji</t>
  </si>
  <si>
    <t>Jasu</t>
  </si>
  <si>
    <t>Sushila</t>
  </si>
  <si>
    <t>Meena</t>
  </si>
  <si>
    <t>Sashikant</t>
  </si>
  <si>
    <t>Shenhalata</t>
  </si>
  <si>
    <t>Shashikant</t>
  </si>
  <si>
    <t>Mayur</t>
  </si>
  <si>
    <t>Rupali</t>
  </si>
  <si>
    <t>Mukul</t>
  </si>
  <si>
    <t>Anilkumar</t>
  </si>
  <si>
    <t>Madhu</t>
  </si>
  <si>
    <t>Roopam</t>
  </si>
  <si>
    <t>Lavish</t>
  </si>
  <si>
    <t>Bavarlal</t>
  </si>
  <si>
    <t>Bhavarlal</t>
  </si>
  <si>
    <t>Bhanukumar</t>
  </si>
  <si>
    <t>Jambukumar</t>
  </si>
  <si>
    <t>Sarika</t>
  </si>
  <si>
    <t>Mishi</t>
  </si>
  <si>
    <t>Horil</t>
  </si>
  <si>
    <t>Hitendra</t>
  </si>
  <si>
    <t>Puranchandraji</t>
  </si>
  <si>
    <t>Harsh</t>
  </si>
  <si>
    <t>Avni</t>
  </si>
  <si>
    <t>Jitendrakumar</t>
  </si>
  <si>
    <t>Rani</t>
  </si>
  <si>
    <t>Kanchanben</t>
  </si>
  <si>
    <t>Purvi</t>
  </si>
  <si>
    <t>Kokila</t>
  </si>
  <si>
    <t>Devang</t>
  </si>
  <si>
    <t>Mehuli</t>
  </si>
  <si>
    <t>Kirtikumar</t>
  </si>
  <si>
    <t>Puranchandji</t>
  </si>
  <si>
    <t>Sheetal</t>
  </si>
  <si>
    <t>Nishi</t>
  </si>
  <si>
    <t>Sushilkumarji</t>
  </si>
  <si>
    <t>Shrikumarpal</t>
  </si>
  <si>
    <t>Rachnakumarpal</t>
  </si>
  <si>
    <t>Kantilal</t>
  </si>
  <si>
    <t>Kesrimalji</t>
  </si>
  <si>
    <t>Mahesh</t>
  </si>
  <si>
    <t>Kantilalji</t>
  </si>
  <si>
    <t>Subhadra</t>
  </si>
  <si>
    <t>Maheshkumar</t>
  </si>
  <si>
    <t>Heena</t>
  </si>
  <si>
    <t>Mitesh</t>
  </si>
  <si>
    <t>Pranchandji</t>
  </si>
  <si>
    <t>Manisha</t>
  </si>
  <si>
    <t>Shrey</t>
  </si>
  <si>
    <t>Shreni</t>
  </si>
  <si>
    <t>Mukeshkumar</t>
  </si>
  <si>
    <t>Seema</t>
  </si>
  <si>
    <t>Apal</t>
  </si>
  <si>
    <t>Meet</t>
  </si>
  <si>
    <t>Navinchandra</t>
  </si>
  <si>
    <t>Champalalji</t>
  </si>
  <si>
    <t>Nirmalchand</t>
  </si>
  <si>
    <t>Nirmalchandra</t>
  </si>
  <si>
    <t>Pradeep</t>
  </si>
  <si>
    <t>Ankit</t>
  </si>
  <si>
    <t>Ajay</t>
  </si>
  <si>
    <t>Pramodkumar</t>
  </si>
  <si>
    <t>Madanmohanji</t>
  </si>
  <si>
    <t>Ashlesh Kamal</t>
  </si>
  <si>
    <t>Divyang</t>
  </si>
  <si>
    <t>Kinnari</t>
  </si>
  <si>
    <t>Shvetang</t>
  </si>
  <si>
    <t>Puranchand</t>
  </si>
  <si>
    <t>Sonam</t>
  </si>
  <si>
    <t>Siddhart</t>
  </si>
  <si>
    <t>Rajankumar</t>
  </si>
  <si>
    <t>Meenakshi</t>
  </si>
  <si>
    <t>Alok</t>
  </si>
  <si>
    <t>Shyamsundarji</t>
  </si>
  <si>
    <t>Vinodkumarji</t>
  </si>
  <si>
    <t>Raj</t>
  </si>
  <si>
    <t>Rinki</t>
  </si>
  <si>
    <t>Chhaganlalji</t>
  </si>
  <si>
    <t>Kamla</t>
  </si>
  <si>
    <t>Sandeep</t>
  </si>
  <si>
    <t>Shilpa</t>
  </si>
  <si>
    <t>Jainam</t>
  </si>
  <si>
    <t>Sureshchandra</t>
  </si>
  <si>
    <t>Pushpa</t>
  </si>
  <si>
    <t>Anant</t>
  </si>
  <si>
    <t>Shalini</t>
  </si>
  <si>
    <t>Riddhi</t>
  </si>
  <si>
    <t>Nirali</t>
  </si>
  <si>
    <t>Shreeraj</t>
  </si>
  <si>
    <t>Meghna</t>
  </si>
  <si>
    <t>Shailaben</t>
  </si>
  <si>
    <t>Surendrakumarji</t>
  </si>
  <si>
    <t>Leena</t>
  </si>
  <si>
    <t>Shaileshkumar</t>
  </si>
  <si>
    <t>Javerlalji</t>
  </si>
  <si>
    <t>Vimalchand</t>
  </si>
  <si>
    <t>Kanishka</t>
  </si>
  <si>
    <t>Vinodkumar</t>
  </si>
  <si>
    <t>Kanta</t>
  </si>
  <si>
    <t>Rakesh</t>
  </si>
  <si>
    <t>Ratanlalji</t>
  </si>
  <si>
    <t>Snehalata</t>
  </si>
  <si>
    <t>Amita</t>
  </si>
  <si>
    <t>Jheel</t>
  </si>
  <si>
    <t>Nikunj</t>
  </si>
  <si>
    <t>Sneha</t>
  </si>
  <si>
    <t>Kailashchandraji</t>
  </si>
  <si>
    <t>Badamilal</t>
  </si>
  <si>
    <t>Jawaharlalji</t>
  </si>
  <si>
    <t>Laxmiben</t>
  </si>
  <si>
    <t>Ankur</t>
  </si>
  <si>
    <t>Shashikala</t>
  </si>
  <si>
    <t>Hazarimalji</t>
  </si>
  <si>
    <t>Bina</t>
  </si>
  <si>
    <t>Sajjankuvar</t>
  </si>
  <si>
    <t>Anuj</t>
  </si>
  <si>
    <t>Smita</t>
  </si>
  <si>
    <t>Chetan</t>
  </si>
  <si>
    <t>Bhavarlalji</t>
  </si>
  <si>
    <t>Chetankumar</t>
  </si>
  <si>
    <t>Dhaval</t>
  </si>
  <si>
    <t>Hukmichand</t>
  </si>
  <si>
    <t>Deepakkumar</t>
  </si>
  <si>
    <t>Chandanbala</t>
  </si>
  <si>
    <t>Vinita</t>
  </si>
  <si>
    <t>Puja</t>
  </si>
  <si>
    <t>Rajmalji</t>
  </si>
  <si>
    <t>Dharmendra</t>
  </si>
  <si>
    <t>Prakhar</t>
  </si>
  <si>
    <t>Jitendra</t>
  </si>
  <si>
    <t>Rina</t>
  </si>
  <si>
    <t>Shakti</t>
  </si>
  <si>
    <t>Harsukhrai</t>
  </si>
  <si>
    <t>Pratapmalji</t>
  </si>
  <si>
    <t>Chandra</t>
  </si>
  <si>
    <t>Sunil</t>
  </si>
  <si>
    <t>Renu</t>
  </si>
  <si>
    <t>Vishva</t>
  </si>
  <si>
    <t>Avika</t>
  </si>
  <si>
    <t>Sumita</t>
  </si>
  <si>
    <t>Tansukhraiji</t>
  </si>
  <si>
    <t>Ruby</t>
  </si>
  <si>
    <t>Bhavesh</t>
  </si>
  <si>
    <t>Pranay</t>
  </si>
  <si>
    <t>Kantabai</t>
  </si>
  <si>
    <t>Kiran</t>
  </si>
  <si>
    <t>Mahendrakumar</t>
  </si>
  <si>
    <t>Sadhna</t>
  </si>
  <si>
    <t>Dhankumar</t>
  </si>
  <si>
    <t>Rishiraj</t>
  </si>
  <si>
    <t>Kishorkumar</t>
  </si>
  <si>
    <t>Cheri</t>
  </si>
  <si>
    <t>Navnitlalji</t>
  </si>
  <si>
    <t>Chandrashri</t>
  </si>
  <si>
    <t>Mayuri</t>
  </si>
  <si>
    <t>Shashank</t>
  </si>
  <si>
    <t>Manojkumar</t>
  </si>
  <si>
    <t>Namrata</t>
  </si>
  <si>
    <t>Mitrasen</t>
  </si>
  <si>
    <t>Nandita</t>
  </si>
  <si>
    <t>Rajshri</t>
  </si>
  <si>
    <t>Sambhav</t>
  </si>
  <si>
    <t>Abhinandan</t>
  </si>
  <si>
    <t>Mohanbai</t>
  </si>
  <si>
    <t>Hasmukh</t>
  </si>
  <si>
    <t>Sulochna</t>
  </si>
  <si>
    <t>Hansmukh</t>
  </si>
  <si>
    <t>Yashpal</t>
  </si>
  <si>
    <t>Nirmalkumar</t>
  </si>
  <si>
    <t>Nishant</t>
  </si>
  <si>
    <t>Shefali</t>
  </si>
  <si>
    <t>Rita</t>
  </si>
  <si>
    <t>Nitin</t>
  </si>
  <si>
    <t>Kailashchandji</t>
  </si>
  <si>
    <t>Ranu</t>
  </si>
  <si>
    <t>Hriday</t>
  </si>
  <si>
    <t>Shriyas</t>
  </si>
  <si>
    <t>Ashwini</t>
  </si>
  <si>
    <t>Sanchay</t>
  </si>
  <si>
    <t>Shikhar</t>
  </si>
  <si>
    <t>Kailashchand</t>
  </si>
  <si>
    <t>Pawankumar</t>
  </si>
  <si>
    <t>Sarekuvar</t>
  </si>
  <si>
    <t>Dhanyakumar</t>
  </si>
  <si>
    <t>Virang</t>
  </si>
  <si>
    <t>Punya</t>
  </si>
  <si>
    <t>Kantaben</t>
  </si>
  <si>
    <t>Premal</t>
  </si>
  <si>
    <t>Premalkumar</t>
  </si>
  <si>
    <t>Aadesh</t>
  </si>
  <si>
    <t>Ravindrakumar</t>
  </si>
  <si>
    <t>Jigna</t>
  </si>
  <si>
    <t>Sureshkumar</t>
  </si>
  <si>
    <t>Navinlalji</t>
  </si>
  <si>
    <t>Taruna</t>
  </si>
  <si>
    <t>Tarunkumar</t>
  </si>
  <si>
    <t>Hemagrini</t>
  </si>
  <si>
    <t>Dviti</t>
  </si>
  <si>
    <t>Yukti</t>
  </si>
  <si>
    <t>Sushilkumar</t>
  </si>
  <si>
    <t>Dhruv</t>
  </si>
  <si>
    <t>Shripal</t>
  </si>
  <si>
    <t>Keshavlalji</t>
  </si>
  <si>
    <t>Suchi</t>
  </si>
  <si>
    <t>Ajitkumar</t>
  </si>
  <si>
    <t>Chandanmalji</t>
  </si>
  <si>
    <t>Ramila</t>
  </si>
  <si>
    <t>Ashmi</t>
  </si>
  <si>
    <t>Savita</t>
  </si>
  <si>
    <t>Anukul</t>
  </si>
  <si>
    <t>AshokKumar</t>
  </si>
  <si>
    <t>Hiralalji</t>
  </si>
  <si>
    <t>Sanjeev</t>
  </si>
  <si>
    <t>Kavita</t>
  </si>
  <si>
    <t>Baba</t>
  </si>
  <si>
    <t>Gulabbai</t>
  </si>
  <si>
    <t>Nisha</t>
  </si>
  <si>
    <t>Aashit</t>
  </si>
  <si>
    <t>Shama</t>
  </si>
  <si>
    <t>Prabha</t>
  </si>
  <si>
    <t>Bharatkumar</t>
  </si>
  <si>
    <t>Hulasbai</t>
  </si>
  <si>
    <t>Bhagchand</t>
  </si>
  <si>
    <t>Aakash</t>
  </si>
  <si>
    <t>Shailesh</t>
  </si>
  <si>
    <t>Aditi</t>
  </si>
  <si>
    <t>Shreyans</t>
  </si>
  <si>
    <t>Umi</t>
  </si>
  <si>
    <t>Chandraprakash</t>
  </si>
  <si>
    <t>Mohanlalji</t>
  </si>
  <si>
    <t>Khushali</t>
  </si>
  <si>
    <t>Chandrakanta</t>
  </si>
  <si>
    <t>Simla</t>
  </si>
  <si>
    <t>Devkamal</t>
  </si>
  <si>
    <t>Hemendrakumar</t>
  </si>
  <si>
    <t>Hemlata</t>
  </si>
  <si>
    <t>Madhulika</t>
  </si>
  <si>
    <t>Prerna</t>
  </si>
  <si>
    <t>Divya</t>
  </si>
  <si>
    <t>Roshanlalji</t>
  </si>
  <si>
    <t>Devika</t>
  </si>
  <si>
    <t>Rima</t>
  </si>
  <si>
    <t>Parshva</t>
  </si>
  <si>
    <t>Dilipkumar</t>
  </si>
  <si>
    <t>Popatlalji</t>
  </si>
  <si>
    <t>Hemang</t>
  </si>
  <si>
    <t>Shanta</t>
  </si>
  <si>
    <t>Indramalji</t>
  </si>
  <si>
    <t>Deepika</t>
  </si>
  <si>
    <t>Viraaj</t>
  </si>
  <si>
    <t>Rishika</t>
  </si>
  <si>
    <t>Jayeshkumar</t>
  </si>
  <si>
    <t>Jigar</t>
  </si>
  <si>
    <t>Hansa</t>
  </si>
  <si>
    <t>Yash</t>
  </si>
  <si>
    <t>Kanchanlal</t>
  </si>
  <si>
    <t>Sajjanlalji</t>
  </si>
  <si>
    <t>Pragnya</t>
  </si>
  <si>
    <t>Janvi</t>
  </si>
  <si>
    <t>Kankubai</t>
  </si>
  <si>
    <t>Kirankumar</t>
  </si>
  <si>
    <t>Madhukanta</t>
  </si>
  <si>
    <t>Saloni</t>
  </si>
  <si>
    <t>Aastha</t>
  </si>
  <si>
    <t>Manishkumar</t>
  </si>
  <si>
    <t>Bhavik</t>
  </si>
  <si>
    <t>Monika</t>
  </si>
  <si>
    <t>Bhavya</t>
  </si>
  <si>
    <t>Kulbhushan</t>
  </si>
  <si>
    <t>Hukmichandji</t>
  </si>
  <si>
    <t>Kusumlata</t>
  </si>
  <si>
    <t>Sanjay</t>
  </si>
  <si>
    <t>Akshay</t>
  </si>
  <si>
    <t>Dhvani</t>
  </si>
  <si>
    <t>Kailashchandra</t>
  </si>
  <si>
    <t>Pankaj</t>
  </si>
  <si>
    <t>Jigyasa</t>
  </si>
  <si>
    <t>Avinash</t>
  </si>
  <si>
    <t>Madanlal</t>
  </si>
  <si>
    <t>Kirtiben</t>
  </si>
  <si>
    <t>Sashank</t>
  </si>
  <si>
    <t>Vijaya</t>
  </si>
  <si>
    <t>Bharat</t>
  </si>
  <si>
    <t>Mahendra</t>
  </si>
  <si>
    <t>Maneklal</t>
  </si>
  <si>
    <t>Gyanchandji</t>
  </si>
  <si>
    <t>Kritika</t>
  </si>
  <si>
    <t>Vishesh</t>
  </si>
  <si>
    <t>Pavitra</t>
  </si>
  <si>
    <t>Pannalalji</t>
  </si>
  <si>
    <t>Indrabala</t>
  </si>
  <si>
    <t>Kanjul</t>
  </si>
  <si>
    <t>Latadevi</t>
  </si>
  <si>
    <t>Pradeepkumar</t>
  </si>
  <si>
    <t>Manorama</t>
  </si>
  <si>
    <t>Rohan</t>
  </si>
  <si>
    <t>Riya</t>
  </si>
  <si>
    <t>Rojeshri</t>
  </si>
  <si>
    <t>Chandrakala</t>
  </si>
  <si>
    <t>Hiteshri</t>
  </si>
  <si>
    <t>Rameshchandra</t>
  </si>
  <si>
    <t>Piyush</t>
  </si>
  <si>
    <t>Jhankhana</t>
  </si>
  <si>
    <t>Ratanben</t>
  </si>
  <si>
    <t>Bela</t>
  </si>
  <si>
    <t>Rekha</t>
  </si>
  <si>
    <t>Rajkumar</t>
  </si>
  <si>
    <t>Maganlalji</t>
  </si>
  <si>
    <t>Chandrikadevi</t>
  </si>
  <si>
    <t>Aruna</t>
  </si>
  <si>
    <t>Anmol</t>
  </si>
  <si>
    <t>Sapna</t>
  </si>
  <si>
    <t>Kalavati</t>
  </si>
  <si>
    <t>Nikhil</t>
  </si>
  <si>
    <t>Pallavi</t>
  </si>
  <si>
    <t>Khusbu</t>
  </si>
  <si>
    <t>Nyayasa</t>
  </si>
  <si>
    <t>Suryakanta</t>
  </si>
  <si>
    <t>Deepali</t>
  </si>
  <si>
    <t>Nikita</t>
  </si>
  <si>
    <t>Pannalal</t>
  </si>
  <si>
    <t>Shruti</t>
  </si>
  <si>
    <t>Seeta</t>
  </si>
  <si>
    <t>Hajarimalji</t>
  </si>
  <si>
    <t>Samir</t>
  </si>
  <si>
    <t>Maneklalji</t>
  </si>
  <si>
    <t>Anvi</t>
  </si>
  <si>
    <t>Sumtilal</t>
  </si>
  <si>
    <t>Puranmalji</t>
  </si>
  <si>
    <t>Sumatilal</t>
  </si>
  <si>
    <t>Sajjanbai</t>
  </si>
  <si>
    <t>Surendrakumar</t>
  </si>
  <si>
    <t>Neela</t>
  </si>
  <si>
    <t>Kalyanmala</t>
  </si>
  <si>
    <t>Deeviskumar</t>
  </si>
  <si>
    <t>Ravi</t>
  </si>
  <si>
    <t>Ekta</t>
  </si>
  <si>
    <t>Pravin</t>
  </si>
  <si>
    <t>Rashmi</t>
  </si>
  <si>
    <t>Rupal</t>
  </si>
  <si>
    <t>Labdhi</t>
  </si>
  <si>
    <t>Sunila</t>
  </si>
  <si>
    <t>Somil</t>
  </si>
  <si>
    <t>Sonali</t>
  </si>
  <si>
    <t>Bhanu</t>
  </si>
  <si>
    <t>Vandana</t>
  </si>
  <si>
    <t>Vidyabhushan</t>
  </si>
  <si>
    <t>Deven</t>
  </si>
  <si>
    <t>Vimalkumar</t>
  </si>
  <si>
    <t>Vimal</t>
  </si>
  <si>
    <t>Jayshri</t>
  </si>
  <si>
    <t>Prachi</t>
  </si>
  <si>
    <t>Sushma</t>
  </si>
  <si>
    <t>Babu</t>
  </si>
  <si>
    <t>Tara</t>
  </si>
  <si>
    <t>Vinay</t>
  </si>
  <si>
    <t>Neelam</t>
  </si>
  <si>
    <t>Ugrasen</t>
  </si>
  <si>
    <t>Parishi</t>
  </si>
  <si>
    <t>Dhananjay</t>
  </si>
  <si>
    <t>Bhumika</t>
  </si>
  <si>
    <t>Diljitkumar</t>
  </si>
  <si>
    <t>Narendramalji</t>
  </si>
  <si>
    <t>Sharda</t>
  </si>
  <si>
    <t>Namit</t>
  </si>
  <si>
    <t>Sujanmalji</t>
  </si>
  <si>
    <t>Vijay</t>
  </si>
  <si>
    <t>Shobha</t>
  </si>
  <si>
    <t>Rishabh</t>
  </si>
  <si>
    <t>Paritosh</t>
  </si>
  <si>
    <t>Mohitkumar</t>
  </si>
  <si>
    <t>Kunal</t>
  </si>
  <si>
    <t>Poonam</t>
  </si>
  <si>
    <t>Tanvi</t>
  </si>
  <si>
    <t>Sujanmal</t>
  </si>
  <si>
    <t>Shubir</t>
  </si>
  <si>
    <t>Aashish</t>
  </si>
  <si>
    <t>Sejal</t>
  </si>
  <si>
    <t>Shonit</t>
  </si>
  <si>
    <t>Mahir</t>
  </si>
  <si>
    <t>Kalyanmalji</t>
  </si>
  <si>
    <t>Shakshi</t>
  </si>
  <si>
    <t>Shrusti</t>
  </si>
  <si>
    <t>Javerilalji</t>
  </si>
  <si>
    <t>Kamini</t>
  </si>
  <si>
    <t>Kirankumarji</t>
  </si>
  <si>
    <t>Shashiprabha</t>
  </si>
  <si>
    <t>Nikesh</t>
  </si>
  <si>
    <t>Padmesh</t>
  </si>
  <si>
    <t>Devendrakumar</t>
  </si>
  <si>
    <t>Labhchandraji</t>
  </si>
  <si>
    <t>Marut</t>
  </si>
  <si>
    <t>Dolly</t>
  </si>
  <si>
    <t>Esha</t>
  </si>
  <si>
    <t>Dharnendra</t>
  </si>
  <si>
    <t>Vipinchandraji</t>
  </si>
  <si>
    <t>Manali</t>
  </si>
  <si>
    <t>Vrushali</t>
  </si>
  <si>
    <t>Ganeshlal</t>
  </si>
  <si>
    <t>Manmalji</t>
  </si>
  <si>
    <t>Surekha</t>
  </si>
  <si>
    <t>Gunmalaben</t>
  </si>
  <si>
    <t>Gendmalji</t>
  </si>
  <si>
    <t>Hasmukhlal</t>
  </si>
  <si>
    <t>Paresh</t>
  </si>
  <si>
    <t>Kruti</t>
  </si>
  <si>
    <t>Kalpesh</t>
  </si>
  <si>
    <t>Javerlal</t>
  </si>
  <si>
    <t>Amrut</t>
  </si>
  <si>
    <t>Mohinichandraji</t>
  </si>
  <si>
    <t>Lokesh</t>
  </si>
  <si>
    <t>Sahil</t>
  </si>
  <si>
    <t>Parul</t>
  </si>
  <si>
    <t>Kamalsen</t>
  </si>
  <si>
    <t>Lila</t>
  </si>
  <si>
    <t>Sudha</t>
  </si>
  <si>
    <t>Hasmukhlalji</t>
  </si>
  <si>
    <t>Ayushi</t>
  </si>
  <si>
    <t>Vijaylalji</t>
  </si>
  <si>
    <t>Akansha</t>
  </si>
  <si>
    <t>Hirak</t>
  </si>
  <si>
    <t>Mohinichandji</t>
  </si>
  <si>
    <t>Pramila</t>
  </si>
  <si>
    <t>Shika</t>
  </si>
  <si>
    <t>Megha</t>
  </si>
  <si>
    <t>Rajdeep</t>
  </si>
  <si>
    <t>Mansukhlal</t>
  </si>
  <si>
    <t>Anantkuvar</t>
  </si>
  <si>
    <t>Mohinichandra</t>
  </si>
  <si>
    <t>Sugandhdevi</t>
  </si>
  <si>
    <t>Kundkumar</t>
  </si>
  <si>
    <t>Prashantkumar</t>
  </si>
  <si>
    <t>Tushar</t>
  </si>
  <si>
    <t>Tusharkumar</t>
  </si>
  <si>
    <t>Lalitprabha</t>
  </si>
  <si>
    <t>Astha</t>
  </si>
  <si>
    <t>Riddhesh</t>
  </si>
  <si>
    <t>Paraskumar</t>
  </si>
  <si>
    <t>Sarita</t>
  </si>
  <si>
    <t>Ramanlal</t>
  </si>
  <si>
    <t>Rameshchand</t>
  </si>
  <si>
    <t>Nathulalji</t>
  </si>
  <si>
    <t>Jay</t>
  </si>
  <si>
    <t>Reshma</t>
  </si>
  <si>
    <t>Malvika</t>
  </si>
  <si>
    <t>Padma</t>
  </si>
  <si>
    <t>Sirishkumar</t>
  </si>
  <si>
    <t>Setu</t>
  </si>
  <si>
    <t>Jash</t>
  </si>
  <si>
    <t>Shreyas</t>
  </si>
  <si>
    <t>Sunilkumar</t>
  </si>
  <si>
    <t>Alka</t>
  </si>
  <si>
    <t>Puneet</t>
  </si>
  <si>
    <t>Shailee</t>
  </si>
  <si>
    <t>Sumit</t>
  </si>
  <si>
    <t>Koyal</t>
  </si>
  <si>
    <t>Arun</t>
  </si>
  <si>
    <t>Pooja</t>
  </si>
  <si>
    <t>Arti</t>
  </si>
  <si>
    <t>Siddhi</t>
  </si>
  <si>
    <t>Samyak</t>
  </si>
  <si>
    <t>Amrutlalji</t>
  </si>
  <si>
    <t>Trupti</t>
  </si>
  <si>
    <t>Dhara</t>
  </si>
  <si>
    <t>Chameli</t>
  </si>
  <si>
    <t>Dhanlaxmi</t>
  </si>
  <si>
    <t>Nishta</t>
  </si>
  <si>
    <t>Chitrang</t>
  </si>
  <si>
    <t>Dipesh</t>
  </si>
  <si>
    <t>Sharmila</t>
  </si>
  <si>
    <t>Jin</t>
  </si>
  <si>
    <t>Dinesh</t>
  </si>
  <si>
    <t>Sanchi</t>
  </si>
  <si>
    <t>Vallabhbhai</t>
  </si>
  <si>
    <t>Roopchandraji</t>
  </si>
  <si>
    <t>Rajkumari</t>
  </si>
  <si>
    <t>Keva</t>
  </si>
  <si>
    <t>Pritesh</t>
  </si>
  <si>
    <t>Vidyavanti</t>
  </si>
  <si>
    <t>Premlata</t>
  </si>
  <si>
    <t>Vinaychandra</t>
  </si>
  <si>
    <t>Sumangala</t>
  </si>
  <si>
    <t>Nirupam</t>
  </si>
  <si>
    <t>Sadhana</t>
  </si>
  <si>
    <t>Ankita</t>
  </si>
  <si>
    <t>Ritika</t>
  </si>
  <si>
    <t>Mathurabai</t>
  </si>
  <si>
    <t>Rinku</t>
  </si>
  <si>
    <t>Nita</t>
  </si>
  <si>
    <t>Harshita</t>
  </si>
  <si>
    <t>Kamal</t>
  </si>
  <si>
    <t>Divyesh</t>
  </si>
  <si>
    <t>Ketan</t>
  </si>
  <si>
    <t>Lata</t>
  </si>
  <si>
    <t>Chirag</t>
  </si>
  <si>
    <t>Nihar</t>
  </si>
  <si>
    <t>Sugandh</t>
  </si>
  <si>
    <t>Guddu</t>
  </si>
  <si>
    <t>Manmal</t>
  </si>
  <si>
    <t>Khubchandji</t>
  </si>
  <si>
    <t>Mangalkumar</t>
  </si>
  <si>
    <t>Roshni</t>
  </si>
  <si>
    <t>Saurabh</t>
  </si>
  <si>
    <t>Mehul</t>
  </si>
  <si>
    <t>Shashi</t>
  </si>
  <si>
    <t>Ajit</t>
  </si>
  <si>
    <t>Anjani</t>
  </si>
  <si>
    <t>Avichal</t>
  </si>
  <si>
    <t>Nischhal</t>
  </si>
  <si>
    <t>Sonika</t>
  </si>
  <si>
    <t>Achal</t>
  </si>
  <si>
    <t>Baby</t>
  </si>
  <si>
    <t>Dharamchand</t>
  </si>
  <si>
    <t>Kishanlalji</t>
  </si>
  <si>
    <t>Vimla</t>
  </si>
  <si>
    <t>Dharamchandji</t>
  </si>
  <si>
    <t>Ashokumar</t>
  </si>
  <si>
    <t>Pushya</t>
  </si>
  <si>
    <t>Jaykumar</t>
  </si>
  <si>
    <t>Nishita</t>
  </si>
  <si>
    <t>Gyanchandraji</t>
  </si>
  <si>
    <t>Kirtiveer</t>
  </si>
  <si>
    <t>Akash</t>
  </si>
  <si>
    <t>Surendra</t>
  </si>
  <si>
    <t>Nandini</t>
  </si>
  <si>
    <t>Madanben</t>
  </si>
  <si>
    <t>Maina</t>
  </si>
  <si>
    <t>Ratanlal</t>
  </si>
  <si>
    <t>Somesh</t>
  </si>
  <si>
    <t>Manav</t>
  </si>
  <si>
    <t>Khushi</t>
  </si>
  <si>
    <t>Amolika</t>
  </si>
  <si>
    <t>Nathmalji</t>
  </si>
  <si>
    <t>Sanchet</t>
  </si>
  <si>
    <t>Sajjandevi</t>
  </si>
  <si>
    <t>Bharatveer</t>
  </si>
  <si>
    <t>Ishaan</t>
  </si>
  <si>
    <t>Prashuk</t>
  </si>
  <si>
    <t>Shubchandra</t>
  </si>
  <si>
    <t>Shipra</t>
  </si>
  <si>
    <t>Jai</t>
  </si>
  <si>
    <t>Falguni</t>
  </si>
  <si>
    <t>Tirth</t>
  </si>
  <si>
    <t>Vishvesen</t>
  </si>
  <si>
    <t>Pearl</t>
  </si>
  <si>
    <t>Arjav</t>
  </si>
  <si>
    <t>Vidyapati</t>
  </si>
  <si>
    <t>Simran</t>
  </si>
  <si>
    <t>Manju</t>
  </si>
  <si>
    <t>Sohanben</t>
  </si>
  <si>
    <t>Pamal</t>
  </si>
  <si>
    <t>Ranjan</t>
  </si>
  <si>
    <t>Samarth</t>
  </si>
  <si>
    <t>Kesahvlalji</t>
  </si>
  <si>
    <t>Yashvi</t>
  </si>
  <si>
    <t>Madhuri</t>
  </si>
  <si>
    <t>Paras</t>
  </si>
  <si>
    <t>Abhay</t>
  </si>
  <si>
    <t>Manasvini</t>
  </si>
  <si>
    <t>Shantabai</t>
  </si>
  <si>
    <t>Manakbai</t>
  </si>
  <si>
    <t>Vidya</t>
  </si>
  <si>
    <t>Motilal</t>
  </si>
  <si>
    <t>Kankudevi</t>
  </si>
  <si>
    <t>Neel</t>
  </si>
  <si>
    <t>Sagar</t>
  </si>
  <si>
    <t>Indu</t>
  </si>
  <si>
    <t>Mamta</t>
  </si>
  <si>
    <t>Hazarimal</t>
  </si>
  <si>
    <t>Padmashri</t>
  </si>
  <si>
    <t>Umang</t>
  </si>
  <si>
    <t>Kevalya</t>
  </si>
  <si>
    <t>Kalyanchand</t>
  </si>
  <si>
    <t>Kanchanlalji</t>
  </si>
  <si>
    <t>Manjulaben</t>
  </si>
  <si>
    <t>Dineshkumar</t>
  </si>
  <si>
    <t>Atul</t>
  </si>
  <si>
    <t>Atulkumar</t>
  </si>
  <si>
    <t>Avi</t>
  </si>
  <si>
    <t>Dimple</t>
  </si>
  <si>
    <t>Nirmal</t>
  </si>
  <si>
    <t>Jayabala</t>
  </si>
  <si>
    <t>Prakashchandraji</t>
  </si>
  <si>
    <t>RIddhi</t>
  </si>
  <si>
    <t>Savitridevi</t>
  </si>
  <si>
    <t>Tanmay</t>
  </si>
  <si>
    <t>Mahipal</t>
  </si>
  <si>
    <t>Kashish</t>
  </si>
  <si>
    <t>Samar</t>
  </si>
  <si>
    <t>Yasti</t>
  </si>
  <si>
    <t>Swomil</t>
  </si>
  <si>
    <t>Meeta</t>
  </si>
  <si>
    <t>Ruchil</t>
  </si>
  <si>
    <t>Lokendra</t>
  </si>
  <si>
    <t>Arpit</t>
  </si>
  <si>
    <t>Neeraj</t>
  </si>
  <si>
    <t>Rajeev</t>
  </si>
  <si>
    <t>Niranjanlal</t>
  </si>
  <si>
    <t>Chelna</t>
  </si>
  <si>
    <t>Harishkumarji</t>
  </si>
  <si>
    <t>Jasmin</t>
  </si>
  <si>
    <t>Pradhumankumar</t>
  </si>
  <si>
    <t>Mona</t>
  </si>
  <si>
    <t>Jaya</t>
  </si>
  <si>
    <t>Dhanvanti</t>
  </si>
  <si>
    <t>Piyushkumar</t>
  </si>
  <si>
    <t>Laxmichandji</t>
  </si>
  <si>
    <t>Anuradha</t>
  </si>
  <si>
    <t>Chanchala</t>
  </si>
  <si>
    <t>Bhadrika</t>
  </si>
  <si>
    <t>Kalpeshkumar</t>
  </si>
  <si>
    <t>Darshan</t>
  </si>
  <si>
    <t>Pari</t>
  </si>
  <si>
    <t>Harshadkumar</t>
  </si>
  <si>
    <t>Meetul</t>
  </si>
  <si>
    <t>Prabhaben</t>
  </si>
  <si>
    <t>Rameshkumar</t>
  </si>
  <si>
    <t>Hinal</t>
  </si>
  <si>
    <t>Krushal</t>
  </si>
  <si>
    <t>Reema</t>
  </si>
  <si>
    <t>Kejal</t>
  </si>
  <si>
    <t>Bhamarlal</t>
  </si>
  <si>
    <t>Nalini</t>
  </si>
  <si>
    <t>Dhavalkumar</t>
  </si>
  <si>
    <t>Niyati</t>
  </si>
  <si>
    <t>Arnav</t>
  </si>
  <si>
    <t>Hathisingh</t>
  </si>
  <si>
    <t>Sanjeevkumar</t>
  </si>
  <si>
    <t>Ketki</t>
  </si>
  <si>
    <t>Monish</t>
  </si>
  <si>
    <t>Pravinkumar</t>
  </si>
  <si>
    <t>Bhoomi</t>
  </si>
  <si>
    <t>Karishma</t>
  </si>
  <si>
    <t>Mihir</t>
  </si>
  <si>
    <t>Chandulalji</t>
  </si>
  <si>
    <t>Grusha</t>
  </si>
  <si>
    <t>Chandulal</t>
  </si>
  <si>
    <t>Nathulal</t>
  </si>
  <si>
    <t>Soubhagyavati</t>
  </si>
  <si>
    <t>Valchand</t>
  </si>
  <si>
    <t>Ishika</t>
  </si>
  <si>
    <t>Pragyashri</t>
  </si>
  <si>
    <t>Hardik</t>
  </si>
  <si>
    <t>Animesh</t>
  </si>
  <si>
    <t>Animeshkumar</t>
  </si>
  <si>
    <t>Arvindkumar</t>
  </si>
  <si>
    <t>Madhubala</t>
  </si>
  <si>
    <t>Chandresh</t>
  </si>
  <si>
    <t>Malay</t>
  </si>
  <si>
    <t>Avin</t>
  </si>
  <si>
    <t>Chandrakant</t>
  </si>
  <si>
    <t>Lavanyavati</t>
  </si>
  <si>
    <t>Bhamarlalji</t>
  </si>
  <si>
    <t>Dharmesh</t>
  </si>
  <si>
    <t>Antarishk</t>
  </si>
  <si>
    <t>Daksha</t>
  </si>
  <si>
    <t>Dilipkumarji</t>
  </si>
  <si>
    <t>Sunny</t>
  </si>
  <si>
    <t>Suresh</t>
  </si>
  <si>
    <t>Alpana</t>
  </si>
  <si>
    <t>Aman</t>
  </si>
  <si>
    <t>Atik</t>
  </si>
  <si>
    <t>Anuksha</t>
  </si>
  <si>
    <t>Roopkundala</t>
  </si>
  <si>
    <t>Minal</t>
  </si>
  <si>
    <t>Sachin</t>
  </si>
  <si>
    <t>Kisanlalji</t>
  </si>
  <si>
    <t>Pushpaben</t>
  </si>
  <si>
    <t>Chogalalji</t>
  </si>
  <si>
    <t>Ashish</t>
  </si>
  <si>
    <t>Chandana</t>
  </si>
  <si>
    <t>Vidyavati</t>
  </si>
  <si>
    <t>Harish</t>
  </si>
  <si>
    <t>Mohini</t>
  </si>
  <si>
    <t>Paragi</t>
  </si>
  <si>
    <t>Charmi</t>
  </si>
  <si>
    <t>Ashita</t>
  </si>
  <si>
    <t>Lalita</t>
  </si>
  <si>
    <t>Preksha</t>
  </si>
  <si>
    <t>Navinchandraji</t>
  </si>
  <si>
    <t>Nareshkumar</t>
  </si>
  <si>
    <t>Ushma</t>
  </si>
  <si>
    <t>Anchal</t>
  </si>
  <si>
    <t>Rajnikant</t>
  </si>
  <si>
    <t>Kusum</t>
  </si>
  <si>
    <t>Rajiv</t>
  </si>
  <si>
    <t>Bhavna</t>
  </si>
  <si>
    <t>Girish</t>
  </si>
  <si>
    <t>Niranjana</t>
  </si>
  <si>
    <t>Chitra</t>
  </si>
  <si>
    <t>Gunjan</t>
  </si>
  <si>
    <t>Kuvarlalji</t>
  </si>
  <si>
    <t>Jignesh</t>
  </si>
  <si>
    <t>Jinal</t>
  </si>
  <si>
    <t>Samta</t>
  </si>
  <si>
    <t>Ashoka</t>
  </si>
  <si>
    <t>Kesarbai</t>
  </si>
  <si>
    <t>Nandlalji</t>
  </si>
  <si>
    <t>Kantadevi</t>
  </si>
  <si>
    <t>Loukik</t>
  </si>
  <si>
    <t>Ojaswi</t>
  </si>
  <si>
    <t>Rakeshkumar</t>
  </si>
  <si>
    <t>Urvi</t>
  </si>
  <si>
    <t>Chandrakuvar</t>
  </si>
  <si>
    <t>Hina</t>
  </si>
  <si>
    <t>Apurv</t>
  </si>
  <si>
    <t>Prakshal</t>
  </si>
  <si>
    <t>Gyanchandra</t>
  </si>
  <si>
    <t>Kumkumdevi</t>
  </si>
  <si>
    <t>Subodh</t>
  </si>
  <si>
    <t>Rasna</t>
  </si>
  <si>
    <t>Pranali</t>
  </si>
  <si>
    <t>Bhuralalji</t>
  </si>
  <si>
    <t>Sirish</t>
  </si>
  <si>
    <t>Harshika</t>
  </si>
  <si>
    <t>Hemal</t>
  </si>
  <si>
    <t>Meetu</t>
  </si>
  <si>
    <t>Vidhan</t>
  </si>
  <si>
    <t>Shivani</t>
  </si>
  <si>
    <t>Taraben</t>
  </si>
  <si>
    <t>Dhanyakumari</t>
  </si>
  <si>
    <t>Sarvesh</t>
  </si>
  <si>
    <t>Niranjan</t>
  </si>
  <si>
    <t>Sumatilalji</t>
  </si>
  <si>
    <t>Kanakmal</t>
  </si>
  <si>
    <t>Hiteshkumar</t>
  </si>
  <si>
    <t>Arvindkumarji</t>
  </si>
  <si>
    <t>Sameer</t>
  </si>
  <si>
    <t>Arunkant</t>
  </si>
  <si>
    <t>Aadeshkumar</t>
  </si>
  <si>
    <t>Alokkumar</t>
  </si>
  <si>
    <t>Deepchandji</t>
  </si>
  <si>
    <t>Deepchnadji</t>
  </si>
  <si>
    <t>Tejas</t>
  </si>
  <si>
    <t>Mangilalji</t>
  </si>
  <si>
    <t>Chiranjilal</t>
  </si>
  <si>
    <t>Bhagchnadji</t>
  </si>
  <si>
    <t>Uma</t>
  </si>
  <si>
    <t>Hematkumar</t>
  </si>
  <si>
    <t>Purab</t>
  </si>
  <si>
    <t>Pravinchnadji</t>
  </si>
  <si>
    <t>Aniket</t>
  </si>
  <si>
    <t>Jaswantlal</t>
  </si>
  <si>
    <t>Jayesh</t>
  </si>
  <si>
    <t>Aashay</t>
  </si>
  <si>
    <t>Dhrishti</t>
  </si>
  <si>
    <t>Jayantkumar</t>
  </si>
  <si>
    <t>Divyakantji</t>
  </si>
  <si>
    <t>Kalhans</t>
  </si>
  <si>
    <t>kalhans</t>
  </si>
  <si>
    <t>Devansh</t>
  </si>
  <si>
    <t>Kamleshkumar</t>
  </si>
  <si>
    <t>rajmalji</t>
  </si>
  <si>
    <t>Urjita</t>
  </si>
  <si>
    <t>Anjana</t>
  </si>
  <si>
    <t>Apeksha</t>
  </si>
  <si>
    <t>Sandhya</t>
  </si>
  <si>
    <t>Nina</t>
  </si>
  <si>
    <t>Diveet</t>
  </si>
  <si>
    <t>Rajat</t>
  </si>
  <si>
    <t>Veena</t>
  </si>
  <si>
    <t>Nitesh</t>
  </si>
  <si>
    <t>Divesh</t>
  </si>
  <si>
    <t>Koynaben</t>
  </si>
  <si>
    <t>Jayaben</t>
  </si>
  <si>
    <t>Priyank</t>
  </si>
  <si>
    <t>Taural</t>
  </si>
  <si>
    <t>Kanaklata</t>
  </si>
  <si>
    <t>Anup</t>
  </si>
  <si>
    <t>Pravina</t>
  </si>
  <si>
    <t>Akshat</t>
  </si>
  <si>
    <t>Nischint</t>
  </si>
  <si>
    <t>Nandkuvar</t>
  </si>
  <si>
    <t>Nayana</t>
  </si>
  <si>
    <t>Kinjal</t>
  </si>
  <si>
    <t>Chandrarekha</t>
  </si>
  <si>
    <t>Sanjana</t>
  </si>
  <si>
    <t>Pg no.</t>
  </si>
  <si>
    <t>Family no.</t>
  </si>
  <si>
    <t>Sr. no</t>
  </si>
  <si>
    <t>Agathia Ajitkumar Laxmichandji</t>
  </si>
  <si>
    <t>Agathia Shakuntala Ajitkumar</t>
  </si>
  <si>
    <t>Agathia Sarvesh Ajitkumar</t>
  </si>
  <si>
    <t>Agathia Archana Sarvesh</t>
  </si>
  <si>
    <t>Agathia Niranjan Laxmichandji</t>
  </si>
  <si>
    <t>Agathia Sandhya Niranjan</t>
  </si>
  <si>
    <t>Agathia Aashish Niranjan</t>
  </si>
  <si>
    <t>Agathia Amit Niranjan</t>
  </si>
  <si>
    <t>Agathia Pushpa Sumatilalji</t>
  </si>
  <si>
    <t>Agathia Kanakmal Sumatilalji</t>
  </si>
  <si>
    <t>Agathia Sushma Kanakmal</t>
  </si>
  <si>
    <t>Agathia Aadesh Kanakmal</t>
  </si>
  <si>
    <t>Agathia Kirtikumar Sumatilalji</t>
  </si>
  <si>
    <t>Agathia Nina Kirtikumar</t>
  </si>
  <si>
    <t>Agathia Pratik Kirtikumar</t>
  </si>
  <si>
    <t>Agathia Akshay Kirtikumar</t>
  </si>
  <si>
    <t>Agathia Rajkumar Laxmichandji</t>
  </si>
  <si>
    <t>Agathia Snehalata Rajkumar</t>
  </si>
  <si>
    <t>Agathia Hitesh Rajkumar</t>
  </si>
  <si>
    <t>Agathia Kamini Hiteshkumar</t>
  </si>
  <si>
    <t>Agathia Diveet Hiteshkumar</t>
  </si>
  <si>
    <t>Agathia Shubi Hiteshkumar</t>
  </si>
  <si>
    <t>Agathia Rajat Hiteshkumar</t>
  </si>
  <si>
    <t>Agathia Sushilkumar Laxmichandji</t>
  </si>
  <si>
    <t>Agathia Veena Sushilkumar</t>
  </si>
  <si>
    <t>Agathia Shreyas Sushilkumar</t>
  </si>
  <si>
    <t>Agathia Shruti Sushilkumar</t>
  </si>
  <si>
    <t>Davda Abhaykumar Chandmalji</t>
  </si>
  <si>
    <t>Davda Kiran Abhaykumar</t>
  </si>
  <si>
    <t>Davda Nitesh Abhaykumar</t>
  </si>
  <si>
    <t>Davda Neha Abhaykumar</t>
  </si>
  <si>
    <t>Davda Kantaben Chandmalji</t>
  </si>
  <si>
    <t>Davda Ajitkumar Chandmalji</t>
  </si>
  <si>
    <t>Davda Sadhna Ajitkumar</t>
  </si>
  <si>
    <t>Davda Divesh Ajitkumar</t>
  </si>
  <si>
    <t>Davda Ajitkumar Vasantlalji</t>
  </si>
  <si>
    <t>Davda Koynaben Ajitkumar</t>
  </si>
  <si>
    <t>Davda Jayaben Ajitkumar</t>
  </si>
  <si>
    <t>Davda Vishal Ajitkumar</t>
  </si>
  <si>
    <t>Davda Arvindkumar Bhagchandji</t>
  </si>
  <si>
    <t>Davda Saranga Arvindkumar</t>
  </si>
  <si>
    <t>Davda Sapna Arvindkumar</t>
  </si>
  <si>
    <t>Davda Neha Arvindkumar</t>
  </si>
  <si>
    <t>Davda Arvindkumar Ratanlalji</t>
  </si>
  <si>
    <t>Davda Lila Arvindkumarji</t>
  </si>
  <si>
    <t>Davda Sameer Arvindkumar</t>
  </si>
  <si>
    <t>Davda Vaibhav Sameer</t>
  </si>
  <si>
    <t>Davda Arvindkumar Vasantlalji</t>
  </si>
  <si>
    <t>Davda Rita Arvindkumar</t>
  </si>
  <si>
    <t>Davda Priyank Arvindkumar</t>
  </si>
  <si>
    <t>Davda Arunkant Manilalji</t>
  </si>
  <si>
    <t>Davda Indira Arunkant</t>
  </si>
  <si>
    <t>Davda Vaibhav Arunkant</t>
  </si>
  <si>
    <t>Davda Vaishali Arunkant</t>
  </si>
  <si>
    <t>Davda Taural Arunkant</t>
  </si>
  <si>
    <t>Davda Ashokkumar Bhagchandji</t>
  </si>
  <si>
    <t>Davda Kanaklata Ashokkumar</t>
  </si>
  <si>
    <t>Davda Amit Ashokkumar</t>
  </si>
  <si>
    <t>Davda Anup Ashokkumar</t>
  </si>
  <si>
    <t>Davda Ashokkumar Ratanlalji</t>
  </si>
  <si>
    <t>Davda Pravina Ashokkumar</t>
  </si>
  <si>
    <t>Davda Sachin Ashokkumar</t>
  </si>
  <si>
    <t>Davda Laxmi Dilipkumarji</t>
  </si>
  <si>
    <t>Davda Aadesh Dilipkumar</t>
  </si>
  <si>
    <t>Davda Sonal Aadeshkumar</t>
  </si>
  <si>
    <t>Davda Akshat Aadeshkumar</t>
  </si>
  <si>
    <t>Davda Nischint Aadeshkumar</t>
  </si>
  <si>
    <t>Davda Alokkumar Lalitkumarji</t>
  </si>
  <si>
    <t>Davda Swati Alokkumar</t>
  </si>
  <si>
    <t>Davda Chandrakant Deepchandji</t>
  </si>
  <si>
    <t>Davda Nandkuvar Deepchnadji</t>
  </si>
  <si>
    <t>Davda Nayana Chandrakant</t>
  </si>
  <si>
    <t>Davda Tejas Chandrakant</t>
  </si>
  <si>
    <t>Davda Shweta Tejas</t>
  </si>
  <si>
    <t>Davda Vishesh Tejas</t>
  </si>
  <si>
    <t>Davda Meghna Chandrakant</t>
  </si>
  <si>
    <t>Davda Chandraprakash Mangilalji</t>
  </si>
  <si>
    <t>Davda Yamini Chandraprakash</t>
  </si>
  <si>
    <t>Davda Kinjal Chandraprakash</t>
  </si>
  <si>
    <t>Davda Keval Chandraprakash</t>
  </si>
  <si>
    <t>Davda Chiranjilal Vasantlalji</t>
  </si>
  <si>
    <t>Davda Chandrarekha Chiranjilal</t>
  </si>
  <si>
    <t>Davda Kirti Chiranjilal</t>
  </si>
  <si>
    <t>Davda Dilipkumar Bhagchnadji</t>
  </si>
  <si>
    <t>Davda Sanjana Dilipkumar</t>
  </si>
  <si>
    <t>Davda Raj Dilipkumar</t>
  </si>
  <si>
    <t>Davda Rupali Dilipkumar</t>
  </si>
  <si>
    <t>Davda Hemantkumar Manilalji</t>
  </si>
  <si>
    <t>Davda Uma Hematkumar</t>
  </si>
  <si>
    <t>Davda Shweta Hemantkumar</t>
  </si>
  <si>
    <t>Davda Purab Hemantkumar</t>
  </si>
  <si>
    <t>Davda Hemantkumar Pravinchnadji</t>
  </si>
  <si>
    <t>Davda Shefali Hemantkumar</t>
  </si>
  <si>
    <t>Davda Aniket Hemantkumar</t>
  </si>
  <si>
    <t>Davda Akshay Hemantkumar</t>
  </si>
  <si>
    <t>Davda Jaswantlal Kesrimalji</t>
  </si>
  <si>
    <t>Davda Kamla Jaswantlal</t>
  </si>
  <si>
    <t>Davda Jayesh Jaswantlal</t>
  </si>
  <si>
    <t>Davda Preeti Jayesh</t>
  </si>
  <si>
    <t>Davda Aashay Jayesh</t>
  </si>
  <si>
    <t>Davda Dhrishti Jayesh</t>
  </si>
  <si>
    <t>Davda Jayantkumar Javerilalji</t>
  </si>
  <si>
    <t>Davda Alka Jayantkumar</t>
  </si>
  <si>
    <t>Davda Jai Jayantkumar</t>
  </si>
  <si>
    <t>Davda Neha Jai</t>
  </si>
  <si>
    <t>Davda Jigar Divyakantji</t>
  </si>
  <si>
    <t>Davda Kalhans Hasmukhlalji</t>
  </si>
  <si>
    <t>Davda Asha kalhans</t>
  </si>
  <si>
    <t>Davda Devansh Kalhans</t>
  </si>
  <si>
    <t>Davda Shreyans Kalhans</t>
  </si>
  <si>
    <t>Davda Kamleshkumar Vasantlalji</t>
  </si>
  <si>
    <t>Davda Anita Kamleshkumar</t>
  </si>
  <si>
    <t>Davda Shraddha Kamleshkumar</t>
  </si>
  <si>
    <t>Davda Kirtikumar rajmalji</t>
  </si>
  <si>
    <t>Davda Ruby Kirtikumar</t>
  </si>
  <si>
    <t>Davda Riddhi Kirtikumar</t>
  </si>
  <si>
    <t>Davda Dhaval Kirtikumar</t>
  </si>
  <si>
    <t>Davda Urjita Kirtikumar</t>
  </si>
  <si>
    <t>Davda Kailashchandra Chandmalji</t>
  </si>
  <si>
    <t>Davda Anjana Kailashchandra</t>
  </si>
  <si>
    <t>Davda Nisha Kailashchandra</t>
  </si>
  <si>
    <t>Davda Apeksha Kailashchandra</t>
  </si>
  <si>
    <t>Davda Megha Kailashchandra</t>
  </si>
  <si>
    <t>Davda Mahavirkumar Ganeshlalji</t>
  </si>
  <si>
    <t>Davda Suvarnlata Mahavirkumar</t>
  </si>
  <si>
    <t>Davda Rishuk Mahavirkumar</t>
  </si>
  <si>
    <t>Davda Ajabdevi Ganeshlalji</t>
  </si>
  <si>
    <t>Davda Shekhar Ganeshlalji</t>
  </si>
  <si>
    <t>Davda Manilal Mannalalji</t>
  </si>
  <si>
    <t>Davda Laxmi Manilal</t>
  </si>
  <si>
    <t>Davda Vinesh Manilal</t>
  </si>
  <si>
    <t>Davda Tarabai Surajmalji</t>
  </si>
  <si>
    <t>Davda Nileshkumar Surajmalji</t>
  </si>
  <si>
    <t>Davda Sangeeta Nileshkumar</t>
  </si>
  <si>
    <t>Davda Aditya Nileshkumar</t>
  </si>
  <si>
    <t>Davda Nirbhaykumar Manaklalji</t>
  </si>
  <si>
    <t>Davda Sashi Nirbhaykumar</t>
  </si>
  <si>
    <t>Davda Nikul Nirbhaykumar</t>
  </si>
  <si>
    <t>Davda Neelima Nirbhaykumar</t>
  </si>
  <si>
    <t>Davda Padmaja Kanhaiyalalji</t>
  </si>
  <si>
    <t>Davda Pankajkumar Dhanpalji</t>
  </si>
  <si>
    <t>Davda Neeta Pankajkumar</t>
  </si>
  <si>
    <t>Davda Shraddha Pankajkumar</t>
  </si>
  <si>
    <t>Davda Shreya Pankajkumar</t>
  </si>
  <si>
    <t>Davda Pramodchandra Vasantlalji</t>
  </si>
  <si>
    <t>Davda Shakuntala Pramodchandra</t>
  </si>
  <si>
    <t>Davda Pranavkumar Pramodchandra</t>
  </si>
  <si>
    <t>Davda Sonal Aadeshkumar Pramodchandra</t>
  </si>
  <si>
    <t>Davda Aadit Pramodchandra</t>
  </si>
  <si>
    <t>Davda Poornima Manilalji</t>
  </si>
  <si>
    <t>Davda Urmila Manilalji</t>
  </si>
  <si>
    <t>Davda Nayna Manilalji</t>
  </si>
  <si>
    <t>Davda Kishor Manilalji</t>
  </si>
  <si>
    <t>Davda Rashmikant Vasantlalji</t>
  </si>
  <si>
    <t>Davda Kumud Rashmikant</t>
  </si>
  <si>
    <t>Davda Ravikumar Rashmikant</t>
  </si>
  <si>
    <t>Davda Rajvi Ravikumar</t>
  </si>
  <si>
    <t>Davda Rajendrakumar Bhagchandji</t>
  </si>
  <si>
    <t>Davda Kamla Jaswantlal Rajendrakumar</t>
  </si>
  <si>
    <t>Davda Priyesh Rajendrakumar</t>
  </si>
  <si>
    <t>Davda Rajeshkumar Chandmalji</t>
  </si>
  <si>
    <t>Davda Rachna Rajesh</t>
  </si>
  <si>
    <t>Davda Rinkle Rajesh</t>
  </si>
  <si>
    <t>Davda Rupeshkumar Jayantilalji</t>
  </si>
  <si>
    <t>Davda Priyanka Rupeshkumar</t>
  </si>
  <si>
    <t>Davda Naman Rupeshkumar</t>
  </si>
  <si>
    <t>Davda Saroj Lalitkumarji</t>
  </si>
  <si>
    <t>Davda Anupkumar Lalitkumarji</t>
  </si>
  <si>
    <t>Davda Aarti Anupkumar</t>
  </si>
  <si>
    <t>Davda Ansh Anupkumar</t>
  </si>
  <si>
    <t>Davda Aashi Anupkumar</t>
  </si>
  <si>
    <t>Davda Arya Anupkumar</t>
  </si>
  <si>
    <t>Davda Sanatkumar Tarachandji</t>
  </si>
  <si>
    <t>Davda Nirmala Sanatkumar</t>
  </si>
  <si>
    <t>Davda Manoj Sanatkumar</t>
  </si>
  <si>
    <t>Davda Asha Manoj</t>
  </si>
  <si>
    <t>Davda Aditya Manoj</t>
  </si>
  <si>
    <t>Davda Hemant Sanatkumar</t>
  </si>
  <si>
    <t>Davda Usha Hemant</t>
  </si>
  <si>
    <t>Davda Tanishq Hemant</t>
  </si>
  <si>
    <t>Davda Rishi Hemant</t>
  </si>
  <si>
    <t>Davda Manish Sanatkumar</t>
  </si>
  <si>
    <t>Davda Yamini Manish</t>
  </si>
  <si>
    <t>Davda Aryan Manish</t>
  </si>
  <si>
    <t>Davda Kirti Sanatkumar</t>
  </si>
  <si>
    <t>Davda Sonal Kirti</t>
  </si>
  <si>
    <t>Davda Sanjaykumar Manilalji</t>
  </si>
  <si>
    <t>Davda Bharti Sanjaykumar</t>
  </si>
  <si>
    <t>Davda Neha Sanjaykumar</t>
  </si>
  <si>
    <t>Davda Gaurav Sanjaykumar</t>
  </si>
  <si>
    <t>Davda Sudhirkumar Najarsinghji</t>
  </si>
  <si>
    <t>Davda Archana Sudhirkumar</t>
  </si>
  <si>
    <t>Davda Rikin Sudhirkumar</t>
  </si>
  <si>
    <t>Davda Peksha Sudhirkumar</t>
  </si>
  <si>
    <t>Davda Najarsingh Sudhirkumar</t>
  </si>
  <si>
    <t>Davda Dhankuvar Najarsingh</t>
  </si>
  <si>
    <t>Davda Nirmala Shantilalji</t>
  </si>
  <si>
    <t>Davda Mahavir Shantilal</t>
  </si>
  <si>
    <t>Davda Nilakshi Mahavir</t>
  </si>
  <si>
    <t>Davda Kamlesh Shantilal</t>
  </si>
  <si>
    <t>Davda Pratima Kamlesh</t>
  </si>
  <si>
    <t>Davda Himanshu Kamlesh</t>
  </si>
  <si>
    <t>Davda Priyanshu Kamlesh</t>
  </si>
  <si>
    <t>Davda Shailendrakumar Bhagchandji</t>
  </si>
  <si>
    <t>Davda Sunita Shailendra</t>
  </si>
  <si>
    <t>Davda Payal Shailendra</t>
  </si>
  <si>
    <t>Davda Gaurav Shailendra</t>
  </si>
  <si>
    <t>Davda Shrikant Vasantlalji</t>
  </si>
  <si>
    <t>Davda Vibhuti Shrikant</t>
  </si>
  <si>
    <t>Davda Prashun Shrikant</t>
  </si>
  <si>
    <t>Davda Ummedmal Vasantlalji</t>
  </si>
  <si>
    <t>Davda Rajeshkumar Ummedmal</t>
  </si>
  <si>
    <t>Davda Darshana Ummedmal</t>
  </si>
  <si>
    <t>Davda Ronak Ummedmal</t>
  </si>
  <si>
    <t>Davda Umesh Pravinchandraji</t>
  </si>
  <si>
    <t>Davda Nipa Umesh</t>
  </si>
  <si>
    <t>Davda Anita Pravinchandraji</t>
  </si>
  <si>
    <t>Davda Neeta Pravinchandraji</t>
  </si>
  <si>
    <t>Davda Mahek Umesh</t>
  </si>
  <si>
    <t>Dodu Prakashchandra Basantlalji</t>
  </si>
  <si>
    <t>Dodu Uhlaas Prakashchandra</t>
  </si>
  <si>
    <t>Dodu Shweta Prakashchandra</t>
  </si>
  <si>
    <t>Dodu Anand Prakashchandra</t>
  </si>
  <si>
    <t>Dotiya Abhaykumar Kanhaiyalalji</t>
  </si>
  <si>
    <t>Dotiya Hema Abhaykumar</t>
  </si>
  <si>
    <t>Dotiya Sharad Abhaykumar</t>
  </si>
  <si>
    <t>Dotiya Anjali Sharad</t>
  </si>
  <si>
    <t>Dotiya Gaurav Sharad</t>
  </si>
  <si>
    <t>Dotiya Nilesh Abhaykumar</t>
  </si>
  <si>
    <t>Dotiya Ritu Nilesh</t>
  </si>
  <si>
    <t>Dotiya Vivek Nilesh</t>
  </si>
  <si>
    <t>Dotiya Hitesh Abhaykumar</t>
  </si>
  <si>
    <t>Dotiya Swati Hitesh</t>
  </si>
  <si>
    <t>Dotiya Balbhadra Valchandraji</t>
  </si>
  <si>
    <t>Dotiya Majula Balbhadra</t>
  </si>
  <si>
    <t>Dotiya Shilbhadra Balbhadra</t>
  </si>
  <si>
    <t>Dotiya Jyoti Shilbhadra</t>
  </si>
  <si>
    <t>Dotiya Palak Shilbhadra</t>
  </si>
  <si>
    <t>Dotiya Keval Shilbhadra</t>
  </si>
  <si>
    <t>Dotiya Manoj Balbhadra</t>
  </si>
  <si>
    <t>Dotiya Suvarna Manoj</t>
  </si>
  <si>
    <t>Dotiya Ayush Manoj</t>
  </si>
  <si>
    <t>Dotiya Arpita Manoj</t>
  </si>
  <si>
    <t>Dotiya Bahubali Rajendrakumar</t>
  </si>
  <si>
    <t>Dotiya Jyotibala Bahubali</t>
  </si>
  <si>
    <t>Dotiya Abhishek Bahubali</t>
  </si>
  <si>
    <t>Dotiya Aditya Bahubali</t>
  </si>
  <si>
    <t>Dotiya Chandrasen Kulankarji</t>
  </si>
  <si>
    <t>Dotiya Somlata Chandrasen</t>
  </si>
  <si>
    <t>Dotiya Payal Chandrasen</t>
  </si>
  <si>
    <t>Dotiya Tejal Chandrasen</t>
  </si>
  <si>
    <t>Dotiya Gunmala Vimalchandraji</t>
  </si>
  <si>
    <t>Dotiya Sumitra Chandrasen</t>
  </si>
  <si>
    <t>Dotiya Deepak Chandrasen</t>
  </si>
  <si>
    <t>Dotiya Harsha Chandrasen</t>
  </si>
  <si>
    <t>Dotiya Dhanpal Kanhaiyalalji</t>
  </si>
  <si>
    <t>Dotiya Sheela Dhanpal</t>
  </si>
  <si>
    <t>Dotiya Yashasvi Dhanpal</t>
  </si>
  <si>
    <t>Dotiya Manubai Kanhaiyalalji</t>
  </si>
  <si>
    <t>Dotiya Manakben Motilalji</t>
  </si>
  <si>
    <t>Dotiya Gajkumar Motilalji</t>
  </si>
  <si>
    <t>Dotiya Naina Gajkumar</t>
  </si>
  <si>
    <t>Dotiya Anik Gajkumar</t>
  </si>
  <si>
    <t>Dotiya Nidhi Gajkumar</t>
  </si>
  <si>
    <t>Dotiya Ritu Anik</t>
  </si>
  <si>
    <t>Dotiya Pranav Anik</t>
  </si>
  <si>
    <t>Dotiya Ghanshyam Vimalchandji</t>
  </si>
  <si>
    <t>Dotiya Bharti Ghanshyam</t>
  </si>
  <si>
    <t>Dotiya Shriya Ghanshyam</t>
  </si>
  <si>
    <t>Dotiya Sidhant Ghanshyam</t>
  </si>
  <si>
    <t>Dotiya Kamalkumar Valchandji</t>
  </si>
  <si>
    <t>Dotiya Kailash Kamalkumar</t>
  </si>
  <si>
    <t>Dotiya Komal Kamalkumar</t>
  </si>
  <si>
    <t>Dotiya Deepti Komalkumar</t>
  </si>
  <si>
    <t>Dotiya Kaihalkumar Kamalkumar</t>
  </si>
  <si>
    <t>Dotiya Kailash Shivlalji</t>
  </si>
  <si>
    <t>Dotiya Indira Kailash</t>
  </si>
  <si>
    <t>Dotiya Manibhadra Valchandji</t>
  </si>
  <si>
    <t>Dotiya Manjula Manibhadra</t>
  </si>
  <si>
    <t>Dotiya Manish Manibhadra</t>
  </si>
  <si>
    <t>Dotiya Shweta Manish</t>
  </si>
  <si>
    <t>Dotiya Shubi Manish</t>
  </si>
  <si>
    <t>Dotiya Nagkumar Rajendrakumar</t>
  </si>
  <si>
    <t>Dotiya Saranga Nagkumar</t>
  </si>
  <si>
    <t>Dotiya Vibha Nagkumar</t>
  </si>
  <si>
    <t>Dotiya Ritu Nagkumar</t>
  </si>
  <si>
    <t>Dotiya Harshit Nagkumar</t>
  </si>
  <si>
    <t>Dotiya Padamkumar Motilalji</t>
  </si>
  <si>
    <t>Dotiya Sunita Padamkumar</t>
  </si>
  <si>
    <t>Dotiya Rohit Padamkumar</t>
  </si>
  <si>
    <t>Dotiya Chandraprabha Bhanukumarji</t>
  </si>
  <si>
    <t>Dotiya Prashant Bhanukumarji</t>
  </si>
  <si>
    <t>Dotiya Vishal Bhanukumarji</t>
  </si>
  <si>
    <t>Dotiya Rajmal Kanhaiyalalji</t>
  </si>
  <si>
    <t>Dotiya Shakuntala Rajmal</t>
  </si>
  <si>
    <t>Dotiya Vishal Rajmal</t>
  </si>
  <si>
    <t>Dotiya Vaishali Vishal</t>
  </si>
  <si>
    <t>Dotiya Kala Narendrakumarji</t>
  </si>
  <si>
    <t>Dotiya Rahul Narendrakumar</t>
  </si>
  <si>
    <t>Dotiya Chaitali Narendrakumar</t>
  </si>
  <si>
    <t>Dotiya Sanmatikumar Motilalji</t>
  </si>
  <si>
    <t>Dotiya Chetna Sanmatikumar</t>
  </si>
  <si>
    <t>Dotiya Nirav Sanmatikumar</t>
  </si>
  <si>
    <t>Dotiya Aashita Niravkumar</t>
  </si>
  <si>
    <t>Dotiya Rupesh Sanmatikumar</t>
  </si>
  <si>
    <t>Dotiya Sudarshan Sardarmalji</t>
  </si>
  <si>
    <t>Dotiya Manjula Sudarshan</t>
  </si>
  <si>
    <t>Dotiya Kaushal Sudarshan</t>
  </si>
  <si>
    <t>Dotiya Priya Kaushal</t>
  </si>
  <si>
    <t>Dotiya Dhruvi Kaushal</t>
  </si>
  <si>
    <t>Dotiya Dhichi Kaushal</t>
  </si>
  <si>
    <t>Dotiya Sharadkumar Balchandji</t>
  </si>
  <si>
    <t>Dotiya Bharti Sharadkumar</t>
  </si>
  <si>
    <t>Dotiya Pratik Sharadkumar</t>
  </si>
  <si>
    <t>Dotiya Shantilal Motilalji</t>
  </si>
  <si>
    <t>Dotiya Shaila Shantilal</t>
  </si>
  <si>
    <t>Dotiya Pradip Shantilal</t>
  </si>
  <si>
    <t>Dotiya Payal Pradipkumar</t>
  </si>
  <si>
    <t>Dotiya Aditya Pradipkumar</t>
  </si>
  <si>
    <t>Dotiya Abhishek Pradipkumar</t>
  </si>
  <si>
    <t>Dotiya Tarun Kulankarji</t>
  </si>
  <si>
    <t>Dotiya Nirmala Kulankarji</t>
  </si>
  <si>
    <t>Dotiya Trishala Tarun</t>
  </si>
  <si>
    <t>Dotiya Rishab Tarun</t>
  </si>
  <si>
    <t xml:space="preserve">Dotiya Forum </t>
  </si>
  <si>
    <t>Dotiya Vibhav Ajitkumarji</t>
  </si>
  <si>
    <t>Dotiya Kalpana Vibhavkumar</t>
  </si>
  <si>
    <t>Dotiya Nidhi Vibhavkumar</t>
  </si>
  <si>
    <t>Dotiya Mohit Vibhavkumar</t>
  </si>
  <si>
    <t>Dotiya Vidyachandra Vimalchandraji</t>
  </si>
  <si>
    <t>Dotiya Anju Vidyachandra</t>
  </si>
  <si>
    <t>Dotiya Pratik Vidyachandra</t>
  </si>
  <si>
    <t>Dotiya Priya Vidyachandra</t>
  </si>
  <si>
    <t>Dotiya Virendrakumar Kanakmalji</t>
  </si>
  <si>
    <t>Dotiya Saroj Virendrakumar</t>
  </si>
  <si>
    <t>Dotiya Toyesh Virendrakumar</t>
  </si>
  <si>
    <t>Dotiya Shweta Toyesh</t>
  </si>
  <si>
    <t>Dotiya Aditya Toyesh</t>
  </si>
  <si>
    <t>Dotiya Asit Virendrakumar</t>
  </si>
  <si>
    <t>Doshi Abhaykumar Roopchandji</t>
  </si>
  <si>
    <t>Doshi Ajanta Abhaykumar</t>
  </si>
  <si>
    <t>Doshi Amit Abhaykumar</t>
  </si>
  <si>
    <t>Doshi Vaishali Abhaykumar</t>
  </si>
  <si>
    <t>Doshi Abhaykumar Amarchandji</t>
  </si>
  <si>
    <t>Doshi Manish Abhaykumar</t>
  </si>
  <si>
    <t>Doshi Siddhant Abhaykumar</t>
  </si>
  <si>
    <t>Doshi Ajaykumar Shantilalji</t>
  </si>
  <si>
    <t>Doshi Manjula Ajaykumar</t>
  </si>
  <si>
    <t>Doshi Rajesh Ajaykumar</t>
  </si>
  <si>
    <t>Doshi Amarchand Dadamchandji</t>
  </si>
  <si>
    <t>Doshi Rajkuvar Amarchand</t>
  </si>
  <si>
    <t>Doshi Vipul Amarchand</t>
  </si>
  <si>
    <t>Doshi Tripti Vipul</t>
  </si>
  <si>
    <t>Doshi Ananya Vipul</t>
  </si>
  <si>
    <t>Doshi Vipul Vipul</t>
  </si>
  <si>
    <t>Doshi Ashokkumar Shobhagmalji</t>
  </si>
  <si>
    <t>Doshi Jasu Ashokkumar</t>
  </si>
  <si>
    <t>Doshi Aditya Ashokkumar</t>
  </si>
  <si>
    <t>Doshi Sushila Shobhagmalji</t>
  </si>
  <si>
    <t>Doshi Meena Shobhagmalji</t>
  </si>
  <si>
    <t>Doshi Sashikant Shobhagmalji</t>
  </si>
  <si>
    <t>Doshi Shenhalata Shashikant</t>
  </si>
  <si>
    <t>Doshi Mayur Shashikant</t>
  </si>
  <si>
    <t>Doshi Rupali Mayur</t>
  </si>
  <si>
    <t>Doshi Mukul Shashikant</t>
  </si>
  <si>
    <t>Doshi Anilkumar Shobhagmalji</t>
  </si>
  <si>
    <t>Doshi Madhu Anilkumar</t>
  </si>
  <si>
    <t>Doshi Roopam Anilkumar</t>
  </si>
  <si>
    <t>Doshi Lavish Anilkumar</t>
  </si>
  <si>
    <t>Doshi Bavarlal Valchandji</t>
  </si>
  <si>
    <t>Doshi Sheela Bhavarlal</t>
  </si>
  <si>
    <t>Doshi Mohit Bhavarlal</t>
  </si>
  <si>
    <t>Doshi Bhanukumar Jambukumar</t>
  </si>
  <si>
    <t>Doshi Sarika Bhanukumar</t>
  </si>
  <si>
    <t>Doshi Mishi Bhanukumar</t>
  </si>
  <si>
    <t>Doshi Horil Bhanukumar</t>
  </si>
  <si>
    <t>Doshi Hitendra Puranchandraji</t>
  </si>
  <si>
    <t>Doshi Deepti Hitendra</t>
  </si>
  <si>
    <t>Doshi Harsh Hitendra</t>
  </si>
  <si>
    <t>Doshi Avni Hitendra</t>
  </si>
  <si>
    <t>Doshi Jitendrakumar Valchandji</t>
  </si>
  <si>
    <t>Doshi Rani Jitendrakumar</t>
  </si>
  <si>
    <t>Doshi Kanchanben Jitendrakumar</t>
  </si>
  <si>
    <t>Doshi Ruchi Jitendrakumar</t>
  </si>
  <si>
    <t>Doshi Purvi Jitendrakumar</t>
  </si>
  <si>
    <t>Doshi Aashi Jitendrakumar</t>
  </si>
  <si>
    <t>Doshi Kamalkumar Shobhagmalji</t>
  </si>
  <si>
    <t>Doshi Kokila Kamalkumar</t>
  </si>
  <si>
    <t>Doshi Devang Kamalkumar</t>
  </si>
  <si>
    <t>Doshi Mehuli Kamalkumar</t>
  </si>
  <si>
    <t>Doshi Mahavir Shobhagmalji</t>
  </si>
  <si>
    <t>Doshi Kirtikumar Puranchandji</t>
  </si>
  <si>
    <t>Doshi Sheetal Kirtikumar</t>
  </si>
  <si>
    <t>Doshi Nishi Kirtikumar</t>
  </si>
  <si>
    <t>Doshi Shrikumarpal Sushilkumarji</t>
  </si>
  <si>
    <t>Doshi Rachnakumarpal Shrikumarpal</t>
  </si>
  <si>
    <t>Doshi Kantilal Kesrimalji</t>
  </si>
  <si>
    <t>Doshi Mahesh Kantilalji</t>
  </si>
  <si>
    <t>Doshi Subhadra Maheshkumar</t>
  </si>
  <si>
    <t>Doshi Heena Maheshkumar</t>
  </si>
  <si>
    <t>Doshi Mitesh Maheshkumar</t>
  </si>
  <si>
    <t>Doshi Manoj Pranchandji</t>
  </si>
  <si>
    <t>Doshi Manisha Manoj</t>
  </si>
  <si>
    <t>Doshi Shrey Manoj</t>
  </si>
  <si>
    <t>Doshi Shreni Manoj</t>
  </si>
  <si>
    <t>Doshi Mukeshkumar Puranchandji</t>
  </si>
  <si>
    <t>Doshi Seema Mukeshkumar</t>
  </si>
  <si>
    <t>Doshi Apal Mukeshkumar</t>
  </si>
  <si>
    <t>Doshi Meet Mukeshkumar</t>
  </si>
  <si>
    <t>Doshi Navinchandra Champalalji</t>
  </si>
  <si>
    <t>Doshi Sushila Navinchandra</t>
  </si>
  <si>
    <t>Doshi Nirmalchand Champalalji</t>
  </si>
  <si>
    <t>Doshi Kalpana Nirmalchandra</t>
  </si>
  <si>
    <t>Doshi Pradeep Chandmalji</t>
  </si>
  <si>
    <t>Doshi Asha Pradipkumar</t>
  </si>
  <si>
    <t>Doshi Ankit Pradipkumar</t>
  </si>
  <si>
    <t>Doshi Ajay Pradipkumar</t>
  </si>
  <si>
    <t>Doshi Pramodkumar Madanmohanji</t>
  </si>
  <si>
    <t>Doshi Ashlesh Kamal Pramodkumar</t>
  </si>
  <si>
    <t>Doshi Kinnari Pramodkumar</t>
  </si>
  <si>
    <t>Doshi Vaishali Pramodkumar</t>
  </si>
  <si>
    <t>Doshi Divyang Pramodkumar</t>
  </si>
  <si>
    <t>Doshi Shvetang Pramodkumar</t>
  </si>
  <si>
    <t>Doshi Puranchand Champalalji</t>
  </si>
  <si>
    <t>Doshi Manjula Puranchand</t>
  </si>
  <si>
    <t>Doshi Hemant Puranchand</t>
  </si>
  <si>
    <t>Doshi Jyoti Hemant</t>
  </si>
  <si>
    <t>Doshi Sonam Hemant</t>
  </si>
  <si>
    <t>Doshi Siddhart Hemant</t>
  </si>
  <si>
    <t>Doshi Rajankumar Chandmalji</t>
  </si>
  <si>
    <t>Doshi Meenakshi Rajankumar</t>
  </si>
  <si>
    <t>Doshi Amit Rajankumar</t>
  </si>
  <si>
    <t>Doshi Alok Rajankumar</t>
  </si>
  <si>
    <t>Doshi Rahul Rajankumar</t>
  </si>
  <si>
    <t>Doshi Rajeshkumar Shyamsundarji</t>
  </si>
  <si>
    <t>Doshi Sangeeta Rajeshkumar</t>
  </si>
  <si>
    <t>Doshi Shreya Rajeshkumar</t>
  </si>
  <si>
    <t>Doshi Rajesh Vinodkumarji</t>
  </si>
  <si>
    <t>Doshi Rachna Rajesh</t>
  </si>
  <si>
    <t>Doshi Raj Rajesh</t>
  </si>
  <si>
    <t>Doshi Rahul Rajesh</t>
  </si>
  <si>
    <t>Doshi Rinki Rajesh</t>
  </si>
  <si>
    <t>Doshi Sanatkumar Chhaganlalji</t>
  </si>
  <si>
    <t>Doshi Kamla Sanatkumar</t>
  </si>
  <si>
    <t>Doshi Sandeep Sanatkumar</t>
  </si>
  <si>
    <t>Doshi Shilpa Sandeep</t>
  </si>
  <si>
    <t>Doshi Jainam Sandeep</t>
  </si>
  <si>
    <t>Doshi Sanjaykumar Kantilalji</t>
  </si>
  <si>
    <t>Doshi Manjula Sanjaykumar</t>
  </si>
  <si>
    <t>Doshi Tripti Sanjaykumar</t>
  </si>
  <si>
    <t>Doshi Abhishek Sanjaykumar</t>
  </si>
  <si>
    <t>Doshi Sureshchandra Champalalji</t>
  </si>
  <si>
    <t>Doshi Pushpa Sureshchandra</t>
  </si>
  <si>
    <t>Doshi Anant Sureshchandra</t>
  </si>
  <si>
    <t>Doshi Shalini Anant</t>
  </si>
  <si>
    <t>Doshi Riddhi Anant</t>
  </si>
  <si>
    <t>Doshi Nirali Anant</t>
  </si>
  <si>
    <t>Doshi Shreeraj Sureshchandra</t>
  </si>
  <si>
    <t>Doshi Meghna Shreeraj</t>
  </si>
  <si>
    <t>Doshi Shailaben Surendrakumarji</t>
  </si>
  <si>
    <t>Doshi Amit Surendrakumarji</t>
  </si>
  <si>
    <t>Doshi Sonal Amit</t>
  </si>
  <si>
    <t>Doshi Pranav Amit</t>
  </si>
  <si>
    <t>Doshi Rishi Amit</t>
  </si>
  <si>
    <t>Doshi Rahul Surendrakumarji</t>
  </si>
  <si>
    <t>Doshi Leena Rahul</t>
  </si>
  <si>
    <t>Doshi Shaileshkumar Javerlalji</t>
  </si>
  <si>
    <t>Doshi Harsha Shaileshkumar</t>
  </si>
  <si>
    <t>Doshi Himanshu Shaileshkumar</t>
  </si>
  <si>
    <t>Doshi Vimalchand Champalalji</t>
  </si>
  <si>
    <t>Doshi Saroj Vimalchand</t>
  </si>
  <si>
    <t>Doshi Hitesh Vimalchand</t>
  </si>
  <si>
    <t>Doshi Vaishali Hitesh</t>
  </si>
  <si>
    <t>Doshi Kanishka Hitesh</t>
  </si>
  <si>
    <t>Doshi Vikas Vimalchand</t>
  </si>
  <si>
    <t>Doshi Preeti Vikas</t>
  </si>
  <si>
    <t>Doshi Vinodkumar Valchandji</t>
  </si>
  <si>
    <t>Doshi Kanta Vinodkumar</t>
  </si>
  <si>
    <t>Doshi Rakesh Vinodkumar</t>
  </si>
  <si>
    <t>Doshi Manisha Rakesh</t>
  </si>
  <si>
    <t>Doshi Nishi Rakesh</t>
  </si>
  <si>
    <t>Doshi Nidhi Rakesh</t>
  </si>
  <si>
    <t>Gadiya Abhaykumar Ratanlalji</t>
  </si>
  <si>
    <t>Gadiya Snehalata Abhaykumar</t>
  </si>
  <si>
    <t>Gadiya Amit Abhaykumar</t>
  </si>
  <si>
    <t>Gadiya Amita Abhaykumar</t>
  </si>
  <si>
    <t>Gadiya Jheel Amit</t>
  </si>
  <si>
    <t>Gadiya Nikunj Amit</t>
  </si>
  <si>
    <t>Gadiya Sneha Nikunj</t>
  </si>
  <si>
    <t>Gadiya Aryan Nikunj</t>
  </si>
  <si>
    <t>Gadiya Amit Kailashchandraji</t>
  </si>
  <si>
    <t>Gadiya Badamilal Jawaharlalji</t>
  </si>
  <si>
    <t>Gadiya Laxmiben Badamilal</t>
  </si>
  <si>
    <t>Gadiya Ankur Badamilal</t>
  </si>
  <si>
    <t>Gadiya Rohit Badamilal</t>
  </si>
  <si>
    <t>Gadiya Bahubali Chandmalji</t>
  </si>
  <si>
    <t>Gadiya Shashikala Bahubali</t>
  </si>
  <si>
    <t>Gadiya Sneha Bahubali</t>
  </si>
  <si>
    <t>Gadiya Komal Bahubali</t>
  </si>
  <si>
    <t>Gadiya Hema Bahubali</t>
  </si>
  <si>
    <t>Gadiya Bhanukumar Hazarimalji</t>
  </si>
  <si>
    <t>Gadiya Bina Bhanukumar</t>
  </si>
  <si>
    <t>Gadiya Pratik Bhanukumar</t>
  </si>
  <si>
    <t>Gadiya Sajjankuvar Hazarimalji</t>
  </si>
  <si>
    <t>Gadiya Anuj Bhanukumar</t>
  </si>
  <si>
    <t>Gadiya Smita Anuj</t>
  </si>
  <si>
    <t>Gadiya Chetan Bhavarlalji</t>
  </si>
  <si>
    <t>Gadiya Vibha Chetankumar</t>
  </si>
  <si>
    <t>Gadiya Dhaval Chetankumar</t>
  </si>
  <si>
    <t>Gadiya Kanta Hukmichand</t>
  </si>
  <si>
    <t>Gadiya Deepakkumar Hukmichand</t>
  </si>
  <si>
    <t>Gadiya Chandanbala Deepakkumar</t>
  </si>
  <si>
    <t>Gadiya Shaileshkumar Hukmichand</t>
  </si>
  <si>
    <t>Gadiya Vinita Shaileshkumar</t>
  </si>
  <si>
    <t>Gadiya Puja Shaileshkumar</t>
  </si>
  <si>
    <t>Gadiya Shrey Shaileshkumar</t>
  </si>
  <si>
    <t>Gadiya Rajmal Jawaharlalji</t>
  </si>
  <si>
    <t>Gadiya Dhankuvar Rajmalji</t>
  </si>
  <si>
    <t>Gadiya Dharmendra Rajmalji</t>
  </si>
  <si>
    <t>Gadiya Sangeeta Dharmendra</t>
  </si>
  <si>
    <t>Gadiya Prakhar Dharmendra</t>
  </si>
  <si>
    <t>Gadiya Jitendra Rajmalji</t>
  </si>
  <si>
    <t>Gadiya Rina Jitendra</t>
  </si>
  <si>
    <t>Gadiya Amit Rajmalji</t>
  </si>
  <si>
    <t>Gadiya Shakti Rajmalji</t>
  </si>
  <si>
    <t>Gadiya Harsukhrai Pratapmalji</t>
  </si>
  <si>
    <t>Gadiya Chandra Harsukhrai</t>
  </si>
  <si>
    <t>Gadiya Sunil Harsukhrai</t>
  </si>
  <si>
    <t>Gadiya Rani Sunil</t>
  </si>
  <si>
    <t>Gadiya Renu Sunil</t>
  </si>
  <si>
    <t>Gadiya Vishva Sunil</t>
  </si>
  <si>
    <t>Gadiya Avika Sunil</t>
  </si>
  <si>
    <t>Gadiya Sunita Harsukhrai</t>
  </si>
  <si>
    <t>Gadiya Sumita Harsukhrai</t>
  </si>
  <si>
    <t>Gadiya Hemantkumar Tansukhraiji</t>
  </si>
  <si>
    <t>Gadiya Asha Hemantkumar</t>
  </si>
  <si>
    <t>Gadiya Hitesh Hemantkumar</t>
  </si>
  <si>
    <t>Gadiya Priyanka Hemantkumar</t>
  </si>
  <si>
    <t>Gadiya Ruby Hemantkumar</t>
  </si>
  <si>
    <t>Gadiya Bhavesh Chandrasen</t>
  </si>
  <si>
    <t>Gadiya Kamalkumar Shantilalji</t>
  </si>
  <si>
    <t>Gadiya Swati Kamalkumar</t>
  </si>
  <si>
    <t>Gadiya Pranay Kamalkumar</t>
  </si>
  <si>
    <t>Gadiya Kantabai Rajmalji</t>
  </si>
  <si>
    <t>Gadiya Mahavirkumar Rajmalji</t>
  </si>
  <si>
    <t>Gadiya Kiran Mahavirkumar</t>
  </si>
  <si>
    <t>Gadiya Vikas Mahavirkumar</t>
  </si>
  <si>
    <t>Gadiya Sonam Mahavirkumar</t>
  </si>
  <si>
    <t>Gadiya Mahendrakumar Rajmalji</t>
  </si>
  <si>
    <t>Gadiya Sadhna Mahendrakumar</t>
  </si>
  <si>
    <t>Gadiya Abhishek Mahendrakumar</t>
  </si>
  <si>
    <t>Gadiya Dhankumar Rajmalji</t>
  </si>
  <si>
    <t>Gadiya Poornima Dhankumar</t>
  </si>
  <si>
    <t>Gadiya Shraddha Dhankumar</t>
  </si>
  <si>
    <t>Gadiya Heena Dhankumar</t>
  </si>
  <si>
    <t>Gadiya Harsh Dhankumar</t>
  </si>
  <si>
    <t>Gadiya Kirtikumar Bhavarlalji</t>
  </si>
  <si>
    <t>Gadiya Manisha Kirtikumar</t>
  </si>
  <si>
    <t>Gadiya Rishiraj Kirtikumar</t>
  </si>
  <si>
    <t>Gadiya Kishorkumar Ratanlalji</t>
  </si>
  <si>
    <t>Gadiya Asha Kishorkumar</t>
  </si>
  <si>
    <t>Gadiya Cheri Kishorkumar</t>
  </si>
  <si>
    <t>Gadiya Mahendrakumar Navnitlalji</t>
  </si>
  <si>
    <t>Gadiya Chandrashri Mahendrakumar</t>
  </si>
  <si>
    <t>Gadiya Mayuri Mahendrakumar</t>
  </si>
  <si>
    <t>Gadiya Shashank Mahendrakumar</t>
  </si>
  <si>
    <t>Gadiya Manojkumar Manaklalji</t>
  </si>
  <si>
    <t>Gadiya Varsha Manojkumar</t>
  </si>
  <si>
    <t>Gadiya Ronak Manojkumar</t>
  </si>
  <si>
    <t>Gadiya Namrata Manojkumar</t>
  </si>
  <si>
    <t>Gadiya Mitrasen Tansukhraiji</t>
  </si>
  <si>
    <t>Gadiya Manisha Mitrasen</t>
  </si>
  <si>
    <t>Gadiya Nandita Mitrasen</t>
  </si>
  <si>
    <t>Gadiya Rajshri Mitrasen</t>
  </si>
  <si>
    <t>Gadiya Sambhav Mitrasen</t>
  </si>
  <si>
    <t>Gadiya Abhinandan Mitrasen</t>
  </si>
  <si>
    <t>Gadiya Mohanbai Chandmalji</t>
  </si>
  <si>
    <t>Gadiya Hasmukh Chandmalji</t>
  </si>
  <si>
    <t>Gadiya Sulochna Hansmukh</t>
  </si>
  <si>
    <t>Gadiya Vishal Hansmukh</t>
  </si>
  <si>
    <t>Gadiya Yashpal Hansmukh</t>
  </si>
  <si>
    <t>Gadiya Nirmalkumar Ratanlalji</t>
  </si>
  <si>
    <t>Gadiya Shakuntala Nirmalkumar</t>
  </si>
  <si>
    <t>Gadiya Nishant Nirmalkumar</t>
  </si>
  <si>
    <t>Gadiya Shefali Nishant</t>
  </si>
  <si>
    <t>Gadiya Mahek Nishant</t>
  </si>
  <si>
    <t>Gadiya Nirav Nirmalkumar</t>
  </si>
  <si>
    <t>Gadiya Rita Nirav</t>
  </si>
  <si>
    <t>Gadiya Nitin Kailashchandji</t>
  </si>
  <si>
    <t>Gadiya Ranu Nitin</t>
  </si>
  <si>
    <t>Gadiya Mahek Nitin</t>
  </si>
  <si>
    <t>Gadiya Hriday Nitin</t>
  </si>
  <si>
    <t>Gadiya Shriyas Kailashchandji</t>
  </si>
  <si>
    <t>Gadiya Ashwini Shriyas</t>
  </si>
  <si>
    <t>Gadiya Sanchay Shriyas</t>
  </si>
  <si>
    <t>Gadiya Shikhar Kailashchand</t>
  </si>
  <si>
    <t>Gadiya Pawankumar Shobhagmalji</t>
  </si>
  <si>
    <t>Gadiya Heena Pawankumar</t>
  </si>
  <si>
    <t>Gadiya Sarekuvar Shobhagmalji</t>
  </si>
  <si>
    <t>Gadiya Dhanyakumar Pawankumar</t>
  </si>
  <si>
    <t>Gadiya Virang Pawankumar</t>
  </si>
  <si>
    <t>Gadiya Punya Pawankumar</t>
  </si>
  <si>
    <t>Gadiya Kantaben Bhavarlalji</t>
  </si>
  <si>
    <t>Gadiya Premal Bhavarlalji</t>
  </si>
  <si>
    <t>Gadiya Rita Premalkumar</t>
  </si>
  <si>
    <t>Gadiya Aadesh Premalkumar</t>
  </si>
  <si>
    <t>Gadiya Ravindrakumar Bhavarlalji</t>
  </si>
  <si>
    <t>Gadiya Subhadra Ravindrakumar</t>
  </si>
  <si>
    <t>Gadiya Jigna Ravindrakumar</t>
  </si>
  <si>
    <t>Gadiya Abhishek Ravindrakumar</t>
  </si>
  <si>
    <t>Gadiya Rupali Ravindrakumar</t>
  </si>
  <si>
    <t>Gadiya Sureshkumar Navinlalji</t>
  </si>
  <si>
    <t>Gadiya Taruna Sureshkumar</t>
  </si>
  <si>
    <t>Gadiya Tarunkumar Sureshkumar</t>
  </si>
  <si>
    <t>Gadiya Hemagrini Tarunkumar</t>
  </si>
  <si>
    <t>Gadiya Dviti Tarunkumar</t>
  </si>
  <si>
    <t>Gadiya Hema Sureshkumar</t>
  </si>
  <si>
    <t>Gadiya Yukti Sureshkumar</t>
  </si>
  <si>
    <t>Gadiya Sushilkumar Bhavarlalji</t>
  </si>
  <si>
    <t>Gadiya Shefali Sushilkumar</t>
  </si>
  <si>
    <t>Gadiya Dhruv Sushilkumar</t>
  </si>
  <si>
    <t>Gadiya Shripal Keshavlalji</t>
  </si>
  <si>
    <t xml:space="preserve">Gadiya Keshavlalji </t>
  </si>
  <si>
    <t>Gadiya Sushila Keshavlalji</t>
  </si>
  <si>
    <t>Gandhi Abhaykumar Vasantlalji</t>
  </si>
  <si>
    <t>Gandhi Neeta Abhaykumar</t>
  </si>
  <si>
    <t>Gandhi Suchi Abhaykumar</t>
  </si>
  <si>
    <t>Gandhi Ajitkumar Chandanmalji</t>
  </si>
  <si>
    <t>Gandhi Ramila Ajitkumar</t>
  </si>
  <si>
    <t>Gandhi Jitendra Ajitkumar</t>
  </si>
  <si>
    <t>Gandhi Darshana Ajitkumar</t>
  </si>
  <si>
    <t>Gandhi Avni Jitendra</t>
  </si>
  <si>
    <t>Gandhi Ashmi Jitendra</t>
  </si>
  <si>
    <t>Gandhi Ajitkumar Kanakmalji</t>
  </si>
  <si>
    <t>Gandhi Savita Ajitkumar</t>
  </si>
  <si>
    <t>Gandhi Anukul Ajitkumar</t>
  </si>
  <si>
    <t>Gandhi Ankit Ajitkumar</t>
  </si>
  <si>
    <t>Gandhi Anilkumar Kanakmalji</t>
  </si>
  <si>
    <t>Gandhi Suvarna Anilkumar</t>
  </si>
  <si>
    <t>Gandhi Ronak Anilkumar</t>
  </si>
  <si>
    <t>Gandhi Nehal Anilkumar</t>
  </si>
  <si>
    <t>Gandhi AshokKumar Hiralalji</t>
  </si>
  <si>
    <t>Gandhi Kumud Ashokkumar</t>
  </si>
  <si>
    <t>Gandhi Sanjeev Ashokkumar</t>
  </si>
  <si>
    <t>Gandhi Kavita Sanjeev</t>
  </si>
  <si>
    <t>Gandhi Gaurav Sanjeev</t>
  </si>
  <si>
    <t>Gandhi Baba Sanjeev</t>
  </si>
  <si>
    <t>Gandhi AshokKumar Surajmalji</t>
  </si>
  <si>
    <t>Gandhi Sheela Ashokkumar</t>
  </si>
  <si>
    <t>Gandhi Nisha Ashokkumar</t>
  </si>
  <si>
    <t>Gandhi Gulabbai Vasantlalji</t>
  </si>
  <si>
    <t>Gandhi AshokKumar Vasantlalji</t>
  </si>
  <si>
    <t>Gandhi Neelima Ashokkumar</t>
  </si>
  <si>
    <t>Gandhi Aashit Ashokkumar</t>
  </si>
  <si>
    <t>Gandhi Shama Aashit</t>
  </si>
  <si>
    <t>Gandhi Prabha Vasantlalji</t>
  </si>
  <si>
    <t>Gandhi Bharatkumar Motilalji</t>
  </si>
  <si>
    <t>Gandhi Saroj Bharatkumar</t>
  </si>
  <si>
    <t>Gandhi Kirtikumar Bharatkumar</t>
  </si>
  <si>
    <t>Gandhi Hulasbai Motilalji</t>
  </si>
  <si>
    <t>Gandhi Bhagchand Jawaharlalji</t>
  </si>
  <si>
    <t>Gandhi Nilesh Bhagchandji</t>
  </si>
  <si>
    <t>Gandhi Namrata Nilesh</t>
  </si>
  <si>
    <t>Gandhi Aakash Nilesh</t>
  </si>
  <si>
    <t>Gandhi Aditi Nilesh</t>
  </si>
  <si>
    <t>Gandhi Shailesh Bhagchandji</t>
  </si>
  <si>
    <t>Gandhi Jyoti Shailesh</t>
  </si>
  <si>
    <t>Gandhi Bhanukumar Motilalji</t>
  </si>
  <si>
    <t>Gandhi Jyoti Bhanukumar</t>
  </si>
  <si>
    <t>Gandhi Shreyans Bhanukumar</t>
  </si>
  <si>
    <t>Gandhi Umi Bhanukumar</t>
  </si>
  <si>
    <t>Gandhi Chandraprakash Mohanlalji</t>
  </si>
  <si>
    <t>Gandhi Saroj Chandraprakash</t>
  </si>
  <si>
    <t>Gandhi Khushali Chandraprakash</t>
  </si>
  <si>
    <t>Gandhi Chandrakanta Surajmalji</t>
  </si>
  <si>
    <t>Gandhi Rajeshkumar Surajmalji</t>
  </si>
  <si>
    <t>Gandhi Bina Rajeshkumar</t>
  </si>
  <si>
    <t>Gandhi Simla Rajeshkumar</t>
  </si>
  <si>
    <t>Gandhi Rahul Rajeshkumar</t>
  </si>
  <si>
    <t>Gandhi Devkamal Hemendrakumar</t>
  </si>
  <si>
    <t>Gandhi Hemlata Devkamal</t>
  </si>
  <si>
    <t>Gandhi Madhulika Devkamal</t>
  </si>
  <si>
    <t>Gandhi Prerna Devkamal</t>
  </si>
  <si>
    <t>Gandhi Divya Devkamal</t>
  </si>
  <si>
    <t>Gandhi Deepakkumar Roshanlalji</t>
  </si>
  <si>
    <t>Gandhi Bharti Deepakkumar</t>
  </si>
  <si>
    <t>Gandhi Devika Deepakkumar</t>
  </si>
  <si>
    <t>Gandhi Rima Deepakkumar</t>
  </si>
  <si>
    <t>Gandhi Parshva Deepakkumar</t>
  </si>
  <si>
    <t>Gandhi Dilipkumar Popatlalji</t>
  </si>
  <si>
    <t>Gandhi Poornima Dilipkumar</t>
  </si>
  <si>
    <t>Gandhi Hemang Dilipkumar</t>
  </si>
  <si>
    <t>Gandhi Shanta Popatlalji</t>
  </si>
  <si>
    <t>Gandhi Dharmendra Indramalji</t>
  </si>
  <si>
    <t>Gandhi Deepika Dharmendra</t>
  </si>
  <si>
    <t>Gandhi Viraaj Dharmendra</t>
  </si>
  <si>
    <t>Gandhi Rishika Dharmendra</t>
  </si>
  <si>
    <t>Gandhi Jayeshkumar Kantilalji</t>
  </si>
  <si>
    <t>Gandhi Sangeeta Jayeshkumar</t>
  </si>
  <si>
    <t>Gandhi Jigar Jayeshkumar</t>
  </si>
  <si>
    <t>Gandhi Ankit Jayeshkumar</t>
  </si>
  <si>
    <t>Gandhi Jitendrakumar Vasantlalji</t>
  </si>
  <si>
    <t>Gandhi Hansa Jitendrakumar</t>
  </si>
  <si>
    <t>Gandhi Namrata Jitendrakumar</t>
  </si>
  <si>
    <t>Gandhi Yash Jitendrakumar</t>
  </si>
  <si>
    <t>Gandhi Kanchanlal Sajjanlalji</t>
  </si>
  <si>
    <t>Gandhi Kamlesh Kanchanlal</t>
  </si>
  <si>
    <t>Gandhi Pragnya Kamlesh</t>
  </si>
  <si>
    <t>Gandhi Amit Kamlesh</t>
  </si>
  <si>
    <t>Gandhi Ankit Kamlesh</t>
  </si>
  <si>
    <t>Gandhi Sandeep Kanchanlal</t>
  </si>
  <si>
    <t>Gandhi Indira Sandeep</t>
  </si>
  <si>
    <t>Gandhi Komal Sandeep</t>
  </si>
  <si>
    <t>Gandhi Janvi Sandeep</t>
  </si>
  <si>
    <t>Gandhi Kankubai Chandanmalji</t>
  </si>
  <si>
    <t>Gandhi Kirankumar Shantilalji</t>
  </si>
  <si>
    <t>Gandhi Madhukanta Kirankumar</t>
  </si>
  <si>
    <t>Gandhi Manish Kirankumar</t>
  </si>
  <si>
    <t>Gandhi Saloni Manishkumar</t>
  </si>
  <si>
    <t>Gandhi Mahek Manishkumar</t>
  </si>
  <si>
    <t>Gandhi Aastha Manishkumar</t>
  </si>
  <si>
    <t>Gandhi Bhavik Kirankumar</t>
  </si>
  <si>
    <t>Gandhi Monika Bhavik</t>
  </si>
  <si>
    <t>Gandhi Bhavya Bhavik</t>
  </si>
  <si>
    <t>Gandhi Kulbhushan Hukmichandji</t>
  </si>
  <si>
    <t>Gandhi Kusumlata Kulbhushan</t>
  </si>
  <si>
    <t>Gandhi Sanjay Kulbhushan</t>
  </si>
  <si>
    <t>Gandhi Anita Sanjay</t>
  </si>
  <si>
    <t>Gandhi Akshay Sanjay</t>
  </si>
  <si>
    <t>Gandhi Dhvani Sanjay</t>
  </si>
  <si>
    <t>Gandhi Kailashchandra Roshanlalji</t>
  </si>
  <si>
    <t>Gandhi Indira Kailashchandraji</t>
  </si>
  <si>
    <t>Gandhi Pankaj Kailashchandraji</t>
  </si>
  <si>
    <t>Gandhi Preeti Pankaj</t>
  </si>
  <si>
    <t>Gandhi Jigyasa Pankaj</t>
  </si>
  <si>
    <t>Gandhi Dhvani Pankaj</t>
  </si>
  <si>
    <t>Gandhi Avinash Kailashchandraji</t>
  </si>
  <si>
    <t>Gandhi Madanlal Motilalji</t>
  </si>
  <si>
    <t>Gandhi Kirtiben Madanlal</t>
  </si>
  <si>
    <t>Gandhi Sashank Madanlal</t>
  </si>
  <si>
    <t>Gandhi Meghna Sashank</t>
  </si>
  <si>
    <t>Gandhi Mahavirkumar Roshanlalji</t>
  </si>
  <si>
    <t>Gandhi Vijaya Mahavirkumar</t>
  </si>
  <si>
    <t>Gandhi Nilesh Mahavirkumar</t>
  </si>
  <si>
    <t>Gandhi Bharat Mahavirkumar</t>
  </si>
  <si>
    <t>Gandhi Mahendra Motilalji</t>
  </si>
  <si>
    <t>Gandhi Manjula Mahendrakumar</t>
  </si>
  <si>
    <t>Gandhi Maneklal Hiralalji</t>
  </si>
  <si>
    <t>Gandhi Pushpa Maneklal</t>
  </si>
  <si>
    <t>Gandhi Pushpa Gyanchandji</t>
  </si>
  <si>
    <t>Gandhi Mukeshkumar Gyanchandji</t>
  </si>
  <si>
    <t>Gandhi Kritika Mukeshkumar</t>
  </si>
  <si>
    <t>Gandhi Vishesh Mukeshkumar</t>
  </si>
  <si>
    <t>Gandhi Pavitra Mukeshkumar</t>
  </si>
  <si>
    <t>Gandhi Mukeshkumar Pannalalji</t>
  </si>
  <si>
    <t>Gandhi Indrabala Mukeshkumar</t>
  </si>
  <si>
    <t>Gandhi Kanjul Mukeshkumar</t>
  </si>
  <si>
    <t>Gandhi Narendrakumar Mohanlalji</t>
  </si>
  <si>
    <t>Gandhi Latadevi Narendrakumar</t>
  </si>
  <si>
    <t>Gandhi Abhishek Narendrakumar</t>
  </si>
  <si>
    <t>Gandhi Pradeepkumar Kanakmalji</t>
  </si>
  <si>
    <t>Gandhi Manorama Pradeepkumar</t>
  </si>
  <si>
    <t>Gandhi Rohan Pradeepkumar</t>
  </si>
  <si>
    <t>Gandhi Riya Pradeepkumar</t>
  </si>
  <si>
    <t>Gandhi Prakashchandra Motilalji</t>
  </si>
  <si>
    <t>Gandhi Rojeshri Prakashchandra</t>
  </si>
  <si>
    <t>Gandhi Chandrakala Motilalji</t>
  </si>
  <si>
    <t>Gandhi Hiteshri Prakashchandra</t>
  </si>
  <si>
    <t>Gandhi Rameshchandra Vasantlalji</t>
  </si>
  <si>
    <t>Gandhi Chandrakala Vasantlalji</t>
  </si>
  <si>
    <t>Gandhi Laxmi Rameshchandra</t>
  </si>
  <si>
    <t>Gandhi Piyush Rameshchandra</t>
  </si>
  <si>
    <t>Gandhi Jhankhana Piyush</t>
  </si>
  <si>
    <t>Gandhi Parth Piyush</t>
  </si>
  <si>
    <t>Gandhi Ratanben Manaklalji</t>
  </si>
  <si>
    <t>Gandhi Bela Manaklalji</t>
  </si>
  <si>
    <t>Gandhi Rekha Manaklalji</t>
  </si>
  <si>
    <t xml:space="preserve">Gandhi Shraddha </t>
  </si>
  <si>
    <t>Gandhi Rajkumar Maganlalji</t>
  </si>
  <si>
    <t>Gandhi Chandrikadevi Rajkumar</t>
  </si>
  <si>
    <t>Gandhi Rajkumar Sajjanlalji</t>
  </si>
  <si>
    <t>Gandhi Aruna Rajkumar</t>
  </si>
  <si>
    <t>Gandhi Anmol Rajkumar</t>
  </si>
  <si>
    <t>Gandhi Sapna Anmol</t>
  </si>
  <si>
    <t>Gandhi Rajendrakumar Champalalji</t>
  </si>
  <si>
    <t>Gandhi Gunmala Rajendrakumar</t>
  </si>
  <si>
    <t>Gandhi Kalavati Champalalji</t>
  </si>
  <si>
    <t>Gandhi Nikhil Rajendrakumar</t>
  </si>
  <si>
    <t>Gandhi Pallavi Nikhil</t>
  </si>
  <si>
    <t>Gandhi Khusbu Rajendrakumar</t>
  </si>
  <si>
    <t>Gandhi Nyayasa Nikhil</t>
  </si>
  <si>
    <t>Gandhi Rajendrakumar Roshanlalji</t>
  </si>
  <si>
    <t>Gandhi Hansa Rajendrakumar</t>
  </si>
  <si>
    <t>Gandhi Suryakanta Rajendrakumar</t>
  </si>
  <si>
    <t>Gandhi Deepali Rajendrakumar</t>
  </si>
  <si>
    <t>Gandhi Nehal Rajendrakumar</t>
  </si>
  <si>
    <t>Gandhi Nikita Rajendrakumar</t>
  </si>
  <si>
    <t>Gandhi Subhadra Pannalal</t>
  </si>
  <si>
    <t>Gandhi Kiran Pannalal</t>
  </si>
  <si>
    <t>Gandhi Rajesh Pannalal</t>
  </si>
  <si>
    <t>Gandhi Seema Rajeshkumar</t>
  </si>
  <si>
    <t>Gandhi Shruti Rajeshkumar</t>
  </si>
  <si>
    <t>Gandhi Shreya Rajeshkumar</t>
  </si>
  <si>
    <t>Gandhi Sanmatikumar Mohanlalji</t>
  </si>
  <si>
    <t>Gandhi Seeta Sanmatikumar</t>
  </si>
  <si>
    <t>Gandhi Puja Sanmatikumar</t>
  </si>
  <si>
    <t>Gandhi Samir Hajarimalji</t>
  </si>
  <si>
    <t>Gandhi Monika Samir</t>
  </si>
  <si>
    <t>Gandhi Satish Maneklalji</t>
  </si>
  <si>
    <t>Gandhi Asha Satish</t>
  </si>
  <si>
    <t>Gandhi Anvi Satish</t>
  </si>
  <si>
    <t>Gandhi Sheetal Satish</t>
  </si>
  <si>
    <t>Gandhi Sumtilal Puranmalji</t>
  </si>
  <si>
    <t>Gandhi Kalpana Sumatilal</t>
  </si>
  <si>
    <t>Gandhi Sajjanbai Puranmalji</t>
  </si>
  <si>
    <t>Gandhi Surendrakumar Mohanlalji</t>
  </si>
  <si>
    <t>Gandhi Neela Surendrakumar</t>
  </si>
  <si>
    <t>Gandhi Prashant Surendrakumar</t>
  </si>
  <si>
    <t>Gandhi Surendrakumar Shantilalji</t>
  </si>
  <si>
    <t>Gandhi Kalyanmala Surendrakumar</t>
  </si>
  <si>
    <t>Gandhi Deeviskumar Surendrakumar</t>
  </si>
  <si>
    <t>Gandhi Deepika Deeviskumar</t>
  </si>
  <si>
    <t>Gandhi Shreya Deeviskumar</t>
  </si>
  <si>
    <t>Gandhi Bina Surendrakumar</t>
  </si>
  <si>
    <t>Gandhi Surendrakumar Vasantlalji</t>
  </si>
  <si>
    <t>Gandhi Usha Surendrakumar</t>
  </si>
  <si>
    <t>Gandhi Ravi Surendrakumar</t>
  </si>
  <si>
    <t>Gandhi Varun Surendrakumar</t>
  </si>
  <si>
    <t>Gandhi Ekta Surendrakumar</t>
  </si>
  <si>
    <t>Gandhi Sureshkumar Motilalji</t>
  </si>
  <si>
    <t>Gandhi Shaila Sureshkumar</t>
  </si>
  <si>
    <t>Gandhi Aarti Sureshkumar</t>
  </si>
  <si>
    <t>Gandhi Ajay Sureshkumar</t>
  </si>
  <si>
    <t>Gandhi Priyanka Sureshkumar</t>
  </si>
  <si>
    <t>Gandhi Suryakanta Motilalji</t>
  </si>
  <si>
    <t>Gandhi Kantaben Vinodkumarji</t>
  </si>
  <si>
    <t>Gandhi Pravin Vinodkumarji</t>
  </si>
  <si>
    <t>Gandhi Sharad Vinodkumarji</t>
  </si>
  <si>
    <t>Gandhi Rekha Sharad</t>
  </si>
  <si>
    <t>Gandhi Sneha Sharad</t>
  </si>
  <si>
    <t>Gandhi Rohan Sharad</t>
  </si>
  <si>
    <t>Gandhi Sandeep Vinodkumarji</t>
  </si>
  <si>
    <t>Gandhi Rashmi Sandeep</t>
  </si>
  <si>
    <t>Gandhi Rishab Sandeep</t>
  </si>
  <si>
    <t>Gandhi Sharad Gyanchandji</t>
  </si>
  <si>
    <t>Gandhi Rupal Sharad</t>
  </si>
  <si>
    <t>Gandhi Labdhi Sharad</t>
  </si>
  <si>
    <t>Gandhi Aarti Sharad</t>
  </si>
  <si>
    <t>Gandhi Sharadkumar Motilalji</t>
  </si>
  <si>
    <t>Gandhi Sunila Sharadkumar</t>
  </si>
  <si>
    <t>Gandhi Somil Sharadkumar</t>
  </si>
  <si>
    <t>Gandhi Sonali Sharadkumar</t>
  </si>
  <si>
    <t>Gandhi Aruna Motilalji</t>
  </si>
  <si>
    <t>Gandhi Shailesh Motilalji</t>
  </si>
  <si>
    <t>Gandhi Bhanu Motilalji</t>
  </si>
  <si>
    <t>Gandhi Vandana Lalitkumarji</t>
  </si>
  <si>
    <t>Gandhi Purvi Lalitkumarji</t>
  </si>
  <si>
    <t>Gandhi Vidyabhushan Manaklalji</t>
  </si>
  <si>
    <t>Gandhi Kailash Vidyabhushan</t>
  </si>
  <si>
    <t>Gandhi Deven Vidyabhushan</t>
  </si>
  <si>
    <t>Gandhi Shweta Vidyabhushan</t>
  </si>
  <si>
    <t>Gandhi Vimalkumar Mohanlalji</t>
  </si>
  <si>
    <t>Gandhi Pushpa Vimal</t>
  </si>
  <si>
    <t>Gandhi Hulasbai Mohanlalji</t>
  </si>
  <si>
    <t>Gandhi Manoj Vimal</t>
  </si>
  <si>
    <t>Gandhi Jayshri Manoj</t>
  </si>
  <si>
    <t>Gandhi Prachi Manoj</t>
  </si>
  <si>
    <t>Gandhi Khusbu Manoj</t>
  </si>
  <si>
    <t>Gandhi Pankaj Vimal</t>
  </si>
  <si>
    <t>Gandhi Sushma Pankaj</t>
  </si>
  <si>
    <t>Gandhi Vidhi Pankaj</t>
  </si>
  <si>
    <t>Gandhi Babu Pankaj</t>
  </si>
  <si>
    <t>Gandhi Virendrakumar Vasantlalji</t>
  </si>
  <si>
    <t>Gandhi Tara Virendrakumar</t>
  </si>
  <si>
    <t>Gandhi Vipul Virendrakumar</t>
  </si>
  <si>
    <t>Gandhi Vinay Virendrakumar</t>
  </si>
  <si>
    <t>Gandhi Neelam Vinay</t>
  </si>
  <si>
    <t>Gandhi Neha Vinay</t>
  </si>
  <si>
    <t>Gandhi Amit Virendrakumar</t>
  </si>
  <si>
    <t>Gandhi Ugrasen Motilalji</t>
  </si>
  <si>
    <t>Gandhi Nirmala Ugrasen</t>
  </si>
  <si>
    <t>Gandhi Himanshu Ugrasen</t>
  </si>
  <si>
    <t>Gandhi Anjali Himanshu</t>
  </si>
  <si>
    <t>Gandhi Gaurav Himanshu</t>
  </si>
  <si>
    <t>Gandhi Parishi Himanshu</t>
  </si>
  <si>
    <t>Gandhi Dhananjay Ugrasen</t>
  </si>
  <si>
    <t>Gandhi Bhumika Dhananjay</t>
  </si>
  <si>
    <t>Gandhi Samir Ugrasen</t>
  </si>
  <si>
    <t>Gandhi Seema Ugrasen</t>
  </si>
  <si>
    <t>Ghia Abhinandan Vasantlalji</t>
  </si>
  <si>
    <t>Ghia Jayshri Abhinandan</t>
  </si>
  <si>
    <t>Ghia Abhishek Abhinandan</t>
  </si>
  <si>
    <t>Ghia Diljitkumar Narendramalji</t>
  </si>
  <si>
    <t>Ghia Sharda Diljitkumar</t>
  </si>
  <si>
    <t>Ghia Namit Diljitkumar</t>
  </si>
  <si>
    <t>Ghia Hemantkumar Sujanmalji</t>
  </si>
  <si>
    <t>Ghia Mukul Hemantkumar</t>
  </si>
  <si>
    <t>Ghia Vijay Hemantkumar</t>
  </si>
  <si>
    <t>Ghia Pankajkumar Kanakmalji</t>
  </si>
  <si>
    <t>Ghia Shobha Pankajkumar</t>
  </si>
  <si>
    <t>Ghia Rishabh Pankajkumar</t>
  </si>
  <si>
    <t>Ghia Shreyans Pankajkumar</t>
  </si>
  <si>
    <t>Ghia Paritosh Narendramalji</t>
  </si>
  <si>
    <t>Ghia Pravin Paritosh</t>
  </si>
  <si>
    <t>Ghia Ronak Paritosh</t>
  </si>
  <si>
    <t>Ghia Mohitkumar Paritosh</t>
  </si>
  <si>
    <t>Ghia Rajesh Narendramalji</t>
  </si>
  <si>
    <t>Ghia Poornima Rajesh</t>
  </si>
  <si>
    <t>Ghia Kunal Rajesh</t>
  </si>
  <si>
    <t>Ghia Poonam Kunal</t>
  </si>
  <si>
    <t>Ghia Tanvi Rajesh</t>
  </si>
  <si>
    <t>Ghia Sujanmal Chandanmalji</t>
  </si>
  <si>
    <t>Ghia Shailendrakumar Vasantlalji</t>
  </si>
  <si>
    <t>Ghia Sushila Shailendrakumar</t>
  </si>
  <si>
    <t>Ghia Shubir Shailendrakumar</t>
  </si>
  <si>
    <t>Ghia Khusbu Shailendrakumar</t>
  </si>
  <si>
    <t>Ghia Aashish Shailendrakumar</t>
  </si>
  <si>
    <t>Ghia Sejal Aashish</t>
  </si>
  <si>
    <t>Ghia Shonit Aashish</t>
  </si>
  <si>
    <t>Ghia Mahir Aashish</t>
  </si>
  <si>
    <t>Karva Sharad Kalyanmalji</t>
  </si>
  <si>
    <t>Karva Shalini Sharadkumar</t>
  </si>
  <si>
    <t>Karva Shakshi Sharadkumar</t>
  </si>
  <si>
    <t>Karva Shrusti Sharadkumar</t>
  </si>
  <si>
    <t>Kotadiya Ashokkumar Javerilalji</t>
  </si>
  <si>
    <t>Kotadiya Kokila Ashokkumar</t>
  </si>
  <si>
    <t>Kotadiya Ashokkumar Motilalji</t>
  </si>
  <si>
    <t>Kotadiya Kumud Ashokkumar</t>
  </si>
  <si>
    <t>Kotadiya Nilesh Ashokkumar</t>
  </si>
  <si>
    <t>Kotadiya Kamini Nilesh</t>
  </si>
  <si>
    <t>Kotadiya Yash Nilesh</t>
  </si>
  <si>
    <t>Kotadiya Aashish Ashokkumar</t>
  </si>
  <si>
    <t>Kotadiya Bina Kirankumarji</t>
  </si>
  <si>
    <t>Kotadiya Ajay Kirankumarji</t>
  </si>
  <si>
    <t>Kotadiya Bharatkumar Javerilalji</t>
  </si>
  <si>
    <t>Kotadiya Ramila Bharatkumar</t>
  </si>
  <si>
    <t>Kotadiya Akshay Bharatkumar</t>
  </si>
  <si>
    <t>Kotadiya Chandrasen Sajjanlalji</t>
  </si>
  <si>
    <t>Kotadiya Shashiprabha Chandrasen</t>
  </si>
  <si>
    <t>Kotadiya Nikesh Chandrasen</t>
  </si>
  <si>
    <t>Kotadiya Shraddha Nikesh</t>
  </si>
  <si>
    <t>Kotadiya Padmesh Chandrasen</t>
  </si>
  <si>
    <t>Kotadiya Devendrakumar Labhchandraji</t>
  </si>
  <si>
    <t>Kotadiya Marut Devendrakumar</t>
  </si>
  <si>
    <t>Kotadiya Dolly Marut</t>
  </si>
  <si>
    <t>Kotadiya Dhruv Marut</t>
  </si>
  <si>
    <t>Kotadiya Esha Marut</t>
  </si>
  <si>
    <t>Kotadiya Dharnendra Vipinchandraji</t>
  </si>
  <si>
    <t>Kotadiya Jayshri Dharnendra</t>
  </si>
  <si>
    <t>Kotadiya Manali Dharnendra</t>
  </si>
  <si>
    <t>Kotadiya Vrushali Dharnendra</t>
  </si>
  <si>
    <t>Kotadiya Ganeshlal Manmalji</t>
  </si>
  <si>
    <t>Kotadiya Surekha Manmalji</t>
  </si>
  <si>
    <t>Kotadiya Gunmalaben Gendmalji</t>
  </si>
  <si>
    <t>Kotadiya Hasmukhlal Pannalalji</t>
  </si>
  <si>
    <t>Kotadiya Vimal Hasmukhlal</t>
  </si>
  <si>
    <t>Kotadiya Kaushal Hasmukhlal</t>
  </si>
  <si>
    <t>Kotadiya Neelam Hasmukhlal</t>
  </si>
  <si>
    <t>Kotadiya Mohit Kaushal</t>
  </si>
  <si>
    <t>Kotadiya Hasmukh Sajjanlalji</t>
  </si>
  <si>
    <t>Kotadiya Anita Hasmukh</t>
  </si>
  <si>
    <t>Kotadiya Paresh Hasmukh</t>
  </si>
  <si>
    <t>Kotadiya Kruti Hasmukh</t>
  </si>
  <si>
    <t>Kotadiya Mitesh Hasmukh</t>
  </si>
  <si>
    <t>Kotadiya Kalpesh Hasmukh</t>
  </si>
  <si>
    <t>Kotadiya Javerlal Amrut</t>
  </si>
  <si>
    <t>Kotadiya Kankubai Javerlal</t>
  </si>
  <si>
    <t>Kotadiya Anilkumar Javerlal</t>
  </si>
  <si>
    <t>Kotadiya Shakuntala Anilkumar</t>
  </si>
  <si>
    <t>Kotadiya Jitendrakumar Mohinichandraji</t>
  </si>
  <si>
    <t>Kotadiya Usha Jitendrakumar</t>
  </si>
  <si>
    <t>Kotadiya Lokesh Jitendrakumar</t>
  </si>
  <si>
    <t>Kotadiya Deepti Lokesh</t>
  </si>
  <si>
    <t>Kotadiya Sahil Lokesh</t>
  </si>
  <si>
    <t>Kotadiya Samir Jitendrakumar</t>
  </si>
  <si>
    <t>Kotadiya Parul Samir</t>
  </si>
  <si>
    <t>Kotadiya Kamalsen Sajjanlalji</t>
  </si>
  <si>
    <t>Kotadiya Lila Kamalsen</t>
  </si>
  <si>
    <t>Kotadiya Sapna Kamalsen</t>
  </si>
  <si>
    <t>Kotadiya Chaitali Kamalsen</t>
  </si>
  <si>
    <t>Kotadiya Shraddha Kamalsen</t>
  </si>
  <si>
    <t>Kotadiya Kantilal Shantilalji</t>
  </si>
  <si>
    <t>Kotadiya Kanta Kantilal</t>
  </si>
  <si>
    <t>Kotadiya Sanjeev Kantilal</t>
  </si>
  <si>
    <t>Kotadiya Sudha Sanjeev</t>
  </si>
  <si>
    <t>Kotadiya Prachi Sanjeev</t>
  </si>
  <si>
    <t>Kotadiya Shruti Sanjeev</t>
  </si>
  <si>
    <t>Kotadiya Avni Sanjeev</t>
  </si>
  <si>
    <t>Kotadiya Kirtikumar Hasmukhlalji</t>
  </si>
  <si>
    <t>Kotadiya Anju Kirtikumar</t>
  </si>
  <si>
    <t>Kotadiya Ayushi Kirtikumar</t>
  </si>
  <si>
    <t>Kotadiya Yash Kirtikumar</t>
  </si>
  <si>
    <t>Kotadiya Kirtikumar Kantilalji</t>
  </si>
  <si>
    <t>Kotadiya Aruna Kirtikumar</t>
  </si>
  <si>
    <t>Kotadiya Sahil Kirtikumar</t>
  </si>
  <si>
    <t>Kotadiya Kailash Vijaylalji</t>
  </si>
  <si>
    <t>Kotadiya Anju Kailash</t>
  </si>
  <si>
    <t>Kotadiya Akansha Kailash</t>
  </si>
  <si>
    <t>Kotadiya Shruti Kailash</t>
  </si>
  <si>
    <t>Kotadiya Hirak Kailash</t>
  </si>
  <si>
    <t>Kotadiya Manojkumar Mohinichandji</t>
  </si>
  <si>
    <t>Kotadiya Pramila Manojkumar</t>
  </si>
  <si>
    <t>Kotadiya Shika Manojkumar</t>
  </si>
  <si>
    <t>Kotadiya Shraddha Manojkumar</t>
  </si>
  <si>
    <t>Kotadiya Megha Manojkumar</t>
  </si>
  <si>
    <t>Kotadiya Rajdeep Manojkumar</t>
  </si>
  <si>
    <t>Kotadiya Mansukhlal Manmalji</t>
  </si>
  <si>
    <t>Kotadiya Anantkuvar Mansukhlal</t>
  </si>
  <si>
    <t>Kotadiya Seema Mansukhlal</t>
  </si>
  <si>
    <t>Kotadiya Shailendra Mansukhlal</t>
  </si>
  <si>
    <t>Kotadiya Deepak Mansukhlal</t>
  </si>
  <si>
    <t>Kotadiya Mohinichandra Javerilalji</t>
  </si>
  <si>
    <t>Kotadiya Sugandhdevi Mohinichandra</t>
  </si>
  <si>
    <t>Kotadiya Kundkumar Mohinichandra</t>
  </si>
  <si>
    <t>Kotadiya Suryakanta Kundkumar</t>
  </si>
  <si>
    <t>Kotadiya Prashant Kundkumar</t>
  </si>
  <si>
    <t>Kotadiya Sonali Prashantkumar</t>
  </si>
  <si>
    <t>Kotadiya Tanvi Prashantkumar</t>
  </si>
  <si>
    <t>Kotadiya Tushar Kundkumar</t>
  </si>
  <si>
    <t>Kotadiya Sapna Tusharkumar</t>
  </si>
  <si>
    <t>Kotadiya Sheetal Kundkumar</t>
  </si>
  <si>
    <t xml:space="preserve">Kotadiya Narendrakumar </t>
  </si>
  <si>
    <t>Kotadiya Lalitprabha Narendrakumar</t>
  </si>
  <si>
    <t>Kotadiya Pravin Narendrakumar</t>
  </si>
  <si>
    <t>Kotadiya Rekha Pravin</t>
  </si>
  <si>
    <t>Kotadiya Megha Pravin</t>
  </si>
  <si>
    <t>Kotadiya Astha Pravin</t>
  </si>
  <si>
    <t>Kotadiya Riddhesh Pravin</t>
  </si>
  <si>
    <t>Kotadiya Paraskumar Sujanmalji</t>
  </si>
  <si>
    <t>Kotadiya Sarita Paraskumar</t>
  </si>
  <si>
    <t>Kotadiya Rishabh Paraskumar</t>
  </si>
  <si>
    <t>Kotadiya Priyanka Paraskumar</t>
  </si>
  <si>
    <t xml:space="preserve">Kotadiya  </t>
  </si>
  <si>
    <t>Kotadiya Pankaj Ramanlal</t>
  </si>
  <si>
    <t>Kotadiya Ruchi Pankaj</t>
  </si>
  <si>
    <t>Kotadiya Ravi Ramanlal</t>
  </si>
  <si>
    <t>Kotadiya Rameshchand Nathulalji</t>
  </si>
  <si>
    <t>Kotadiya Rameshchand Shantilalji</t>
  </si>
  <si>
    <t>Kotadiya Pankaj Rameshchand</t>
  </si>
  <si>
    <t>Kotadiya Chandanbala Pankaj</t>
  </si>
  <si>
    <t>Kotadiya Monika Pankaj</t>
  </si>
  <si>
    <t>Kotadiya Jay Pankaj</t>
  </si>
  <si>
    <t>Kotadiya Rakesh Narendrakumar</t>
  </si>
  <si>
    <t>Kotadiya Reshma Rakesh</t>
  </si>
  <si>
    <t>Kotadiya Malvika Rakesh</t>
  </si>
  <si>
    <t>Kotadiya Yash Rakesh</t>
  </si>
  <si>
    <t>Kotadiya Nehal Rakesh</t>
  </si>
  <si>
    <t>Kotadiya Rajmal Motilalji</t>
  </si>
  <si>
    <t>Kotadiya Padma Rajmal</t>
  </si>
  <si>
    <t>Kotadiya Sirishkumar Rajmal</t>
  </si>
  <si>
    <t>Kotadiya Sushma Sirishkumar</t>
  </si>
  <si>
    <t>Kotadiya Anmol Sirishkumar</t>
  </si>
  <si>
    <t>Kotadiya Setu Anmol</t>
  </si>
  <si>
    <t>Kotadiya Jash Anmol</t>
  </si>
  <si>
    <t>Kotadiya Vijaykumar Rajmal</t>
  </si>
  <si>
    <t>Kotadiya Darshana Vijaykumar</t>
  </si>
  <si>
    <t>Kotadiya Shreyas Vijaykumar</t>
  </si>
  <si>
    <t>Kotadiya Sunilkumar Rajmal</t>
  </si>
  <si>
    <t>Kotadiya Alka Sunilkumar</t>
  </si>
  <si>
    <t>Kotadiya Puneet Sunilkumar</t>
  </si>
  <si>
    <t>Kotadiya Shailee Puneet</t>
  </si>
  <si>
    <t>Kotadiya Sumit Sunilkumar</t>
  </si>
  <si>
    <t>Kotadiya Rajesh Kantilalji</t>
  </si>
  <si>
    <t>Kotadiya Kalpana Rajesh</t>
  </si>
  <si>
    <t>Kotadiya Aakash Rajesh</t>
  </si>
  <si>
    <t>Kotadiya Vaibhav Rajesh</t>
  </si>
  <si>
    <t>Kotadiya Sanmatikumar Motilalji</t>
  </si>
  <si>
    <t>Kotadiya Koyal Sanmatikumar</t>
  </si>
  <si>
    <t>Kotadiya Arun Sanmatikumar</t>
  </si>
  <si>
    <t>Kotadiya Vandana Arun</t>
  </si>
  <si>
    <t>Kotadiya Pooja Arun</t>
  </si>
  <si>
    <t>Kotadiya Arti Arun</t>
  </si>
  <si>
    <t>Kotadiya Surendrakumar Sujanmalji</t>
  </si>
  <si>
    <t>Kotadiya Aruna Surendrakumar</t>
  </si>
  <si>
    <t>Kotadiya Sunil Surendrakumar</t>
  </si>
  <si>
    <t>Kotadiya Divya Sunil</t>
  </si>
  <si>
    <t>Kotadiya Siddhi Sunil</t>
  </si>
  <si>
    <t>Kotadiya Samyak Sunil</t>
  </si>
  <si>
    <t>Kotadiya Nayna Sunil</t>
  </si>
  <si>
    <t>Kotadiya Surendrakumar Amrutlalji</t>
  </si>
  <si>
    <t>Kotadiya Trupti Surendrakumar</t>
  </si>
  <si>
    <t>Kotadiya Dhara Surendrakumar</t>
  </si>
  <si>
    <t>Kotadiya Chameli Amrutlalji</t>
  </si>
  <si>
    <t>Kotadiya Sureshchandra Pannalalji</t>
  </si>
  <si>
    <t>Kotadiya Dhanlaxmi Sureshchandra</t>
  </si>
  <si>
    <t>Kotadiya Chitrang Sureshchandra</t>
  </si>
  <si>
    <t>Kotadiya Preeti Chitrang</t>
  </si>
  <si>
    <t>Kotadiya Nishta Chitrang</t>
  </si>
  <si>
    <t>Kotadiya Suryakanta Hiralalji</t>
  </si>
  <si>
    <t>Kotadiya Rajesh Hiralalji</t>
  </si>
  <si>
    <t>Kotadiya Meena Rajesh</t>
  </si>
  <si>
    <t>Kotadiya Dipesh Rajesh</t>
  </si>
  <si>
    <t>Kotadiya Yash Rajesh</t>
  </si>
  <si>
    <t>Kotadiya Sanjay Hiralalji</t>
  </si>
  <si>
    <t>Kotadiya Sharmila Sanjay</t>
  </si>
  <si>
    <t>Kotadiya Sneha Sanjay</t>
  </si>
  <si>
    <t>Kotadiya Jin Sanjay</t>
  </si>
  <si>
    <t>Kotadiya Dinesh Hiralalji</t>
  </si>
  <si>
    <t>Kotadiya Jyoti Dinesh</t>
  </si>
  <si>
    <t>Kotadiya Sanchi Dinesh</t>
  </si>
  <si>
    <t>Kotadiya Vallabhbhai Roopchandraji</t>
  </si>
  <si>
    <t>Kotadiya Rajkumari Roopchandraji</t>
  </si>
  <si>
    <t>Kotadiya Vijaykumar Sujanmalji</t>
  </si>
  <si>
    <t>Kotadiya Indira Vijaykumar</t>
  </si>
  <si>
    <t>Kotadiya Keva Vijaykumar</t>
  </si>
  <si>
    <t>Kotadiya Pritesh Vijaykumar</t>
  </si>
  <si>
    <t>Kotadiya Vidyavanti Pannalalji</t>
  </si>
  <si>
    <t>Kotadiya Madhukanta Pannalalji</t>
  </si>
  <si>
    <t>Kotadiya Premlata Pannalalji</t>
  </si>
  <si>
    <t>Kotadiya Vinaychandra Pannalalji</t>
  </si>
  <si>
    <t>Kotadiya Sumangala Vinaychandra</t>
  </si>
  <si>
    <t>Kotadiya Manish Vinaychandra</t>
  </si>
  <si>
    <t>Kotadiya Varsha Manish</t>
  </si>
  <si>
    <t>Kotadiya Nirupam Manish</t>
  </si>
  <si>
    <t>Kotadiya Vinodkumar Nathulalji</t>
  </si>
  <si>
    <t>Kotadiya Sadhana Vinodkumar</t>
  </si>
  <si>
    <t>Kotadiya Ankita Vinodkumar</t>
  </si>
  <si>
    <t>Kotadiya Ritika Vinodkumar</t>
  </si>
  <si>
    <t>Kotadiya Mathurabai Nathulalji</t>
  </si>
  <si>
    <t>Kotadiya Vishal Kanakmalji</t>
  </si>
  <si>
    <t>Kotadiya Rinku Vishal</t>
  </si>
  <si>
    <t>Kotadiya Shailesh Kanakmalji</t>
  </si>
  <si>
    <t>Kotadiya Nita Shailesh</t>
  </si>
  <si>
    <t>Kotadiya Harshita Shailesh</t>
  </si>
  <si>
    <t>Malasa Kamal Manmalji</t>
  </si>
  <si>
    <t>Malasa Anita Kamal</t>
  </si>
  <si>
    <t>Malasa Divyesh Kamal</t>
  </si>
  <si>
    <t>Malasa Kruti Kamal</t>
  </si>
  <si>
    <t>Malasa Ketan Kanhaiyalalji</t>
  </si>
  <si>
    <t>Malasa Lata Ketan</t>
  </si>
  <si>
    <t>Malasa Chirag Ketan</t>
  </si>
  <si>
    <t>Malasa Nihar Ketan</t>
  </si>
  <si>
    <t>Malasa Manilal Manmalji</t>
  </si>
  <si>
    <t>Malasa Sugandh Manilal</t>
  </si>
  <si>
    <t>Malasa Ravi Manilal</t>
  </si>
  <si>
    <t>Malasa Deepika Ravi</t>
  </si>
  <si>
    <t>Malasa Esha Ravi</t>
  </si>
  <si>
    <t>Malasa Guddu Ravi</t>
  </si>
  <si>
    <t>Malasa Manmal Khubchandji</t>
  </si>
  <si>
    <t>Malasa Mangalkumar Manmalji</t>
  </si>
  <si>
    <t>Malasa Usha Mangalkumar</t>
  </si>
  <si>
    <t>Malasa Roshni Mangalkumar</t>
  </si>
  <si>
    <t>Malasa Saurabh Mangalkumar</t>
  </si>
  <si>
    <t xml:space="preserve">Malasa Manmalji </t>
  </si>
  <si>
    <t>Malasa Sharadkumar Kanhaiyalalji</t>
  </si>
  <si>
    <t>Malasa Chandrakala Sharadkumar</t>
  </si>
  <si>
    <t>Malasa Mehul Sharadkumar</t>
  </si>
  <si>
    <t>Malasa Shashi Manmalji</t>
  </si>
  <si>
    <t>Minda Ajit Dhanpalji</t>
  </si>
  <si>
    <t>Minda Darshana Ajitkumar</t>
  </si>
  <si>
    <t>Minda Raj Ajitkumar</t>
  </si>
  <si>
    <t>Minda Ajitkumar Motilalji</t>
  </si>
  <si>
    <t>Minda Anjani Ajitkumar</t>
  </si>
  <si>
    <t>Minda Avichal Ajitkumar</t>
  </si>
  <si>
    <t>Minda Heena Avichal</t>
  </si>
  <si>
    <t>Minda Prachi Avichal</t>
  </si>
  <si>
    <t>Minda Aditi Avichal</t>
  </si>
  <si>
    <t>Minda Nischhal Ajitkumar</t>
  </si>
  <si>
    <t>Minda Sonika Nischhal</t>
  </si>
  <si>
    <t>Minda Naman Nischhal</t>
  </si>
  <si>
    <t>Minda Achal Ajitkumar</t>
  </si>
  <si>
    <t>Minda Sheetal Achal</t>
  </si>
  <si>
    <t>Minda Baby Achal</t>
  </si>
  <si>
    <t>Minda Dharamchand Kishanlalji</t>
  </si>
  <si>
    <t>Minda Vimla Dharamchandji</t>
  </si>
  <si>
    <t>Minda Ashokkumar Dharamchandji</t>
  </si>
  <si>
    <t>Minda Pushpa Ashokumar</t>
  </si>
  <si>
    <t>Minda Sneha Ashokumar</t>
  </si>
  <si>
    <t>Minda Pushya Ashokumar</t>
  </si>
  <si>
    <t>Minda Jaykumar Sajjanlalji</t>
  </si>
  <si>
    <t>Minda Aarti Jaykumar</t>
  </si>
  <si>
    <t>Minda Ankita Jaykumar</t>
  </si>
  <si>
    <t>Minda Ankit Jaykumar</t>
  </si>
  <si>
    <t>Minda Jambukumar Dharamchandji</t>
  </si>
  <si>
    <t>Minda Nishita Jambukumar</t>
  </si>
  <si>
    <t>Minda Aditi Jambukumar</t>
  </si>
  <si>
    <t>Minda Sajjanbai Gyanchandraji</t>
  </si>
  <si>
    <t>Minda Kirtiveer Gyanchandraji</t>
  </si>
  <si>
    <t>Minda Neeta Kirtiveer</t>
  </si>
  <si>
    <t>Minda Purvi Kirtiveer</t>
  </si>
  <si>
    <t>Minda Akash Kirtiveer</t>
  </si>
  <si>
    <t>Minda Surendra Sajjanlalji</t>
  </si>
  <si>
    <t>Minda Nandini Surendra</t>
  </si>
  <si>
    <t>Minda Abhishek Surendra</t>
  </si>
  <si>
    <t>Minda Bina Surendra</t>
  </si>
  <si>
    <t>Minda Madanben Sajjanlalji</t>
  </si>
  <si>
    <t>Minda Maina Sajjanlalji</t>
  </si>
  <si>
    <t>Minda Ratanlal Sajjanlalji</t>
  </si>
  <si>
    <t>Minda Sudha Ratanlal</t>
  </si>
  <si>
    <t>Minda Somesh Ratanlal</t>
  </si>
  <si>
    <t>Minda Sonal Ratanlal</t>
  </si>
  <si>
    <t>Minda Manav Ratanlal</t>
  </si>
  <si>
    <t>Minda Khushi Ratanlal</t>
  </si>
  <si>
    <t>Minda Rajesh Ajitkumar</t>
  </si>
  <si>
    <t>Minda Amolika Rajesh</t>
  </si>
  <si>
    <t>Minda Dhvani Rajesh</t>
  </si>
  <si>
    <t>Minda Ritika Rajesh</t>
  </si>
  <si>
    <t>Minda Sanjaykumar Nathmalji</t>
  </si>
  <si>
    <t>Minda Chetna Sanjaykumar</t>
  </si>
  <si>
    <t>Minda Sanchet Sanjaykumar</t>
  </si>
  <si>
    <t>Minda Sajjandevi Gyanchandraji</t>
  </si>
  <si>
    <t>Minda Bharatveer Gyanchandraji</t>
  </si>
  <si>
    <t>Minda Preeti Bharatveer</t>
  </si>
  <si>
    <t>Minda Ishaan Bharatveer</t>
  </si>
  <si>
    <t>Minda Prashuk Bharatveer</t>
  </si>
  <si>
    <t>Minda Shubchandra Dharamchandji</t>
  </si>
  <si>
    <t>Minda Vandana Shubchandra</t>
  </si>
  <si>
    <t>Minda Shipra Shubchandra</t>
  </si>
  <si>
    <t>Minda Jai Shubchandra</t>
  </si>
  <si>
    <t>Minda Vimalkumar Dharamchandji</t>
  </si>
  <si>
    <t>Minda Falguni Vimalkumar</t>
  </si>
  <si>
    <t>Minda Tirth Vimalkumar</t>
  </si>
  <si>
    <t>Minda Vishvesen Gyanchandraji</t>
  </si>
  <si>
    <t>Minda Archana Vishvesen</t>
  </si>
  <si>
    <t>Minda Siddhi Vishvesen</t>
  </si>
  <si>
    <t>Minda Pearl Vishvesen</t>
  </si>
  <si>
    <t>Minda Arjav Vishvesen</t>
  </si>
  <si>
    <t>Minda Vidyapati Kailashchandraji</t>
  </si>
  <si>
    <t>Minda Vaishali Vidyapati</t>
  </si>
  <si>
    <t>Minda Rinkle Vidyapati</t>
  </si>
  <si>
    <t>Minda Simran Vidyapati</t>
  </si>
  <si>
    <t>Minda Virendrakumar Chandmalji</t>
  </si>
  <si>
    <t>Minda Manju Virendrakumar</t>
  </si>
  <si>
    <t>Minda Sohanben Chandmalji</t>
  </si>
  <si>
    <t>Minda Pamal Virendrakumar</t>
  </si>
  <si>
    <t>Minda Namrata Virendrakumar</t>
  </si>
  <si>
    <t>Minda Mahendrakumar Chandmalji</t>
  </si>
  <si>
    <t>Mehta Ranjan Devendrakumarji</t>
  </si>
  <si>
    <t>Mehta Ajaykumar Devendrakumarji</t>
  </si>
  <si>
    <t>Mehta Aarti Ajaykumar</t>
  </si>
  <si>
    <t>Mehta Akansha Ajaykumar</t>
  </si>
  <si>
    <t>Mehta Samarth Ajaykumar</t>
  </si>
  <si>
    <t xml:space="preserve">Mehta  </t>
  </si>
  <si>
    <t>Mehta Bahubali Kesahvlalji</t>
  </si>
  <si>
    <t>Mehta Anju Bahubali</t>
  </si>
  <si>
    <t>Mehta Dhvani Bahubali</t>
  </si>
  <si>
    <t>Mehta Yashvi Bahubali</t>
  </si>
  <si>
    <t>Mehta Bharatkumar Keshavlalji</t>
  </si>
  <si>
    <t>Mehta Madhuri Bharatkumar</t>
  </si>
  <si>
    <t>Mehta Ekta Bharatkumar</t>
  </si>
  <si>
    <t>Mehta Paras Bharatkumar</t>
  </si>
  <si>
    <t>Mehta Gajkumar Maganlalji</t>
  </si>
  <si>
    <t>Mehta Chandrakanta Gajkumar</t>
  </si>
  <si>
    <t>Mehta Abhay Gajkumar</t>
  </si>
  <si>
    <t>Mehta Mahavirkumar Keshavlalji</t>
  </si>
  <si>
    <t>Mehta Usha Mahavirkumar</t>
  </si>
  <si>
    <t>Mehta Samir Mahavirkumar</t>
  </si>
  <si>
    <t>Mehta Trishala Samir</t>
  </si>
  <si>
    <t>Mehta Manasvini Samir</t>
  </si>
  <si>
    <t>Mehta Abhishek Samir</t>
  </si>
  <si>
    <t>Mehta Shantabai Keshavlalji</t>
  </si>
  <si>
    <t>Mehta Mahendrakumar Hazarimalji</t>
  </si>
  <si>
    <t>Mehta Manakbai Hazarimalji</t>
  </si>
  <si>
    <t>Mehta Padma Mahendrakumar</t>
  </si>
  <si>
    <t>Mehta Gaurav Mahendrakumar</t>
  </si>
  <si>
    <t>Mehta Shilpa Mahendrakumar</t>
  </si>
  <si>
    <t>Mehta Mahendrakumar Mannalalji</t>
  </si>
  <si>
    <t>Mehta Vidya Mahendrakumar</t>
  </si>
  <si>
    <t>Mehta Poonam Mahendrakumar</t>
  </si>
  <si>
    <t>Mehta Motilal Mannalalji</t>
  </si>
  <si>
    <t>Mehta Kankudevi Motilal</t>
  </si>
  <si>
    <t>Mehta Kamalkumar Motilal</t>
  </si>
  <si>
    <t>Mehta Neelam Kamalkumar</t>
  </si>
  <si>
    <t>Mehta Paras Kamalkumar</t>
  </si>
  <si>
    <t>Mehta Neel Kamalkumar</t>
  </si>
  <si>
    <t>Mehta Sagar Kamalkumar</t>
  </si>
  <si>
    <t>Mehta Rajkumar Mannalalji</t>
  </si>
  <si>
    <t>Mehta Indu Rajkumar</t>
  </si>
  <si>
    <t>Mehta Mamta Rajkumar</t>
  </si>
  <si>
    <t>Mehta Riddhi Rajkumar</t>
  </si>
  <si>
    <t>Mehta Rajendrakumar Hazarimalji</t>
  </si>
  <si>
    <t>Mehta Manakbai Hazarimal</t>
  </si>
  <si>
    <t>Mehta Padmashri Rajendrakumar</t>
  </si>
  <si>
    <t>Mehta Smita Rajendrakumar</t>
  </si>
  <si>
    <t>Mehta Umang Rajendrakumar</t>
  </si>
  <si>
    <t>Mehta Sanmatikumar Keshavlalji</t>
  </si>
  <si>
    <t>Mehta Mamta Sanmatikumar</t>
  </si>
  <si>
    <t>Mehta Kevalya Sanmatikumar</t>
  </si>
  <si>
    <t>Mehta Harsh Sanmatikumar</t>
  </si>
  <si>
    <t>Mehta Surendrakumar Hazarimalji</t>
  </si>
  <si>
    <t>Mehta Aruna Hazarimalji</t>
  </si>
  <si>
    <t>Paronigar Kalyanchand Kanchanlalji</t>
  </si>
  <si>
    <t>Paronigar Manjulaben Kalyanchand</t>
  </si>
  <si>
    <t>Paronigar Dineshkumar Kalyanchand</t>
  </si>
  <si>
    <t>Paronigar Sadhna Dineshkumar</t>
  </si>
  <si>
    <t>Paronigar Abhishek Dineshkumar</t>
  </si>
  <si>
    <t>Paronigar Pooja Dineshkumar</t>
  </si>
  <si>
    <t>Sanghvi Atul Vimalkumar</t>
  </si>
  <si>
    <t>Sanghvi Sushila Vimalkumar</t>
  </si>
  <si>
    <t>Sanghvi Aruna Atulkumar</t>
  </si>
  <si>
    <t>Sanghvi Avi Atulkumar</t>
  </si>
  <si>
    <t>Sanghvi Dimple Atulkumar</t>
  </si>
  <si>
    <t>Sanghvi Nirmal Vimalkumar</t>
  </si>
  <si>
    <t>Sanghvi Shilpa Nirmalkumar</t>
  </si>
  <si>
    <t>Sanghvi Khushi Nirmalkumar</t>
  </si>
  <si>
    <t>Sanghvi Bhavarlal Maganlalji</t>
  </si>
  <si>
    <t>Sanghvi Premlata Bhavarlalji</t>
  </si>
  <si>
    <t>Sanghvi Nita Bhavarlalji</t>
  </si>
  <si>
    <t>Sanghvi Jayabala Bhavarlalji</t>
  </si>
  <si>
    <t>Sanghvi Dineshkumar Prakashchandraji</t>
  </si>
  <si>
    <t>Sanghvi Purvi Dineshkumar</t>
  </si>
  <si>
    <t>Sanghvi Nishant Dineshkumar</t>
  </si>
  <si>
    <t>Sanghvi Hansmukh Bhavarlalji</t>
  </si>
  <si>
    <t>Sanghvi Sunita Hansmukh</t>
  </si>
  <si>
    <t>Sanghvi Ankita Hansmukh</t>
  </si>
  <si>
    <t>Sanghvi Himanshu Hansmukh</t>
  </si>
  <si>
    <t>Sanghvi Kamalkumar Jawaharlalji</t>
  </si>
  <si>
    <t>Sanghvi Sadhana Kamalkumar</t>
  </si>
  <si>
    <t>Sanghvi RIddhi Kamalkumar</t>
  </si>
  <si>
    <t>Sanghvi Kailashchandra Jawaharlalji</t>
  </si>
  <si>
    <t>Sanghvi Savitridevi Kailashchandraji</t>
  </si>
  <si>
    <t>Sanghvi Hemant Kailashchandraji</t>
  </si>
  <si>
    <t>Sanghvi Sangeeta Hemant</t>
  </si>
  <si>
    <t>Sanghvi Yash Hemant</t>
  </si>
  <si>
    <t>Sanghvi Tanmay Hemant</t>
  </si>
  <si>
    <t>Sanghvi Mahipal Kailashchandraji</t>
  </si>
  <si>
    <t>Sanghvi Sonika Mahipal</t>
  </si>
  <si>
    <t>Sanghvi Kashish Mahipal</t>
  </si>
  <si>
    <t>Sanghvi Samar Mahipal</t>
  </si>
  <si>
    <t>Sanghvi Amit Kailashchandraji</t>
  </si>
  <si>
    <t>Sanghvi Shalini Amit</t>
  </si>
  <si>
    <t>Sanghvi Yasti Amit</t>
  </si>
  <si>
    <t>Sanghvi Swomil Amit</t>
  </si>
  <si>
    <t>Sanghvi Sunil Kailashchandraji</t>
  </si>
  <si>
    <t>Sanghvi Meeta Sunil</t>
  </si>
  <si>
    <t>Sanghvi Ruchil Sunil</t>
  </si>
  <si>
    <t>Sanghvi Lokendra Bhavarlalji</t>
  </si>
  <si>
    <t>Sanghvi Neelima Lokendra</t>
  </si>
  <si>
    <t>Sanghvi Anuj Lokendra</t>
  </si>
  <si>
    <t>Sanghvi Arpit Lokendra</t>
  </si>
  <si>
    <t>Sanghvi Neeraj Rajkumar</t>
  </si>
  <si>
    <t>Sanghvi Bina Rajkumar</t>
  </si>
  <si>
    <t>Sanghvi Seema Rajkumar</t>
  </si>
  <si>
    <t>Sanghvi Rajeev Rajkumar</t>
  </si>
  <si>
    <t>Sanghvi Harsha Rajeev</t>
  </si>
  <si>
    <t>Sanghvi Niranjanlal Sajjanlalji</t>
  </si>
  <si>
    <t>Sanghvi Chandra Niranjanlal</t>
  </si>
  <si>
    <t>Sanghvi Prashantkumar Niranjanlal</t>
  </si>
  <si>
    <t>Sanghvi Chelna Prashantkumar</t>
  </si>
  <si>
    <t>Sanghvi Pooja Prashantkumar</t>
  </si>
  <si>
    <t>Sanghvi Vidhi Prashantkumar</t>
  </si>
  <si>
    <t>Sanghvi Achal Prashantkumar</t>
  </si>
  <si>
    <t>Sanghvi Pradeepkumar Harishkumarji</t>
  </si>
  <si>
    <t>Sanghvi Jasmin Pradeepkumar</t>
  </si>
  <si>
    <t>Sanghvi Neeta Pradeepkumar</t>
  </si>
  <si>
    <t>Sanghvi Pradhumankumar Bhavarlalji</t>
  </si>
  <si>
    <t>Sanghvi Nirmala Pradhumankumar</t>
  </si>
  <si>
    <t>Sanghvi Mona Pradhumankumar</t>
  </si>
  <si>
    <t>Sanghvi Jaya Pradhumankumar</t>
  </si>
  <si>
    <t>Sanghvi Deepika Pradhumankumar</t>
  </si>
  <si>
    <t>Sanghvi Prakashchandra Jawaharlalji</t>
  </si>
  <si>
    <t>Sanghvi Dhanvanti Prakashchandraji</t>
  </si>
  <si>
    <t>Sanghvi Bahubali Prakashchandraji</t>
  </si>
  <si>
    <t>Sanghvi Sadhana Bahubali</t>
  </si>
  <si>
    <t>Sanghvi Monika Bahubali</t>
  </si>
  <si>
    <t>Sanghvi Piyushkumar Laxmichandji</t>
  </si>
  <si>
    <t>Sanghvi Anuradha Piyushkumar</t>
  </si>
  <si>
    <t>Sanghvi Anuj Piyushkumar</t>
  </si>
  <si>
    <t>Sanghvi Yash Piyushkumar</t>
  </si>
  <si>
    <t>Sanghvi Ansh Piyushkumar</t>
  </si>
  <si>
    <t>Sanghvi Sanatkumar Laxmichandji</t>
  </si>
  <si>
    <t>Sanghvi Chanchala Sanatkumar</t>
  </si>
  <si>
    <t>Sanghvi Neha Sanatkumar</t>
  </si>
  <si>
    <t>Sanghvi Akash Sanatkumar</t>
  </si>
  <si>
    <t>Sanghvi Virendrakumar Sajjanlalji</t>
  </si>
  <si>
    <t>Sanghvi Bhadrika Virendrakumar</t>
  </si>
  <si>
    <t>Sanghvi Amit Virendrakumar</t>
  </si>
  <si>
    <t>Sanghvi Anjali Amit</t>
  </si>
  <si>
    <t>Sanghvi Baba Amit</t>
  </si>
  <si>
    <t>Saraiya Ashokkumar Bhavarlalji</t>
  </si>
  <si>
    <t>Saraiya Urmila Ashokkumar</t>
  </si>
  <si>
    <t>Saraiya Kalpeshkumar Ashokkumar</t>
  </si>
  <si>
    <t>Saraiya Kavita Kalpeshkumar</t>
  </si>
  <si>
    <t>Saraiya Darshan Ashokkumar</t>
  </si>
  <si>
    <t>Saraiya Pari Ashokkumar</t>
  </si>
  <si>
    <t>Saraiya Harshadkumar Kantilalji</t>
  </si>
  <si>
    <t>Saraiya Meena Harshadkumar</t>
  </si>
  <si>
    <t>Saraiya Meetul Harshadkumar</t>
  </si>
  <si>
    <t>Saraiya Prabhaben Kantilalji</t>
  </si>
  <si>
    <t>Saraiya Kalpeshkumar Kantilalji</t>
  </si>
  <si>
    <t>Saraiya Neela Kalpeshkumar</t>
  </si>
  <si>
    <t>Saraiya Komal Kalpeshkumar</t>
  </si>
  <si>
    <t>Saraiya Rameshkumar Bhavarlalji</t>
  </si>
  <si>
    <t>Saraiya Vijaylaxmi Rameshkumar</t>
  </si>
  <si>
    <t>Saraiya Payal Rameshkumar</t>
  </si>
  <si>
    <t>Saraiya Hitesh Rameshkumar</t>
  </si>
  <si>
    <t>Saraiya Rajeshkumar Kantilalji</t>
  </si>
  <si>
    <t>Saraiya Bina Rajeshkumar</t>
  </si>
  <si>
    <t>Saraiya Hinal Rajeshkumar</t>
  </si>
  <si>
    <t>Saraiya Krushal Rajeshkumar</t>
  </si>
  <si>
    <t>Saraiya Vinodkumar Kantilalji</t>
  </si>
  <si>
    <t>Saraiya Reema Vinodkumar</t>
  </si>
  <si>
    <t>Saraiya Kejal Vinodkumar</t>
  </si>
  <si>
    <t>Saraiya Kunal Vinodkumar</t>
  </si>
  <si>
    <t>Saraiya Pritesh Vinodkumar</t>
  </si>
  <si>
    <t>Selwadiya Bhamarlal Javerlalji</t>
  </si>
  <si>
    <t>Selwadiya Nalini Bhamarlal</t>
  </si>
  <si>
    <t>Selwadiya Dharamchand Gyanchandji</t>
  </si>
  <si>
    <t>Selwadiya Pushpa Dharamchand</t>
  </si>
  <si>
    <t>Selwadiya Rajkumar Dharamchand</t>
  </si>
  <si>
    <t>Selwadiya Jyoti Rajkumar</t>
  </si>
  <si>
    <t>Selwadiya Kashish Rajkumar</t>
  </si>
  <si>
    <t>Selwadiya Dhaval Bhavarlalji</t>
  </si>
  <si>
    <t>Selwadiya Sonal Dhavalkumar</t>
  </si>
  <si>
    <t>Selwadiya Niyati Dhavalkumar</t>
  </si>
  <si>
    <t>Selwadiya Arnav Dhavalkumar</t>
  </si>
  <si>
    <t>Selwadiya Hathisingh Javerlalji</t>
  </si>
  <si>
    <t>Selwadiya Aruna Hathisingh</t>
  </si>
  <si>
    <t>Selwadiya Paresh Javerlalji</t>
  </si>
  <si>
    <t>Selwadiya Sanjeevkumar Hathisingh</t>
  </si>
  <si>
    <t>Selwadiya Ketki Sanjeevkumar</t>
  </si>
  <si>
    <t>Selwadiya Aditya Sanjeevkumar</t>
  </si>
  <si>
    <t>Selwadiya Mansukhlal Mohanlalji</t>
  </si>
  <si>
    <t>Selwadiya Manjula Mansukhlal</t>
  </si>
  <si>
    <t>Selwadiya Monish Mansukhlal</t>
  </si>
  <si>
    <t>Selwadiya Pravinkumar Mohanlalji</t>
  </si>
  <si>
    <t>Selwadiya Saroj Pravinkumar</t>
  </si>
  <si>
    <t>Selwadiya Purvi Pravinkumar</t>
  </si>
  <si>
    <t>Selwadiya Bhoomi Pravinkumar</t>
  </si>
  <si>
    <t>Selwadiya Karishma Pravinkumar</t>
  </si>
  <si>
    <t>Selwadiya Mihir Pravinkumar</t>
  </si>
  <si>
    <t>Selwadiya Rajeshkumar Chandulalji</t>
  </si>
  <si>
    <t>Selwadiya Kavita Rajeshkumar</t>
  </si>
  <si>
    <t>Selwadiya Grusha Rajeshkumar</t>
  </si>
  <si>
    <t>Selwadiya Chandulal Nathulal</t>
  </si>
  <si>
    <t>Selwadiya Soubhagyavati Chandulalji</t>
  </si>
  <si>
    <t>Selwadiya Valchand Mohanlalji</t>
  </si>
  <si>
    <t>Selwadiya Vimla Valchand</t>
  </si>
  <si>
    <t>Selwadiya Kamal Valchand</t>
  </si>
  <si>
    <t>Selwadiya Leena Kamalkumar</t>
  </si>
  <si>
    <t>Selwadiya Devang Kamalkumar</t>
  </si>
  <si>
    <t>Selwadiya Ishika Kamalkumar</t>
  </si>
  <si>
    <t>Seth Ajitkumar Vipinchandra</t>
  </si>
  <si>
    <t>Seth Pragyashri Ajitkumar</t>
  </si>
  <si>
    <t>Seth Hardik Ajitkumar</t>
  </si>
  <si>
    <t>Seth Animesh Shantilalji</t>
  </si>
  <si>
    <t>Seth Neha Animeshkumar</t>
  </si>
  <si>
    <t>Seth Arvindkumar Surajmalji</t>
  </si>
  <si>
    <t>Seth Madhubala Arvindkumar</t>
  </si>
  <si>
    <t>Seth Chandresh Arvindkumar</t>
  </si>
  <si>
    <t>Seth Komal Chandresh</t>
  </si>
  <si>
    <t xml:space="preserve">Seth  </t>
  </si>
  <si>
    <t>Seth Malay Chandresh</t>
  </si>
  <si>
    <t>Seth Ashokkumar Vasantlalji</t>
  </si>
  <si>
    <t>Seth Asha Ashokkumar</t>
  </si>
  <si>
    <t>Seth Arpita Ashokkumar</t>
  </si>
  <si>
    <t>Seth Avin Ashokkumar</t>
  </si>
  <si>
    <t>Seth Asha Vasantlalji</t>
  </si>
  <si>
    <t>Seth Chandrakant Bhamarlalji</t>
  </si>
  <si>
    <t>Seth Hemlata Chandrakant</t>
  </si>
  <si>
    <t>Seth Lavanyavati Bhamarlalji</t>
  </si>
  <si>
    <t>Seth Dharmesh Chandrakant</t>
  </si>
  <si>
    <t>Seth Trupti Dharmesh</t>
  </si>
  <si>
    <t>Seth Antarishk Dharmesh</t>
  </si>
  <si>
    <t>Seth Daksha Dilipkumarji</t>
  </si>
  <si>
    <t>Seth Amit Dilipkumarji</t>
  </si>
  <si>
    <t>Seth Sunny Dilipkumarji</t>
  </si>
  <si>
    <t>Seth Rahul Dilipkumarji</t>
  </si>
  <si>
    <t>Seth Mohanbai Kanhaiyalalji</t>
  </si>
  <si>
    <t>Seth Dinesh Kanhaiyalalji</t>
  </si>
  <si>
    <t>Seth Lata Dineshkumar</t>
  </si>
  <si>
    <t>Seth Raj Dineshkumar</t>
  </si>
  <si>
    <t>Seth Suresh Dineshkumar</t>
  </si>
  <si>
    <t>Seth Alpana Suresh</t>
  </si>
  <si>
    <t>Seth Aman Suresh</t>
  </si>
  <si>
    <t>Seth Atik Suresh</t>
  </si>
  <si>
    <t>Seth Anuksha Suresh</t>
  </si>
  <si>
    <t>Seth Dhanpal Shobhagmalji</t>
  </si>
  <si>
    <t>Seth Roopkundala Dhanpal</t>
  </si>
  <si>
    <t>Seth Minal Dhanpal</t>
  </si>
  <si>
    <t>Seth Hazarimal Ratanlalji</t>
  </si>
  <si>
    <t>Seth Deepakkumar Hazarimal</t>
  </si>
  <si>
    <t>Seth Sangeeta Deepakkumar</t>
  </si>
  <si>
    <t>Seth Neha Deepakkumar</t>
  </si>
  <si>
    <t>Seth Shailendrakumar Hazarimal</t>
  </si>
  <si>
    <t>Seth Jyoti Shailendrakumar</t>
  </si>
  <si>
    <t>Seth Shailee Shailendrakumar</t>
  </si>
  <si>
    <t>Seth Shriya Hazarimal</t>
  </si>
  <si>
    <t>Seth Mukeshkumar Mukeshkumar</t>
  </si>
  <si>
    <t>Seth Sheela Mukeshkumar</t>
  </si>
  <si>
    <t>Seth Mohit Mukeshkumar</t>
  </si>
  <si>
    <t>Seth Jitendrakumar Hazarimal</t>
  </si>
  <si>
    <t>Seth Aruna Jitendrakumar</t>
  </si>
  <si>
    <t>Seth Riya Jitendrakumar</t>
  </si>
  <si>
    <t>Seth Nidhi Jitendrakumar</t>
  </si>
  <si>
    <t>Seth Hemantkumar Surajmalji</t>
  </si>
  <si>
    <t>Seth Lata Hemantkumar</t>
  </si>
  <si>
    <t>Seth Ankit Hemantkumar</t>
  </si>
  <si>
    <t>Seth Avichal Hemantkumar</t>
  </si>
  <si>
    <t>Seth Kamalkumar Surajmalji</t>
  </si>
  <si>
    <t>Seth Kalpana Kamalkumar</t>
  </si>
  <si>
    <t>Seth Sachin Kamalkumar</t>
  </si>
  <si>
    <t>Seth Priya Kamalkumar</t>
  </si>
  <si>
    <t>Seth Kantaben Kisanlalji</t>
  </si>
  <si>
    <t>Seth Pushpaben Kisanlalji</t>
  </si>
  <si>
    <t>Seth Kailashchandra Chogalalji</t>
  </si>
  <si>
    <t>Seth Naina Kailashchandra</t>
  </si>
  <si>
    <t>Seth Ashish Kailashchandra</t>
  </si>
  <si>
    <t>Seth Chandana Kailashchandra</t>
  </si>
  <si>
    <t>Seth Vidyavati Jayantilalji</t>
  </si>
  <si>
    <t>Seth Kailash Jayantilalji</t>
  </si>
  <si>
    <t>Seth Monika Kailash</t>
  </si>
  <si>
    <t>Seth Payal Kailash</t>
  </si>
  <si>
    <t>Seth Prashant Kailash</t>
  </si>
  <si>
    <t>Seth Harish Jayantilalji</t>
  </si>
  <si>
    <t>Seth Ritu Harish</t>
  </si>
  <si>
    <t>Seth Ronak Harish</t>
  </si>
  <si>
    <t>Seth Mahendra Chogalalji</t>
  </si>
  <si>
    <t>Seth Paragi Mahendrakumar</t>
  </si>
  <si>
    <t>Seth Charmi Mahendrakumar</t>
  </si>
  <si>
    <t>Seth Ashita Mahendrakumar</t>
  </si>
  <si>
    <t>Seth Kruti Mahendrakumar</t>
  </si>
  <si>
    <t>Seth Mahipal Shobhagmalji</t>
  </si>
  <si>
    <t>Seth Mohini Mahipal</t>
  </si>
  <si>
    <t>Seth Manish Mahipal</t>
  </si>
  <si>
    <t>Seth Jaya Mahipal</t>
  </si>
  <si>
    <t>Seth Mansukhlal Jhamaklalji</t>
  </si>
  <si>
    <t>Seth Lalita Mansukhlal</t>
  </si>
  <si>
    <t>Seth Sunilkumar Mansukhlal</t>
  </si>
  <si>
    <t>Seth Shefali Sunilkumar</t>
  </si>
  <si>
    <t>Seth Preksha Sunilkumar</t>
  </si>
  <si>
    <t>Seth Komal Sunilkumar</t>
  </si>
  <si>
    <t>Seth Manju Navinchandraji</t>
  </si>
  <si>
    <t>Seth Riddhi Navinchandraji</t>
  </si>
  <si>
    <t>Seth Siddhi Navinchandraji</t>
  </si>
  <si>
    <t>Seth Ankit Navinchandraji</t>
  </si>
  <si>
    <t>Seth Nareshkumar Shantilalji</t>
  </si>
  <si>
    <t>Seth Sangeeta Nareshkumar</t>
  </si>
  <si>
    <t>Seth Ushma Nareshkumar</t>
  </si>
  <si>
    <t>Seth Anchal Nareshkumar</t>
  </si>
  <si>
    <t>Seth Rajnikant Surajmalji</t>
  </si>
  <si>
    <t>Seth Kusum Rajnikant</t>
  </si>
  <si>
    <t>Seth Ashish Rajnikant</t>
  </si>
  <si>
    <t>Seth Rajiv Rajnikant</t>
  </si>
  <si>
    <t>Seth Bhavna Rajiv</t>
  </si>
  <si>
    <t>Seth Girish Surajmalji</t>
  </si>
  <si>
    <t>Seth Rameshkumar Vasantlalji</t>
  </si>
  <si>
    <t>Seth Niranjana Rameshkumar</t>
  </si>
  <si>
    <t>Seth Prashant Rameshkumar</t>
  </si>
  <si>
    <t>Seth Chitra Prashantkumar</t>
  </si>
  <si>
    <t>Seth Nishant Rameshkumar</t>
  </si>
  <si>
    <t>Seth Gunjan Rameshkumar</t>
  </si>
  <si>
    <t>Seth Ravindrakumar Kuvarlalji</t>
  </si>
  <si>
    <t>Seth Mamta Ravindrakumar</t>
  </si>
  <si>
    <t>Seth Ashish Ravindrakumar</t>
  </si>
  <si>
    <t>Seth Jignesh Ravindrakumar</t>
  </si>
  <si>
    <t>Seth Jinal Ravindrakumar</t>
  </si>
  <si>
    <t>Seth Gunmala Kuvarlalji</t>
  </si>
  <si>
    <t>Seth Rajeshkumar Shobhagmalji</t>
  </si>
  <si>
    <t>Seth Samta Rajeshkumar</t>
  </si>
  <si>
    <t>Seth Purvi Rajeshkumar</t>
  </si>
  <si>
    <t>Seth Ronak Rajeshkumar</t>
  </si>
  <si>
    <t>Seth Rajendrakumar Maneklalji</t>
  </si>
  <si>
    <t>Seth Ashoka Rajendrakumar</t>
  </si>
  <si>
    <t>Seth Kesarbai Maneklalji</t>
  </si>
  <si>
    <t>Seth Rajendrakumar Nandlalji</t>
  </si>
  <si>
    <t>Seth Kantadevi Rajendrakumar</t>
  </si>
  <si>
    <t>Seth Mahavirkumar Rajendrakumar</t>
  </si>
  <si>
    <t>Seth Sarita Mahavirkumar</t>
  </si>
  <si>
    <t>Seth Loukik Mahavirkumar</t>
  </si>
  <si>
    <t>Seth Ojaswi Mahavirkumar</t>
  </si>
  <si>
    <t>Seth Prerna Mahavirkumar</t>
  </si>
  <si>
    <t>Seth Rakeshkumar Kailashchandraji</t>
  </si>
  <si>
    <t>Seth Ramila Rajeshkumar</t>
  </si>
  <si>
    <t>Seth Urvi Rajeshkumar</t>
  </si>
  <si>
    <t>Seth Sanatkumar Chogalalji</t>
  </si>
  <si>
    <t>Seth Rekha Sanatkumar</t>
  </si>
  <si>
    <t>Seth Chandrakuvar Chogalalji</t>
  </si>
  <si>
    <t>Seth Pooja Sanatkumar</t>
  </si>
  <si>
    <t>Seth Hina Sanatkumar</t>
  </si>
  <si>
    <t>Seth Jay Sanatkumar</t>
  </si>
  <si>
    <t>Seth Sudarshan Mansukhlal</t>
  </si>
  <si>
    <t>Seth Sangeeta Sudarshan</t>
  </si>
  <si>
    <t>Seth Pallavi Sudarshan</t>
  </si>
  <si>
    <t>Seth Priyanka Sudarshan</t>
  </si>
  <si>
    <t>Seth Sunil Gyanchandji</t>
  </si>
  <si>
    <t>Seth Sangeeta Sunilkumar</t>
  </si>
  <si>
    <t>Seth Apurv Sunilkumar</t>
  </si>
  <si>
    <t>Seth Prakshal Sunilkumar</t>
  </si>
  <si>
    <t>Seth Gyanchandra Nandlalji</t>
  </si>
  <si>
    <t>Seth Kumkumdevi Gyanchandji</t>
  </si>
  <si>
    <t>Seth Subodh Gyanchandji</t>
  </si>
  <si>
    <t>Seth Asha Subodh</t>
  </si>
  <si>
    <t>Seth Vaibhav Subodh</t>
  </si>
  <si>
    <t>Seth Shraddha Subodh</t>
  </si>
  <si>
    <t>Seth Sumitra Gyanchandji</t>
  </si>
  <si>
    <t>Seth Rasna Sumitra</t>
  </si>
  <si>
    <t>Seth Abhishek Sumitra</t>
  </si>
  <si>
    <t>Seth Pranali Sumitra</t>
  </si>
  <si>
    <t>Seth Sushilkumar Bhuralalji</t>
  </si>
  <si>
    <t>Seth Rajkumari Sushilkumar</t>
  </si>
  <si>
    <t>Seth Rachna Sushilkumar</t>
  </si>
  <si>
    <t>Seth Piyushkumar Sushilkumar</t>
  </si>
  <si>
    <t>Seth Shakuntala Vimalchandraji</t>
  </si>
  <si>
    <t>Seth Sheetal Vimalchandraji</t>
  </si>
  <si>
    <t>Seth Atulkumar Vimalchandraji</t>
  </si>
  <si>
    <t>Seth Sashikant Surajmalji</t>
  </si>
  <si>
    <t>Seth Rajshri Sashikant</t>
  </si>
  <si>
    <t>Seth Sirish Sashikant</t>
  </si>
  <si>
    <t>Seth Jyoti Sirish</t>
  </si>
  <si>
    <t>Seth Harshika Sirish</t>
  </si>
  <si>
    <t>Seth Manish Sashikant</t>
  </si>
  <si>
    <t>Seth Hemal Manish</t>
  </si>
  <si>
    <t>Seth Harish Sashikant</t>
  </si>
  <si>
    <t>Seth Meetu Harish</t>
  </si>
  <si>
    <t>Seth Vidhan Harish</t>
  </si>
  <si>
    <t>Seth Chandrakanta Kailashchandraji</t>
  </si>
  <si>
    <t>Seth Shailendrakumar Kailashchandraji</t>
  </si>
  <si>
    <t>Seth Sangeeta Shailendrakumar</t>
  </si>
  <si>
    <t>Seth Shivani Shailendrakumar</t>
  </si>
  <si>
    <t>Seth Taraben Chandmalji</t>
  </si>
  <si>
    <t>Seth Dhanyakumari Chandmalji</t>
  </si>
  <si>
    <t>Seth Lalita Chandmalji</t>
  </si>
  <si>
    <t>Seth Chameli Chandmalji</t>
  </si>
  <si>
    <t>Seth Vasantlal Kanhaiyalalji</t>
  </si>
  <si>
    <t>Seth Minaben Vasantlal</t>
  </si>
  <si>
    <t>Seth Sehul Vasantlal</t>
  </si>
  <si>
    <t>Seth Namita Sehul</t>
  </si>
  <si>
    <t>Seth Hiral Sehul</t>
  </si>
  <si>
    <t>Seth Parth Sehul</t>
  </si>
  <si>
    <t>Seth Gunmala Devendrakumarji</t>
  </si>
  <si>
    <t>Seth Vaibhav Devendrakumarji</t>
  </si>
  <si>
    <t>Seth Harsha Vaibhav</t>
  </si>
  <si>
    <t>Seth Aditya Vaibhav</t>
  </si>
  <si>
    <t>Seth Kalpak Vaibhav</t>
  </si>
  <si>
    <t>Seth Vikas Devendrakumarji</t>
  </si>
  <si>
    <t>Seth Varsha Vikas</t>
  </si>
  <si>
    <t>Seth Vidhi Vikas</t>
  </si>
  <si>
    <t>Seth Virendrakumar Vijaykumarji</t>
  </si>
  <si>
    <t>Seth Shantilal Keshrimalji</t>
  </si>
  <si>
    <t>Seth Sugandhben Shantilal</t>
  </si>
  <si>
    <t>Seth Vijaykumar Shantilal</t>
  </si>
  <si>
    <t>Seth Nayna Vijaykumar</t>
  </si>
  <si>
    <t>Seth Palak Vijaykumar</t>
  </si>
  <si>
    <t>Seth Vipinchandra Jhamaklalji</t>
  </si>
  <si>
    <t>Seth Vijaylaxmi Vipinchandra</t>
  </si>
  <si>
    <t>Seth Mahavir Vipinchandra</t>
  </si>
  <si>
    <t>Seth Preeti Mahavir</t>
  </si>
  <si>
    <t>Seth Vishita Mahavir</t>
  </si>
  <si>
    <t>Seth Nehal Mahavir</t>
  </si>
  <si>
    <t>Soni Hansmukhlal Bhavarlaljia</t>
  </si>
  <si>
    <t>Soni Chandraprabha Hansmukhlal</t>
  </si>
  <si>
    <t>Soni Satish Hansmukhlal</t>
  </si>
  <si>
    <t>Soni Renuka Satish</t>
  </si>
  <si>
    <t>Soni Varun Satish</t>
  </si>
  <si>
    <t>Soni Hemantkumar Vardhmanji</t>
  </si>
  <si>
    <t>Soni Mankuvar Hemantkumar</t>
  </si>
  <si>
    <t>Soni Ruchi Hemantkumar</t>
  </si>
  <si>
    <t>Soni Ekansh Hemantkumar</t>
  </si>
  <si>
    <t>Soni Ayush Hemantkumar</t>
  </si>
  <si>
    <t>Name</t>
  </si>
  <si>
    <t>H</t>
  </si>
  <si>
    <t>Soni AyushHemantkumar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</si>
</sst>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/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/>
    <xf numFmtId="14" fontId="0" fillId="0" borderId="2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0" xfId="0" applyFill="1" applyBorder="1"/>
    <xf numFmtId="14" fontId="2" fillId="2" borderId="8" xfId="0" applyNumberFormat="1" applyFon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0" borderId="13" xfId="0" applyNumberFormat="1" applyBorder="1"/>
    <xf numFmtId="14" fontId="0" fillId="0" borderId="14" xfId="0" applyNumberFormat="1" applyBorder="1" applyAlignment="1">
      <alignment horizontal="center"/>
    </xf>
    <xf numFmtId="0" fontId="0" fillId="0" borderId="14" xfId="0" applyBorder="1"/>
    <xf numFmtId="0" fontId="0" fillId="0" borderId="14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14" fontId="2" fillId="2" borderId="0" xfId="0" applyNumberFormat="1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2" borderId="11" xfId="0" applyFont="1" applyFill="1" applyBorder="1"/>
    <xf numFmtId="14" fontId="2" fillId="2" borderId="5" xfId="0" applyNumberFormat="1" applyFont="1" applyFill="1" applyBorder="1"/>
    <xf numFmtId="0" fontId="2" fillId="2" borderId="0" xfId="0" applyFont="1" applyFill="1" applyBorder="1"/>
    <xf numFmtId="0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/>
    <xf numFmtId="14" fontId="0" fillId="2" borderId="7" xfId="0" applyNumberFormat="1" applyFill="1" applyBorder="1"/>
    <xf numFmtId="0" fontId="0" fillId="2" borderId="8" xfId="0" applyFill="1" applyBorder="1"/>
    <xf numFmtId="0" fontId="0" fillId="2" borderId="8" xfId="0" applyNumberFormat="1" applyFill="1" applyBorder="1"/>
    <xf numFmtId="0" fontId="0" fillId="2" borderId="8" xfId="0" applyFill="1" applyBorder="1" applyAlignment="1">
      <alignment horizontal="center"/>
    </xf>
    <xf numFmtId="0" fontId="0" fillId="2" borderId="15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4" xfId="0" applyFill="1" applyBorder="1"/>
    <xf numFmtId="14" fontId="2" fillId="3" borderId="0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2" fillId="2" borderId="5" xfId="0" applyFont="1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3" xfId="0" applyFill="1" applyBorder="1"/>
    <xf numFmtId="0" fontId="2" fillId="2" borderId="12" xfId="0" applyFont="1" applyFill="1" applyBorder="1"/>
    <xf numFmtId="0" fontId="0" fillId="0" borderId="0" xfId="0" applyFill="1"/>
    <xf numFmtId="14" fontId="0" fillId="2" borderId="3" xfId="0" applyNumberForma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0" fontId="0" fillId="2" borderId="0" xfId="0" applyFill="1" applyBorder="1"/>
    <xf numFmtId="0" fontId="0" fillId="0" borderId="3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16" xfId="0" applyBorder="1"/>
    <xf numFmtId="0" fontId="0" fillId="0" borderId="16" xfId="0" applyFill="1" applyBorder="1"/>
    <xf numFmtId="0" fontId="2" fillId="2" borderId="16" xfId="0" applyFont="1" applyFill="1" applyBorder="1"/>
    <xf numFmtId="0" fontId="0" fillId="2" borderId="16" xfId="0" applyFill="1" applyBorder="1"/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14" fontId="2" fillId="2" borderId="0" xfId="0" applyNumberFormat="1" applyFont="1" applyFill="1" applyBorder="1"/>
    <xf numFmtId="14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M19" sqref="M19"/>
    </sheetView>
  </sheetViews>
  <sheetFormatPr defaultRowHeight="15"/>
  <cols>
    <col min="1" max="1" width="11.42578125" customWidth="1"/>
    <col min="2" max="2" width="26.7109375" customWidth="1"/>
    <col min="3" max="3" width="10.42578125" hidden="1" customWidth="1"/>
    <col min="4" max="4" width="12" style="3" customWidth="1"/>
    <col min="5" max="6" width="0" hidden="1" customWidth="1"/>
    <col min="7" max="7" width="11" hidden="1" customWidth="1"/>
    <col min="8" max="8" width="9.140625" style="3"/>
    <col min="9" max="9" width="16.28515625" customWidth="1"/>
    <col min="20" max="20" width="15" customWidth="1"/>
  </cols>
  <sheetData>
    <row r="1" spans="1:20">
      <c r="A1" s="1" t="s">
        <v>3</v>
      </c>
      <c r="D1" s="3" t="s">
        <v>21</v>
      </c>
      <c r="H1" s="3" t="s">
        <v>22</v>
      </c>
      <c r="I1" t="s">
        <v>34</v>
      </c>
    </row>
    <row r="2" spans="1:20">
      <c r="A2" s="1"/>
    </row>
    <row r="3" spans="1:20">
      <c r="A3" t="s">
        <v>8</v>
      </c>
      <c r="B3" s="2" t="s">
        <v>36</v>
      </c>
      <c r="C3" s="2">
        <f ca="1">TODAY()</f>
        <v>40951</v>
      </c>
      <c r="D3" s="5">
        <f>DATE(1943,2,10)</f>
        <v>15747</v>
      </c>
      <c r="E3">
        <f t="shared" ref="E3:E22" ca="1" si="0">YEAR(C3)-YEAR(D3)</f>
        <v>69</v>
      </c>
      <c r="F3">
        <f t="shared" ref="F3:F22" ca="1" si="1">MONTH(C3)-MONTH(D3)</f>
        <v>0</v>
      </c>
      <c r="G3" s="4">
        <f t="shared" ref="G3:G22" ca="1" si="2">DAY(C3)-DAY(D3)</f>
        <v>2</v>
      </c>
      <c r="H3" s="3">
        <f ca="1">IF(F3&lt;0,E3-1,IF(F3&gt;0,E3,IF(G3&lt;0,E3-1,E3)))</f>
        <v>69</v>
      </c>
      <c r="I3" t="s">
        <v>23</v>
      </c>
      <c r="S3" t="s">
        <v>4</v>
      </c>
      <c r="T3" t="s">
        <v>23</v>
      </c>
    </row>
    <row r="4" spans="1:20">
      <c r="B4" s="2" t="s">
        <v>37</v>
      </c>
      <c r="C4" s="2">
        <f ca="1">TODAY()</f>
        <v>40951</v>
      </c>
      <c r="D4" s="5">
        <f>DATE(1947,7,17)</f>
        <v>17365</v>
      </c>
      <c r="E4">
        <f t="shared" ca="1" si="0"/>
        <v>65</v>
      </c>
      <c r="F4">
        <f t="shared" ca="1" si="1"/>
        <v>-5</v>
      </c>
      <c r="G4" s="4">
        <f t="shared" ca="1" si="2"/>
        <v>-5</v>
      </c>
      <c r="H4" s="3">
        <f ca="1">IF(F4&lt;0,E4-1,IF(F4&gt;0,E4,IF(G4&lt;0,E4-1,E4)))</f>
        <v>64</v>
      </c>
      <c r="I4" t="s">
        <v>25</v>
      </c>
      <c r="S4" t="s">
        <v>1</v>
      </c>
      <c r="T4" t="s">
        <v>24</v>
      </c>
    </row>
    <row r="5" spans="1:20">
      <c r="B5" s="2" t="s">
        <v>38</v>
      </c>
      <c r="C5" s="2">
        <f ca="1">TODAY()</f>
        <v>40951</v>
      </c>
      <c r="D5" s="5">
        <f>DATE(1974,9,2)</f>
        <v>27274</v>
      </c>
      <c r="E5">
        <f t="shared" ca="1" si="0"/>
        <v>38</v>
      </c>
      <c r="F5">
        <f t="shared" ca="1" si="1"/>
        <v>-7</v>
      </c>
      <c r="G5" s="4">
        <f t="shared" ca="1" si="2"/>
        <v>10</v>
      </c>
      <c r="H5" s="3">
        <f ca="1">IF(F5&lt;0,E5-1,IF(F5&gt;0,E5,IF(G5&lt;0,E5-1,E5)))</f>
        <v>37</v>
      </c>
      <c r="I5" t="s">
        <v>28</v>
      </c>
      <c r="S5" t="s">
        <v>5</v>
      </c>
      <c r="T5" t="s">
        <v>25</v>
      </c>
    </row>
    <row r="6" spans="1:20">
      <c r="B6" s="2" t="s">
        <v>39</v>
      </c>
      <c r="C6" s="2">
        <f t="shared" ref="C6:C22" ca="1" si="3">TODAY()</f>
        <v>40951</v>
      </c>
      <c r="D6" s="5">
        <f>DATE(1978,9,28)</f>
        <v>28761</v>
      </c>
      <c r="E6">
        <f t="shared" ca="1" si="0"/>
        <v>34</v>
      </c>
      <c r="F6">
        <f t="shared" ca="1" si="1"/>
        <v>-7</v>
      </c>
      <c r="G6" s="4">
        <f t="shared" ca="1" si="2"/>
        <v>-16</v>
      </c>
      <c r="H6" s="3">
        <f ca="1">IF(F6&lt;0,E6-1,IF(F6&gt;0,E6,IF(G6&lt;0,E6-1,E6)))</f>
        <v>33</v>
      </c>
      <c r="I6" t="s">
        <v>35</v>
      </c>
      <c r="S6" t="s">
        <v>6</v>
      </c>
      <c r="T6" t="s">
        <v>26</v>
      </c>
    </row>
    <row r="7" spans="1:20">
      <c r="B7" s="2"/>
      <c r="C7" s="2">
        <f t="shared" ca="1" si="3"/>
        <v>40951</v>
      </c>
      <c r="E7">
        <f t="shared" ca="1" si="0"/>
        <v>112</v>
      </c>
      <c r="F7">
        <f t="shared" ca="1" si="1"/>
        <v>1</v>
      </c>
      <c r="G7" s="4">
        <f t="shared" ca="1" si="2"/>
        <v>12</v>
      </c>
      <c r="S7" t="s">
        <v>2</v>
      </c>
      <c r="T7" t="s">
        <v>27</v>
      </c>
    </row>
    <row r="8" spans="1:20">
      <c r="B8" s="2"/>
      <c r="C8" s="2">
        <f t="shared" ca="1" si="3"/>
        <v>40951</v>
      </c>
      <c r="E8">
        <f t="shared" ca="1" si="0"/>
        <v>112</v>
      </c>
      <c r="F8">
        <f t="shared" ca="1" si="1"/>
        <v>1</v>
      </c>
      <c r="G8" s="4">
        <f t="shared" ca="1" si="2"/>
        <v>12</v>
      </c>
      <c r="S8" t="s">
        <v>7</v>
      </c>
      <c r="T8" t="s">
        <v>28</v>
      </c>
    </row>
    <row r="9" spans="1:20">
      <c r="B9" s="2"/>
      <c r="C9" s="2">
        <f t="shared" ca="1" si="3"/>
        <v>40951</v>
      </c>
      <c r="E9">
        <f t="shared" ca="1" si="0"/>
        <v>112</v>
      </c>
      <c r="F9">
        <f t="shared" ca="1" si="1"/>
        <v>1</v>
      </c>
      <c r="G9" s="4">
        <f t="shared" ca="1" si="2"/>
        <v>12</v>
      </c>
      <c r="S9" t="s">
        <v>8</v>
      </c>
      <c r="T9" t="s">
        <v>29</v>
      </c>
    </row>
    <row r="10" spans="1:20">
      <c r="B10" s="2"/>
      <c r="C10" s="2">
        <f t="shared" ca="1" si="3"/>
        <v>40951</v>
      </c>
      <c r="E10">
        <f t="shared" ca="1" si="0"/>
        <v>112</v>
      </c>
      <c r="F10">
        <f t="shared" ca="1" si="1"/>
        <v>1</v>
      </c>
      <c r="G10" s="4">
        <f t="shared" ca="1" si="2"/>
        <v>12</v>
      </c>
      <c r="S10" t="s">
        <v>9</v>
      </c>
      <c r="T10" t="s">
        <v>35</v>
      </c>
    </row>
    <row r="11" spans="1:20">
      <c r="B11" s="2"/>
      <c r="C11" s="2">
        <f t="shared" ca="1" si="3"/>
        <v>40951</v>
      </c>
      <c r="E11">
        <f t="shared" ca="1" si="0"/>
        <v>112</v>
      </c>
      <c r="F11">
        <f t="shared" ca="1" si="1"/>
        <v>1</v>
      </c>
      <c r="G11" s="4">
        <f t="shared" ca="1" si="2"/>
        <v>12</v>
      </c>
      <c r="S11" t="s">
        <v>10</v>
      </c>
      <c r="T11" t="s">
        <v>30</v>
      </c>
    </row>
    <row r="12" spans="1:20">
      <c r="B12" s="2"/>
      <c r="C12" s="2">
        <f t="shared" ca="1" si="3"/>
        <v>40951</v>
      </c>
      <c r="E12">
        <f t="shared" ca="1" si="0"/>
        <v>112</v>
      </c>
      <c r="F12">
        <f t="shared" ca="1" si="1"/>
        <v>1</v>
      </c>
      <c r="G12" s="4">
        <f t="shared" ca="1" si="2"/>
        <v>12</v>
      </c>
      <c r="S12" t="s">
        <v>11</v>
      </c>
      <c r="T12" t="s">
        <v>31</v>
      </c>
    </row>
    <row r="13" spans="1:20">
      <c r="B13" s="2"/>
      <c r="C13" s="2">
        <f t="shared" ca="1" si="3"/>
        <v>40951</v>
      </c>
      <c r="E13">
        <f t="shared" ca="1" si="0"/>
        <v>112</v>
      </c>
      <c r="F13">
        <f t="shared" ca="1" si="1"/>
        <v>1</v>
      </c>
      <c r="G13" s="4">
        <f t="shared" ca="1" si="2"/>
        <v>12</v>
      </c>
      <c r="S13" t="s">
        <v>12</v>
      </c>
      <c r="T13" t="s">
        <v>32</v>
      </c>
    </row>
    <row r="14" spans="1:20">
      <c r="B14" s="2"/>
      <c r="C14" s="2">
        <f t="shared" ca="1" si="3"/>
        <v>40951</v>
      </c>
      <c r="E14">
        <f t="shared" ca="1" si="0"/>
        <v>112</v>
      </c>
      <c r="F14">
        <f t="shared" ca="1" si="1"/>
        <v>1</v>
      </c>
      <c r="G14" s="4">
        <f t="shared" ca="1" si="2"/>
        <v>12</v>
      </c>
      <c r="S14" t="s">
        <v>13</v>
      </c>
      <c r="T14" t="s">
        <v>33</v>
      </c>
    </row>
    <row r="15" spans="1:20">
      <c r="B15" s="2"/>
      <c r="C15" s="2">
        <f t="shared" ca="1" si="3"/>
        <v>40951</v>
      </c>
      <c r="E15">
        <f t="shared" ca="1" si="0"/>
        <v>112</v>
      </c>
      <c r="F15">
        <f t="shared" ca="1" si="1"/>
        <v>1</v>
      </c>
      <c r="G15" s="4">
        <f t="shared" ca="1" si="2"/>
        <v>12</v>
      </c>
      <c r="S15" t="s">
        <v>14</v>
      </c>
    </row>
    <row r="16" spans="1:20">
      <c r="B16" s="2"/>
      <c r="C16" s="2">
        <f t="shared" ca="1" si="3"/>
        <v>40951</v>
      </c>
      <c r="E16">
        <f t="shared" ca="1" si="0"/>
        <v>112</v>
      </c>
      <c r="F16">
        <f t="shared" ca="1" si="1"/>
        <v>1</v>
      </c>
      <c r="G16" s="4">
        <f t="shared" ca="1" si="2"/>
        <v>12</v>
      </c>
      <c r="S16" t="s">
        <v>15</v>
      </c>
    </row>
    <row r="17" spans="2:19">
      <c r="B17" s="2"/>
      <c r="C17" s="2">
        <f t="shared" ca="1" si="3"/>
        <v>40951</v>
      </c>
      <c r="E17">
        <f t="shared" ca="1" si="0"/>
        <v>112</v>
      </c>
      <c r="F17">
        <f t="shared" ca="1" si="1"/>
        <v>1</v>
      </c>
      <c r="G17" s="4">
        <f t="shared" ca="1" si="2"/>
        <v>12</v>
      </c>
      <c r="S17" t="s">
        <v>16</v>
      </c>
    </row>
    <row r="18" spans="2:19">
      <c r="B18" s="2"/>
      <c r="C18" s="2">
        <f t="shared" ca="1" si="3"/>
        <v>40951</v>
      </c>
      <c r="E18">
        <f t="shared" ca="1" si="0"/>
        <v>112</v>
      </c>
      <c r="F18">
        <f t="shared" ca="1" si="1"/>
        <v>1</v>
      </c>
      <c r="G18" s="4">
        <f t="shared" ca="1" si="2"/>
        <v>12</v>
      </c>
      <c r="S18" t="s">
        <v>17</v>
      </c>
    </row>
    <row r="19" spans="2:19">
      <c r="B19" s="2"/>
      <c r="C19" s="2">
        <f t="shared" ca="1" si="3"/>
        <v>40951</v>
      </c>
      <c r="E19">
        <f t="shared" ca="1" si="0"/>
        <v>112</v>
      </c>
      <c r="F19">
        <f t="shared" ca="1" si="1"/>
        <v>1</v>
      </c>
      <c r="G19" s="4">
        <f t="shared" ca="1" si="2"/>
        <v>12</v>
      </c>
      <c r="S19" t="s">
        <v>18</v>
      </c>
    </row>
    <row r="20" spans="2:19">
      <c r="B20" s="2"/>
      <c r="C20" s="2">
        <f t="shared" ca="1" si="3"/>
        <v>40951</v>
      </c>
      <c r="E20">
        <f t="shared" ca="1" si="0"/>
        <v>112</v>
      </c>
      <c r="F20">
        <f t="shared" ca="1" si="1"/>
        <v>1</v>
      </c>
      <c r="G20" s="4">
        <f t="shared" ca="1" si="2"/>
        <v>12</v>
      </c>
      <c r="S20" t="s">
        <v>19</v>
      </c>
    </row>
    <row r="21" spans="2:19">
      <c r="B21" s="2"/>
      <c r="C21" s="2">
        <f t="shared" ca="1" si="3"/>
        <v>40951</v>
      </c>
      <c r="E21">
        <f t="shared" ca="1" si="0"/>
        <v>112</v>
      </c>
      <c r="F21">
        <f t="shared" ca="1" si="1"/>
        <v>1</v>
      </c>
      <c r="G21" s="4">
        <f t="shared" ca="1" si="2"/>
        <v>12</v>
      </c>
      <c r="S21" t="s">
        <v>20</v>
      </c>
    </row>
    <row r="22" spans="2:19">
      <c r="B22" s="2"/>
      <c r="C22" s="2">
        <f t="shared" ca="1" si="3"/>
        <v>40951</v>
      </c>
      <c r="E22">
        <f t="shared" ca="1" si="0"/>
        <v>112</v>
      </c>
      <c r="F22">
        <f t="shared" ca="1" si="1"/>
        <v>1</v>
      </c>
      <c r="G22" s="4">
        <f t="shared" ca="1" si="2"/>
        <v>12</v>
      </c>
      <c r="S22" t="s">
        <v>0</v>
      </c>
    </row>
  </sheetData>
  <dataValidations count="3">
    <dataValidation type="list" allowBlank="1" showInputMessage="1" showErrorMessage="1" sqref="I3:I6">
      <formula1>$T$3:$T$14</formula1>
    </dataValidation>
    <dataValidation type="list" allowBlank="1" showInputMessage="1" showErrorMessage="1" sqref="A4:A10">
      <formula1>$H$1:$H$4</formula1>
    </dataValidation>
    <dataValidation type="list" allowBlank="1" showInputMessage="1" showErrorMessage="1" sqref="A3">
      <formula1>$S$3:$S$22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57"/>
  <sheetViews>
    <sheetView tabSelected="1" topLeftCell="C1647" workbookViewId="0">
      <selection activeCell="D1658" sqref="D1658"/>
    </sheetView>
  </sheetViews>
  <sheetFormatPr defaultRowHeight="15"/>
  <cols>
    <col min="1" max="1" width="5" style="12" bestFit="1" customWidth="1"/>
    <col min="2" max="2" width="10" style="12" bestFit="1" customWidth="1"/>
    <col min="3" max="3" width="28.42578125" style="12" customWidth="1"/>
    <col min="4" max="4" width="30.140625" style="12" customWidth="1"/>
    <col min="5" max="5" width="10.42578125" style="12" customWidth="1"/>
    <col min="6" max="6" width="12" style="14" customWidth="1"/>
    <col min="7" max="8" width="9.140625" style="12" customWidth="1"/>
    <col min="9" max="9" width="11" style="12" customWidth="1"/>
    <col min="10" max="10" width="9.140625" style="14"/>
    <col min="11" max="16384" width="9.140625" style="12"/>
  </cols>
  <sheetData>
    <row r="1" spans="1:15">
      <c r="F1" s="14" t="s">
        <v>42</v>
      </c>
      <c r="J1" s="14" t="s">
        <v>22</v>
      </c>
      <c r="L1" s="12" t="s">
        <v>43</v>
      </c>
    </row>
    <row r="2" spans="1:15">
      <c r="A2" s="12">
        <v>1</v>
      </c>
      <c r="B2" s="12" t="s">
        <v>46</v>
      </c>
      <c r="C2" s="30" t="s">
        <v>521</v>
      </c>
      <c r="D2" s="30" t="s">
        <v>923</v>
      </c>
      <c r="E2" s="89">
        <f ca="1">TODAY()</f>
        <v>40951</v>
      </c>
      <c r="F2" s="11">
        <f>DATE(1943,2,10)</f>
        <v>15747</v>
      </c>
      <c r="G2" s="12">
        <f ca="1">YEAR(E2)-YEAR(F2)</f>
        <v>69</v>
      </c>
      <c r="H2" s="12">
        <f ca="1">MONTH(E2)-MONTH(F2)</f>
        <v>0</v>
      </c>
      <c r="I2" s="13">
        <f ca="1">DAY(E2)-DAY(F2)</f>
        <v>2</v>
      </c>
      <c r="J2" s="14">
        <f ca="1">IF(H2&lt;0,G2-1,IF(H2&gt;0,G2,IF(I2&lt;0,G2-1,G2)))</f>
        <v>69</v>
      </c>
      <c r="K2" s="12" t="s">
        <v>40</v>
      </c>
      <c r="L2" s="12">
        <v>1</v>
      </c>
      <c r="M2" s="12" t="s">
        <v>40</v>
      </c>
      <c r="N2" s="12">
        <v>1</v>
      </c>
      <c r="O2" s="90" t="s">
        <v>2748</v>
      </c>
    </row>
    <row r="3" spans="1:15">
      <c r="A3" s="12">
        <f>A2+1</f>
        <v>2</v>
      </c>
      <c r="B3" s="12" t="s">
        <v>46</v>
      </c>
      <c r="C3" s="30" t="s">
        <v>78</v>
      </c>
      <c r="D3" s="30" t="s">
        <v>521</v>
      </c>
      <c r="E3" s="89">
        <f t="shared" ref="E3:E28" ca="1" si="0">TODAY()</f>
        <v>40951</v>
      </c>
      <c r="F3" s="11">
        <f>DATE(50,2,2)</f>
        <v>18296</v>
      </c>
      <c r="G3" s="12">
        <f t="shared" ref="G3:G23" ca="1" si="1">YEAR(E3)-YEAR(F3)</f>
        <v>62</v>
      </c>
      <c r="H3" s="12">
        <f t="shared" ref="H3:H23" ca="1" si="2">MONTH(E3)-MONTH(F3)</f>
        <v>0</v>
      </c>
      <c r="I3" s="13">
        <f t="shared" ref="I3:I23" ca="1" si="3">DAY(E3)-DAY(F3)</f>
        <v>10</v>
      </c>
      <c r="J3" s="14">
        <f t="shared" ref="J3:J66" ca="1" si="4">IF(H3&lt;0,G3-1,IF(H3&gt;0,G3,IF(I3&lt;0,G3-1,G3)))</f>
        <v>62</v>
      </c>
      <c r="K3" s="12" t="s">
        <v>41</v>
      </c>
      <c r="L3" s="12">
        <v>1</v>
      </c>
      <c r="M3" s="12" t="s">
        <v>40</v>
      </c>
      <c r="N3" s="12">
        <v>1</v>
      </c>
    </row>
    <row r="4" spans="1:15">
      <c r="A4" s="12">
        <f t="shared" ref="A4:A28" si="5">A3+1</f>
        <v>3</v>
      </c>
      <c r="B4" s="12" t="s">
        <v>46</v>
      </c>
      <c r="C4" s="30" t="s">
        <v>1038</v>
      </c>
      <c r="D4" s="30" t="s">
        <v>521</v>
      </c>
      <c r="E4" s="89">
        <f t="shared" ca="1" si="0"/>
        <v>40951</v>
      </c>
      <c r="F4" s="11">
        <f>DATE(78,6,28)</f>
        <v>28669</v>
      </c>
      <c r="G4" s="12">
        <f t="shared" ca="1" si="1"/>
        <v>34</v>
      </c>
      <c r="H4" s="12">
        <f t="shared" ca="1" si="2"/>
        <v>-4</v>
      </c>
      <c r="I4" s="13">
        <f t="shared" ca="1" si="3"/>
        <v>-16</v>
      </c>
      <c r="J4" s="14">
        <f t="shared" ca="1" si="4"/>
        <v>33</v>
      </c>
      <c r="K4" s="12" t="s">
        <v>40</v>
      </c>
      <c r="L4" s="12">
        <v>1</v>
      </c>
      <c r="M4" s="12" t="s">
        <v>40</v>
      </c>
      <c r="N4" s="12">
        <v>1</v>
      </c>
    </row>
    <row r="5" spans="1:15">
      <c r="A5" s="12">
        <f t="shared" si="5"/>
        <v>4</v>
      </c>
      <c r="B5" s="12" t="s">
        <v>46</v>
      </c>
      <c r="C5" s="30" t="s">
        <v>129</v>
      </c>
      <c r="D5" s="30" t="s">
        <v>1038</v>
      </c>
      <c r="E5" s="89">
        <f t="shared" ca="1" si="0"/>
        <v>40951</v>
      </c>
      <c r="F5" s="11">
        <f>DATE(80,6,29)</f>
        <v>29401</v>
      </c>
      <c r="G5" s="12">
        <f t="shared" ca="1" si="1"/>
        <v>32</v>
      </c>
      <c r="H5" s="12">
        <f t="shared" ca="1" si="2"/>
        <v>-4</v>
      </c>
      <c r="I5" s="13">
        <f t="shared" ca="1" si="3"/>
        <v>-17</v>
      </c>
      <c r="J5" s="14">
        <f t="shared" ca="1" si="4"/>
        <v>31</v>
      </c>
      <c r="K5" s="12" t="s">
        <v>41</v>
      </c>
      <c r="L5" s="12">
        <v>1</v>
      </c>
      <c r="M5" s="12" t="s">
        <v>40</v>
      </c>
      <c r="N5" s="12">
        <v>1</v>
      </c>
    </row>
    <row r="6" spans="1:15">
      <c r="A6" s="12">
        <f t="shared" si="5"/>
        <v>5</v>
      </c>
      <c r="B6" s="12" t="s">
        <v>46</v>
      </c>
      <c r="C6" s="30" t="s">
        <v>1039</v>
      </c>
      <c r="D6" s="30" t="s">
        <v>923</v>
      </c>
      <c r="E6" s="89">
        <f t="shared" ca="1" si="0"/>
        <v>40951</v>
      </c>
      <c r="F6" s="11">
        <f>DATE(51,7,1)</f>
        <v>18810</v>
      </c>
      <c r="G6" s="12">
        <f t="shared" ca="1" si="1"/>
        <v>61</v>
      </c>
      <c r="H6" s="12">
        <f t="shared" ca="1" si="2"/>
        <v>-5</v>
      </c>
      <c r="I6" s="13">
        <f t="shared" ca="1" si="3"/>
        <v>11</v>
      </c>
      <c r="J6" s="14">
        <f t="shared" ca="1" si="4"/>
        <v>60</v>
      </c>
      <c r="K6" s="12" t="s">
        <v>40</v>
      </c>
      <c r="L6" s="12">
        <v>1</v>
      </c>
      <c r="M6" s="12" t="s">
        <v>40</v>
      </c>
      <c r="N6" s="12">
        <v>2</v>
      </c>
      <c r="O6" s="90" t="s">
        <v>2748</v>
      </c>
    </row>
    <row r="7" spans="1:15">
      <c r="A7" s="12">
        <f t="shared" si="5"/>
        <v>6</v>
      </c>
      <c r="B7" s="12" t="s">
        <v>46</v>
      </c>
      <c r="C7" s="30" t="s">
        <v>1073</v>
      </c>
      <c r="D7" s="30" t="s">
        <v>1039</v>
      </c>
      <c r="E7" s="89">
        <f t="shared" ca="1" si="0"/>
        <v>40951</v>
      </c>
      <c r="F7" s="11">
        <f>DATE(42,4,29)</f>
        <v>15460</v>
      </c>
      <c r="G7" s="12">
        <f t="shared" ca="1" si="1"/>
        <v>70</v>
      </c>
      <c r="H7" s="12">
        <f t="shared" ca="1" si="2"/>
        <v>-2</v>
      </c>
      <c r="I7" s="13">
        <f t="shared" ca="1" si="3"/>
        <v>-17</v>
      </c>
      <c r="J7" s="14">
        <f t="shared" ca="1" si="4"/>
        <v>69</v>
      </c>
      <c r="K7" s="12" t="s">
        <v>41</v>
      </c>
      <c r="L7" s="12">
        <v>1</v>
      </c>
      <c r="M7" s="12" t="s">
        <v>40</v>
      </c>
      <c r="N7" s="12">
        <v>2</v>
      </c>
    </row>
    <row r="8" spans="1:15">
      <c r="A8" s="12">
        <f t="shared" si="5"/>
        <v>7</v>
      </c>
      <c r="B8" s="12" t="s">
        <v>46</v>
      </c>
      <c r="C8" s="30" t="s">
        <v>693</v>
      </c>
      <c r="D8" s="30" t="s">
        <v>1039</v>
      </c>
      <c r="E8" s="89">
        <f t="shared" ca="1" si="0"/>
        <v>40951</v>
      </c>
      <c r="F8" s="11">
        <f>DATE(82,1,11)</f>
        <v>29962</v>
      </c>
      <c r="G8" s="12">
        <f t="shared" ca="1" si="1"/>
        <v>30</v>
      </c>
      <c r="H8" s="12">
        <f t="shared" ca="1" si="2"/>
        <v>1</v>
      </c>
      <c r="I8" s="13">
        <f t="shared" ca="1" si="3"/>
        <v>1</v>
      </c>
      <c r="J8" s="14">
        <f t="shared" ca="1" si="4"/>
        <v>30</v>
      </c>
      <c r="K8" s="12" t="s">
        <v>40</v>
      </c>
      <c r="L8" s="12">
        <v>1</v>
      </c>
      <c r="M8" s="12" t="s">
        <v>44</v>
      </c>
      <c r="N8" s="12">
        <v>2</v>
      </c>
    </row>
    <row r="9" spans="1:15">
      <c r="A9" s="12">
        <f t="shared" si="5"/>
        <v>8</v>
      </c>
      <c r="B9" s="12" t="s">
        <v>46</v>
      </c>
      <c r="C9" s="30" t="s">
        <v>305</v>
      </c>
      <c r="D9" s="30" t="s">
        <v>1039</v>
      </c>
      <c r="E9" s="89">
        <f t="shared" ca="1" si="0"/>
        <v>40951</v>
      </c>
      <c r="F9" s="11">
        <f>DATE(84,11,10)</f>
        <v>30996</v>
      </c>
      <c r="G9" s="12">
        <f t="shared" ca="1" si="1"/>
        <v>28</v>
      </c>
      <c r="H9" s="12">
        <f t="shared" ca="1" si="2"/>
        <v>-9</v>
      </c>
      <c r="I9" s="13">
        <f t="shared" ca="1" si="3"/>
        <v>2</v>
      </c>
      <c r="J9" s="14">
        <f t="shared" ca="1" si="4"/>
        <v>27</v>
      </c>
      <c r="K9" s="12" t="s">
        <v>40</v>
      </c>
      <c r="L9" s="12">
        <v>1</v>
      </c>
      <c r="M9" s="12" t="s">
        <v>44</v>
      </c>
      <c r="N9" s="12">
        <v>2</v>
      </c>
    </row>
    <row r="10" spans="1:15">
      <c r="A10" s="12">
        <f t="shared" si="5"/>
        <v>9</v>
      </c>
      <c r="B10" s="12" t="s">
        <v>46</v>
      </c>
      <c r="C10" s="30" t="s">
        <v>400</v>
      </c>
      <c r="D10" s="30" t="s">
        <v>1040</v>
      </c>
      <c r="E10" s="89">
        <f t="shared" ca="1" si="0"/>
        <v>40951</v>
      </c>
      <c r="F10" s="36"/>
      <c r="G10" s="12">
        <f t="shared" ca="1" si="1"/>
        <v>112</v>
      </c>
      <c r="H10" s="12">
        <f t="shared" ca="1" si="2"/>
        <v>1</v>
      </c>
      <c r="I10" s="13">
        <f t="shared" ca="1" si="3"/>
        <v>12</v>
      </c>
      <c r="J10" s="14">
        <f t="shared" ca="1" si="4"/>
        <v>112</v>
      </c>
      <c r="K10" s="12" t="s">
        <v>40</v>
      </c>
      <c r="L10" s="12">
        <v>1</v>
      </c>
      <c r="M10" s="12" t="s">
        <v>40</v>
      </c>
      <c r="N10" s="12">
        <v>3</v>
      </c>
      <c r="O10" s="90" t="s">
        <v>2748</v>
      </c>
    </row>
    <row r="11" spans="1:15">
      <c r="A11" s="12">
        <f t="shared" si="5"/>
        <v>10</v>
      </c>
      <c r="B11" s="12" t="s">
        <v>46</v>
      </c>
      <c r="C11" s="30" t="s">
        <v>1041</v>
      </c>
      <c r="D11" s="30" t="s">
        <v>1040</v>
      </c>
      <c r="E11" s="89">
        <f t="shared" ca="1" si="0"/>
        <v>40951</v>
      </c>
      <c r="F11" s="36"/>
      <c r="G11" s="12">
        <f t="shared" ca="1" si="1"/>
        <v>112</v>
      </c>
      <c r="H11" s="12">
        <f t="shared" ca="1" si="2"/>
        <v>1</v>
      </c>
      <c r="I11" s="13">
        <f t="shared" ca="1" si="3"/>
        <v>12</v>
      </c>
      <c r="J11" s="14">
        <f t="shared" ca="1" si="4"/>
        <v>112</v>
      </c>
      <c r="K11" s="12" t="s">
        <v>40</v>
      </c>
      <c r="L11" s="12">
        <v>1</v>
      </c>
      <c r="M11" s="12" t="s">
        <v>40</v>
      </c>
      <c r="N11" s="12">
        <v>3</v>
      </c>
    </row>
    <row r="12" spans="1:15">
      <c r="A12" s="12">
        <f t="shared" si="5"/>
        <v>11</v>
      </c>
      <c r="B12" s="12" t="s">
        <v>46</v>
      </c>
      <c r="C12" s="30" t="s">
        <v>669</v>
      </c>
      <c r="D12" s="30" t="s">
        <v>1041</v>
      </c>
      <c r="E12" s="89">
        <f t="shared" ca="1" si="0"/>
        <v>40951</v>
      </c>
      <c r="F12" s="11">
        <f>DATE(64,6,23)</f>
        <v>23551</v>
      </c>
      <c r="G12" s="12">
        <f t="shared" ca="1" si="1"/>
        <v>48</v>
      </c>
      <c r="H12" s="12">
        <f t="shared" ca="1" si="2"/>
        <v>-4</v>
      </c>
      <c r="I12" s="13">
        <f t="shared" ca="1" si="3"/>
        <v>-11</v>
      </c>
      <c r="J12" s="14">
        <f t="shared" ca="1" si="4"/>
        <v>47</v>
      </c>
      <c r="K12" s="12" t="s">
        <v>41</v>
      </c>
      <c r="L12" s="12">
        <v>1</v>
      </c>
      <c r="M12" s="12" t="s">
        <v>40</v>
      </c>
      <c r="N12" s="12">
        <v>3</v>
      </c>
    </row>
    <row r="13" spans="1:15">
      <c r="A13" s="12">
        <f t="shared" si="5"/>
        <v>12</v>
      </c>
      <c r="B13" s="12" t="s">
        <v>46</v>
      </c>
      <c r="C13" s="30" t="s">
        <v>506</v>
      </c>
      <c r="D13" s="30" t="s">
        <v>1041</v>
      </c>
      <c r="E13" s="89">
        <f t="shared" ca="1" si="0"/>
        <v>40951</v>
      </c>
      <c r="F13" s="11">
        <f>DATE(89,11,12)</f>
        <v>32824</v>
      </c>
      <c r="G13" s="12">
        <f t="shared" ca="1" si="1"/>
        <v>23</v>
      </c>
      <c r="H13" s="12">
        <f t="shared" ca="1" si="2"/>
        <v>-9</v>
      </c>
      <c r="I13" s="13">
        <f t="shared" ca="1" si="3"/>
        <v>0</v>
      </c>
      <c r="J13" s="14">
        <f t="shared" ca="1" si="4"/>
        <v>22</v>
      </c>
      <c r="K13" s="12" t="s">
        <v>40</v>
      </c>
      <c r="L13" s="12">
        <v>1</v>
      </c>
      <c r="M13" s="12" t="s">
        <v>44</v>
      </c>
      <c r="N13" s="12">
        <v>3</v>
      </c>
    </row>
    <row r="14" spans="1:15">
      <c r="A14" s="12">
        <f t="shared" si="5"/>
        <v>13</v>
      </c>
      <c r="B14" s="12" t="s">
        <v>46</v>
      </c>
      <c r="C14" s="30" t="s">
        <v>348</v>
      </c>
      <c r="D14" s="30" t="s">
        <v>1040</v>
      </c>
      <c r="E14" s="89">
        <f t="shared" ca="1" si="0"/>
        <v>40951</v>
      </c>
      <c r="F14" s="11">
        <f>DATE(57,7,5)</f>
        <v>21006</v>
      </c>
      <c r="G14" s="12">
        <f t="shared" ca="1" si="1"/>
        <v>55</v>
      </c>
      <c r="H14" s="12">
        <f t="shared" ca="1" si="2"/>
        <v>-5</v>
      </c>
      <c r="I14" s="13">
        <f t="shared" ca="1" si="3"/>
        <v>7</v>
      </c>
      <c r="J14" s="14">
        <f t="shared" ca="1" si="4"/>
        <v>54</v>
      </c>
      <c r="K14" s="12" t="s">
        <v>40</v>
      </c>
      <c r="L14" s="12">
        <v>1</v>
      </c>
      <c r="M14" s="12" t="s">
        <v>40</v>
      </c>
      <c r="N14" s="12">
        <v>3</v>
      </c>
    </row>
    <row r="15" spans="1:15">
      <c r="A15" s="12">
        <f t="shared" si="5"/>
        <v>14</v>
      </c>
      <c r="B15" s="12" t="s">
        <v>46</v>
      </c>
      <c r="C15" s="30" t="s">
        <v>1074</v>
      </c>
      <c r="D15" s="30" t="s">
        <v>348</v>
      </c>
      <c r="E15" s="89">
        <f t="shared" ca="1" si="0"/>
        <v>40951</v>
      </c>
      <c r="F15" s="11">
        <f>DATE(65,12,23)</f>
        <v>24099</v>
      </c>
      <c r="G15" s="12">
        <f t="shared" ca="1" si="1"/>
        <v>47</v>
      </c>
      <c r="H15" s="12">
        <f t="shared" ca="1" si="2"/>
        <v>-10</v>
      </c>
      <c r="I15" s="13">
        <f t="shared" ca="1" si="3"/>
        <v>-11</v>
      </c>
      <c r="J15" s="14">
        <f t="shared" ca="1" si="4"/>
        <v>46</v>
      </c>
      <c r="K15" s="12" t="s">
        <v>41</v>
      </c>
      <c r="L15" s="12">
        <v>1</v>
      </c>
      <c r="M15" s="12" t="s">
        <v>40</v>
      </c>
      <c r="N15" s="12">
        <v>3</v>
      </c>
    </row>
    <row r="16" spans="1:15">
      <c r="A16" s="12">
        <f t="shared" si="5"/>
        <v>15</v>
      </c>
      <c r="B16" s="12" t="s">
        <v>46</v>
      </c>
      <c r="C16" s="30" t="s">
        <v>251</v>
      </c>
      <c r="D16" s="30" t="s">
        <v>348</v>
      </c>
      <c r="E16" s="89">
        <f t="shared" ca="1" si="0"/>
        <v>40951</v>
      </c>
      <c r="F16" s="11">
        <f>DATE(87,5,10)</f>
        <v>31907</v>
      </c>
      <c r="G16" s="12">
        <f t="shared" ca="1" si="1"/>
        <v>25</v>
      </c>
      <c r="H16" s="12">
        <f t="shared" ca="1" si="2"/>
        <v>-3</v>
      </c>
      <c r="I16" s="13">
        <f t="shared" ca="1" si="3"/>
        <v>2</v>
      </c>
      <c r="J16" s="14">
        <f t="shared" ca="1" si="4"/>
        <v>24</v>
      </c>
      <c r="K16" s="12" t="s">
        <v>40</v>
      </c>
      <c r="L16" s="12">
        <v>1</v>
      </c>
      <c r="M16" s="12" t="s">
        <v>44</v>
      </c>
      <c r="N16" s="12">
        <v>3</v>
      </c>
    </row>
    <row r="17" spans="1:15">
      <c r="A17" s="12">
        <f t="shared" si="5"/>
        <v>16</v>
      </c>
      <c r="B17" s="12" t="s">
        <v>46</v>
      </c>
      <c r="C17" s="30" t="s">
        <v>589</v>
      </c>
      <c r="D17" s="30" t="s">
        <v>348</v>
      </c>
      <c r="E17" s="89">
        <f t="shared" ca="1" si="0"/>
        <v>40951</v>
      </c>
      <c r="F17" s="11">
        <f>DATE(90,9,17)</f>
        <v>33133</v>
      </c>
      <c r="G17" s="12">
        <f t="shared" ca="1" si="1"/>
        <v>22</v>
      </c>
      <c r="H17" s="12">
        <f t="shared" ca="1" si="2"/>
        <v>-7</v>
      </c>
      <c r="I17" s="13">
        <f t="shared" ca="1" si="3"/>
        <v>-5</v>
      </c>
      <c r="J17" s="14">
        <f t="shared" ca="1" si="4"/>
        <v>21</v>
      </c>
      <c r="K17" s="12" t="s">
        <v>40</v>
      </c>
      <c r="L17" s="12">
        <v>1</v>
      </c>
      <c r="M17" s="12" t="s">
        <v>44</v>
      </c>
      <c r="N17" s="12">
        <v>3</v>
      </c>
    </row>
    <row r="18" spans="1:15">
      <c r="A18" s="12">
        <f t="shared" si="5"/>
        <v>17</v>
      </c>
      <c r="B18" s="12" t="s">
        <v>46</v>
      </c>
      <c r="C18" s="30" t="s">
        <v>623</v>
      </c>
      <c r="D18" s="30" t="s">
        <v>923</v>
      </c>
      <c r="E18" s="89">
        <f t="shared" ca="1" si="0"/>
        <v>40951</v>
      </c>
      <c r="F18" s="11">
        <f>DATE(49,1,18)</f>
        <v>17916</v>
      </c>
      <c r="G18" s="12">
        <f t="shared" ca="1" si="1"/>
        <v>63</v>
      </c>
      <c r="H18" s="12">
        <f t="shared" ca="1" si="2"/>
        <v>1</v>
      </c>
      <c r="I18" s="13">
        <f t="shared" ca="1" si="3"/>
        <v>-6</v>
      </c>
      <c r="J18" s="14">
        <f t="shared" ca="1" si="4"/>
        <v>63</v>
      </c>
      <c r="K18" s="12" t="s">
        <v>40</v>
      </c>
      <c r="L18" s="30">
        <v>2</v>
      </c>
      <c r="M18" s="12" t="s">
        <v>40</v>
      </c>
      <c r="N18" s="12">
        <v>4</v>
      </c>
      <c r="O18" s="90" t="s">
        <v>2748</v>
      </c>
    </row>
    <row r="19" spans="1:15">
      <c r="A19" s="12">
        <f t="shared" si="5"/>
        <v>18</v>
      </c>
      <c r="B19" s="12" t="s">
        <v>46</v>
      </c>
      <c r="C19" s="30" t="s">
        <v>418</v>
      </c>
      <c r="D19" s="30" t="s">
        <v>623</v>
      </c>
      <c r="E19" s="89">
        <f t="shared" ca="1" si="0"/>
        <v>40951</v>
      </c>
      <c r="F19" s="11">
        <f>DATE(56,9,12)</f>
        <v>20710</v>
      </c>
      <c r="G19" s="12">
        <f t="shared" ca="1" si="1"/>
        <v>56</v>
      </c>
      <c r="H19" s="12">
        <f t="shared" ca="1" si="2"/>
        <v>-7</v>
      </c>
      <c r="I19" s="13">
        <f t="shared" ca="1" si="3"/>
        <v>0</v>
      </c>
      <c r="J19" s="14">
        <f t="shared" ca="1" si="4"/>
        <v>55</v>
      </c>
      <c r="K19" s="30" t="s">
        <v>41</v>
      </c>
      <c r="L19" s="30">
        <v>2</v>
      </c>
      <c r="M19" s="12" t="s">
        <v>40</v>
      </c>
      <c r="N19" s="12">
        <v>4</v>
      </c>
    </row>
    <row r="20" spans="1:15">
      <c r="A20" s="12">
        <f t="shared" si="5"/>
        <v>19</v>
      </c>
      <c r="B20" s="12" t="s">
        <v>46</v>
      </c>
      <c r="C20" s="30" t="s">
        <v>169</v>
      </c>
      <c r="D20" s="30" t="s">
        <v>623</v>
      </c>
      <c r="E20" s="89">
        <f t="shared" ca="1" si="0"/>
        <v>40951</v>
      </c>
      <c r="F20" s="11">
        <f>DATE(76,4,8)</f>
        <v>27858</v>
      </c>
      <c r="G20" s="12">
        <f t="shared" ca="1" si="1"/>
        <v>36</v>
      </c>
      <c r="H20" s="12">
        <f t="shared" ca="1" si="2"/>
        <v>-2</v>
      </c>
      <c r="I20" s="13">
        <f t="shared" ca="1" si="3"/>
        <v>4</v>
      </c>
      <c r="J20" s="14">
        <f t="shared" ca="1" si="4"/>
        <v>35</v>
      </c>
      <c r="K20" s="30" t="s">
        <v>40</v>
      </c>
      <c r="L20" s="30">
        <v>2</v>
      </c>
      <c r="M20" s="12" t="s">
        <v>40</v>
      </c>
      <c r="N20" s="12">
        <v>4</v>
      </c>
    </row>
    <row r="21" spans="1:15">
      <c r="A21" s="12">
        <f t="shared" si="5"/>
        <v>20</v>
      </c>
      <c r="B21" s="12" t="s">
        <v>46</v>
      </c>
      <c r="C21" s="30" t="s">
        <v>701</v>
      </c>
      <c r="D21" s="30" t="s">
        <v>1042</v>
      </c>
      <c r="E21" s="89">
        <f t="shared" ca="1" si="0"/>
        <v>40951</v>
      </c>
      <c r="F21" s="11">
        <f>DATE(76,6,24)</f>
        <v>27935</v>
      </c>
      <c r="G21" s="12">
        <f t="shared" ca="1" si="1"/>
        <v>36</v>
      </c>
      <c r="H21" s="12">
        <f t="shared" ca="1" si="2"/>
        <v>-4</v>
      </c>
      <c r="I21" s="13">
        <f t="shared" ca="1" si="3"/>
        <v>-12</v>
      </c>
      <c r="J21" s="14">
        <f t="shared" ca="1" si="4"/>
        <v>35</v>
      </c>
      <c r="K21" s="30" t="s">
        <v>41</v>
      </c>
      <c r="L21" s="30">
        <v>2</v>
      </c>
      <c r="M21" s="12" t="s">
        <v>40</v>
      </c>
      <c r="N21" s="12">
        <v>4</v>
      </c>
    </row>
    <row r="22" spans="1:15">
      <c r="A22" s="12">
        <f t="shared" si="5"/>
        <v>21</v>
      </c>
      <c r="B22" s="12" t="s">
        <v>46</v>
      </c>
      <c r="C22" s="30" t="s">
        <v>1075</v>
      </c>
      <c r="D22" s="30" t="s">
        <v>1042</v>
      </c>
      <c r="E22" s="89">
        <f t="shared" ca="1" si="0"/>
        <v>40951</v>
      </c>
      <c r="F22" s="11">
        <f>DATE(2001,11,10)</f>
        <v>37205</v>
      </c>
      <c r="G22" s="12">
        <f t="shared" ca="1" si="1"/>
        <v>11</v>
      </c>
      <c r="H22" s="12">
        <f t="shared" ca="1" si="2"/>
        <v>-9</v>
      </c>
      <c r="I22" s="13">
        <f t="shared" ca="1" si="3"/>
        <v>2</v>
      </c>
      <c r="J22" s="14">
        <f t="shared" ca="1" si="4"/>
        <v>10</v>
      </c>
      <c r="K22" s="30" t="s">
        <v>40</v>
      </c>
      <c r="L22" s="30">
        <v>2</v>
      </c>
      <c r="M22" s="12" t="s">
        <v>44</v>
      </c>
      <c r="N22" s="12">
        <v>4</v>
      </c>
    </row>
    <row r="23" spans="1:15">
      <c r="A23" s="12">
        <f t="shared" si="5"/>
        <v>22</v>
      </c>
      <c r="B23" s="12" t="s">
        <v>46</v>
      </c>
      <c r="C23" s="30" t="s">
        <v>219</v>
      </c>
      <c r="D23" s="30" t="s">
        <v>1042</v>
      </c>
      <c r="E23" s="89">
        <f t="shared" ca="1" si="0"/>
        <v>40951</v>
      </c>
      <c r="F23" s="11">
        <f>DATE(2003,11,30)</f>
        <v>37955</v>
      </c>
      <c r="G23" s="12">
        <f t="shared" ca="1" si="1"/>
        <v>9</v>
      </c>
      <c r="H23" s="12">
        <f t="shared" ca="1" si="2"/>
        <v>-9</v>
      </c>
      <c r="I23" s="13">
        <f t="shared" ca="1" si="3"/>
        <v>-18</v>
      </c>
      <c r="J23" s="14">
        <f t="shared" ca="1" si="4"/>
        <v>8</v>
      </c>
      <c r="K23" s="30" t="s">
        <v>41</v>
      </c>
      <c r="L23" s="30">
        <v>2</v>
      </c>
      <c r="M23" s="12" t="s">
        <v>44</v>
      </c>
      <c r="N23" s="12">
        <v>4</v>
      </c>
    </row>
    <row r="24" spans="1:15">
      <c r="A24" s="12">
        <f t="shared" si="5"/>
        <v>23</v>
      </c>
      <c r="B24" s="12" t="s">
        <v>46</v>
      </c>
      <c r="C24" s="30" t="s">
        <v>1076</v>
      </c>
      <c r="D24" s="30" t="s">
        <v>1042</v>
      </c>
      <c r="E24" s="89">
        <f t="shared" ca="1" si="0"/>
        <v>40951</v>
      </c>
      <c r="F24" s="11">
        <f>DATE(86,1,9)</f>
        <v>31421</v>
      </c>
      <c r="G24" s="12">
        <f ca="1">YEAR(E24)-YEAR(F24)</f>
        <v>26</v>
      </c>
      <c r="H24" s="12">
        <f ca="1">MONTH(E24)-MONTH(F24)</f>
        <v>1</v>
      </c>
      <c r="I24" s="13">
        <f ca="1">DAY(E24)-DAY(F24)</f>
        <v>3</v>
      </c>
      <c r="J24" s="14">
        <f t="shared" ca="1" si="4"/>
        <v>26</v>
      </c>
      <c r="K24" s="12" t="s">
        <v>40</v>
      </c>
      <c r="L24" s="30">
        <v>2</v>
      </c>
      <c r="M24" s="12" t="s">
        <v>44</v>
      </c>
      <c r="N24" s="12">
        <v>4</v>
      </c>
    </row>
    <row r="25" spans="1:15">
      <c r="A25" s="12">
        <f t="shared" si="5"/>
        <v>24</v>
      </c>
      <c r="B25" s="12" t="s">
        <v>46</v>
      </c>
      <c r="C25" s="30" t="s">
        <v>516</v>
      </c>
      <c r="D25" s="30" t="s">
        <v>923</v>
      </c>
      <c r="E25" s="89">
        <f t="shared" ca="1" si="0"/>
        <v>40951</v>
      </c>
      <c r="F25" s="11">
        <f>DATE(57,5,5)</f>
        <v>20945</v>
      </c>
      <c r="G25" s="12">
        <f t="shared" ref="G25:G88" ca="1" si="6">YEAR(E25)-YEAR(F25)</f>
        <v>55</v>
      </c>
      <c r="H25" s="12">
        <f t="shared" ref="H25:H88" ca="1" si="7">MONTH(E25)-MONTH(F25)</f>
        <v>-3</v>
      </c>
      <c r="I25" s="13">
        <f t="shared" ref="I25:I88" ca="1" si="8">DAY(E25)-DAY(F25)</f>
        <v>7</v>
      </c>
      <c r="J25" s="14">
        <f t="shared" ca="1" si="4"/>
        <v>54</v>
      </c>
      <c r="K25" s="12" t="s">
        <v>40</v>
      </c>
      <c r="L25" s="30">
        <v>2</v>
      </c>
      <c r="M25" s="12" t="s">
        <v>40</v>
      </c>
      <c r="N25" s="12">
        <v>5</v>
      </c>
      <c r="O25" s="90" t="s">
        <v>2748</v>
      </c>
    </row>
    <row r="26" spans="1:15">
      <c r="A26" s="12">
        <f t="shared" si="5"/>
        <v>25</v>
      </c>
      <c r="B26" s="12" t="s">
        <v>46</v>
      </c>
      <c r="C26" s="30" t="s">
        <v>1077</v>
      </c>
      <c r="D26" s="30" t="s">
        <v>516</v>
      </c>
      <c r="E26" s="89">
        <f t="shared" ca="1" si="0"/>
        <v>40951</v>
      </c>
      <c r="F26" s="11">
        <f>DATE(64,4,23)</f>
        <v>23490</v>
      </c>
      <c r="G26" s="12">
        <f t="shared" ca="1" si="6"/>
        <v>48</v>
      </c>
      <c r="H26" s="12">
        <f t="shared" ca="1" si="7"/>
        <v>-2</v>
      </c>
      <c r="I26" s="13">
        <f t="shared" ca="1" si="8"/>
        <v>-11</v>
      </c>
      <c r="J26" s="14">
        <f t="shared" ca="1" si="4"/>
        <v>47</v>
      </c>
      <c r="K26" s="12" t="s">
        <v>41</v>
      </c>
      <c r="L26" s="30">
        <v>2</v>
      </c>
      <c r="M26" s="12" t="s">
        <v>40</v>
      </c>
      <c r="N26" s="12">
        <v>5</v>
      </c>
    </row>
    <row r="27" spans="1:15">
      <c r="A27" s="12">
        <f t="shared" si="5"/>
        <v>26</v>
      </c>
      <c r="B27" s="12" t="s">
        <v>46</v>
      </c>
      <c r="C27" s="30" t="s">
        <v>766</v>
      </c>
      <c r="D27" s="30" t="s">
        <v>516</v>
      </c>
      <c r="E27" s="89">
        <f t="shared" ca="1" si="0"/>
        <v>40951</v>
      </c>
      <c r="F27" s="11">
        <f>DATE(84,12,21)</f>
        <v>31037</v>
      </c>
      <c r="G27" s="12">
        <f t="shared" ca="1" si="6"/>
        <v>28</v>
      </c>
      <c r="H27" s="12">
        <f t="shared" ca="1" si="7"/>
        <v>-10</v>
      </c>
      <c r="I27" s="13">
        <f t="shared" ca="1" si="8"/>
        <v>-9</v>
      </c>
      <c r="J27" s="14">
        <f t="shared" ca="1" si="4"/>
        <v>27</v>
      </c>
      <c r="K27" s="12" t="s">
        <v>40</v>
      </c>
      <c r="L27" s="30">
        <v>2</v>
      </c>
      <c r="M27" s="12" t="s">
        <v>44</v>
      </c>
      <c r="N27" s="12">
        <v>5</v>
      </c>
    </row>
    <row r="28" spans="1:15">
      <c r="A28" s="12">
        <f t="shared" si="5"/>
        <v>27</v>
      </c>
      <c r="B28" s="12" t="s">
        <v>46</v>
      </c>
      <c r="C28" s="30" t="s">
        <v>638</v>
      </c>
      <c r="D28" s="30" t="s">
        <v>516</v>
      </c>
      <c r="E28" s="89">
        <f t="shared" ca="1" si="0"/>
        <v>40951</v>
      </c>
      <c r="F28" s="11">
        <f>DATE(90,12,13)</f>
        <v>33220</v>
      </c>
      <c r="G28" s="12">
        <f t="shared" ca="1" si="6"/>
        <v>22</v>
      </c>
      <c r="H28" s="12">
        <f t="shared" ca="1" si="7"/>
        <v>-10</v>
      </c>
      <c r="I28" s="13">
        <f t="shared" ca="1" si="8"/>
        <v>-1</v>
      </c>
      <c r="J28" s="14">
        <f t="shared" ca="1" si="4"/>
        <v>21</v>
      </c>
      <c r="K28" s="12" t="s">
        <v>41</v>
      </c>
      <c r="L28" s="30">
        <v>2</v>
      </c>
      <c r="M28" s="12" t="s">
        <v>44</v>
      </c>
      <c r="N28" s="12">
        <v>5</v>
      </c>
    </row>
    <row r="29" spans="1:15">
      <c r="A29" s="12">
        <f>A28+1</f>
        <v>28</v>
      </c>
      <c r="B29" s="12" t="s">
        <v>1</v>
      </c>
      <c r="C29" s="30" t="s">
        <v>162</v>
      </c>
      <c r="D29" s="30" t="s">
        <v>94</v>
      </c>
      <c r="E29" s="89">
        <f ca="1">TODAY()</f>
        <v>40951</v>
      </c>
      <c r="F29" s="11">
        <f>DATE(56,8,30)</f>
        <v>20697</v>
      </c>
      <c r="G29" s="12">
        <f t="shared" ca="1" si="6"/>
        <v>56</v>
      </c>
      <c r="H29" s="12">
        <f t="shared" ca="1" si="7"/>
        <v>-6</v>
      </c>
      <c r="I29" s="13">
        <f t="shared" ca="1" si="8"/>
        <v>-18</v>
      </c>
      <c r="J29" s="14">
        <f t="shared" ca="1" si="4"/>
        <v>55</v>
      </c>
      <c r="K29" s="12" t="s">
        <v>40</v>
      </c>
      <c r="L29" s="30">
        <v>3</v>
      </c>
      <c r="M29" s="12" t="s">
        <v>40</v>
      </c>
      <c r="N29" s="12">
        <v>6</v>
      </c>
      <c r="O29" s="90" t="s">
        <v>2748</v>
      </c>
    </row>
    <row r="30" spans="1:15">
      <c r="A30" s="12">
        <f t="shared" ref="A30:A93" si="9">A29+1</f>
        <v>29</v>
      </c>
      <c r="B30" s="12" t="s">
        <v>1</v>
      </c>
      <c r="C30" s="30" t="s">
        <v>462</v>
      </c>
      <c r="D30" s="30" t="s">
        <v>162</v>
      </c>
      <c r="E30" s="89">
        <f t="shared" ref="E30:E93" ca="1" si="10">TODAY()</f>
        <v>40951</v>
      </c>
      <c r="F30" s="11">
        <f>DATE(61,8,7)</f>
        <v>22500</v>
      </c>
      <c r="G30" s="12">
        <f t="shared" ca="1" si="6"/>
        <v>51</v>
      </c>
      <c r="H30" s="12">
        <f t="shared" ca="1" si="7"/>
        <v>-6</v>
      </c>
      <c r="I30" s="13">
        <f t="shared" ca="1" si="8"/>
        <v>5</v>
      </c>
      <c r="J30" s="14">
        <f t="shared" ca="1" si="4"/>
        <v>50</v>
      </c>
      <c r="K30" s="12" t="s">
        <v>41</v>
      </c>
      <c r="L30" s="30">
        <v>3</v>
      </c>
      <c r="M30" s="12" t="s">
        <v>40</v>
      </c>
      <c r="N30" s="12">
        <v>6</v>
      </c>
    </row>
    <row r="31" spans="1:15">
      <c r="A31" s="12">
        <f t="shared" si="9"/>
        <v>30</v>
      </c>
      <c r="B31" s="12" t="s">
        <v>1</v>
      </c>
      <c r="C31" s="30" t="s">
        <v>1078</v>
      </c>
      <c r="D31" s="30" t="s">
        <v>162</v>
      </c>
      <c r="E31" s="89">
        <f t="shared" ca="1" si="10"/>
        <v>40951</v>
      </c>
      <c r="F31" s="11">
        <f>DATE(86,12,16)</f>
        <v>31762</v>
      </c>
      <c r="G31" s="12">
        <f t="shared" ca="1" si="6"/>
        <v>26</v>
      </c>
      <c r="H31" s="12">
        <f t="shared" ca="1" si="7"/>
        <v>-10</v>
      </c>
      <c r="I31" s="13">
        <f t="shared" ca="1" si="8"/>
        <v>-4</v>
      </c>
      <c r="J31" s="14">
        <f t="shared" ca="1" si="4"/>
        <v>25</v>
      </c>
      <c r="K31" s="12" t="s">
        <v>40</v>
      </c>
      <c r="L31" s="30">
        <v>3</v>
      </c>
      <c r="M31" s="12" t="s">
        <v>44</v>
      </c>
      <c r="N31" s="12">
        <v>6</v>
      </c>
    </row>
    <row r="32" spans="1:15">
      <c r="A32" s="12">
        <f t="shared" si="9"/>
        <v>31</v>
      </c>
      <c r="B32" s="12" t="s">
        <v>1</v>
      </c>
      <c r="C32" s="30" t="s">
        <v>125</v>
      </c>
      <c r="D32" s="30" t="s">
        <v>162</v>
      </c>
      <c r="E32" s="89">
        <f t="shared" ca="1" si="10"/>
        <v>40951</v>
      </c>
      <c r="F32" s="11">
        <f>DATE(91,3,8)</f>
        <v>33305</v>
      </c>
      <c r="G32" s="12">
        <f t="shared" ca="1" si="6"/>
        <v>21</v>
      </c>
      <c r="H32" s="12">
        <f t="shared" ca="1" si="7"/>
        <v>-1</v>
      </c>
      <c r="I32" s="13">
        <f t="shared" ca="1" si="8"/>
        <v>4</v>
      </c>
      <c r="J32" s="14">
        <f t="shared" ca="1" si="4"/>
        <v>20</v>
      </c>
      <c r="K32" s="12" t="s">
        <v>41</v>
      </c>
      <c r="L32" s="30">
        <v>3</v>
      </c>
      <c r="M32" s="12" t="s">
        <v>44</v>
      </c>
      <c r="N32" s="12">
        <v>6</v>
      </c>
    </row>
    <row r="33" spans="1:15">
      <c r="A33" s="12">
        <f t="shared" si="9"/>
        <v>32</v>
      </c>
      <c r="B33" s="12" t="s">
        <v>1</v>
      </c>
      <c r="C33" s="30" t="s">
        <v>503</v>
      </c>
      <c r="D33" s="30" t="s">
        <v>94</v>
      </c>
      <c r="E33" s="89">
        <f t="shared" ca="1" si="10"/>
        <v>40951</v>
      </c>
      <c r="F33" s="36"/>
      <c r="G33" s="12">
        <f t="shared" ca="1" si="6"/>
        <v>112</v>
      </c>
      <c r="H33" s="12">
        <f t="shared" ca="1" si="7"/>
        <v>1</v>
      </c>
      <c r="I33" s="13">
        <f t="shared" ca="1" si="8"/>
        <v>12</v>
      </c>
      <c r="J33" s="14">
        <f t="shared" ca="1" si="4"/>
        <v>112</v>
      </c>
      <c r="K33" s="12" t="s">
        <v>41</v>
      </c>
      <c r="L33" s="30">
        <v>3</v>
      </c>
      <c r="M33" s="12" t="s">
        <v>40</v>
      </c>
      <c r="N33" s="12">
        <v>6</v>
      </c>
    </row>
    <row r="34" spans="1:15">
      <c r="A34" s="12">
        <f t="shared" si="9"/>
        <v>33</v>
      </c>
      <c r="B34" s="12" t="s">
        <v>1</v>
      </c>
      <c r="C34" s="30" t="s">
        <v>521</v>
      </c>
      <c r="D34" s="30" t="s">
        <v>94</v>
      </c>
      <c r="E34" s="89">
        <f t="shared" ca="1" si="10"/>
        <v>40951</v>
      </c>
      <c r="F34" s="11">
        <f>DATE(53,3,13)</f>
        <v>19431</v>
      </c>
      <c r="G34" s="12">
        <f t="shared" ca="1" si="6"/>
        <v>59</v>
      </c>
      <c r="H34" s="12">
        <f t="shared" ca="1" si="7"/>
        <v>-1</v>
      </c>
      <c r="I34" s="13">
        <f t="shared" ca="1" si="8"/>
        <v>-1</v>
      </c>
      <c r="J34" s="14">
        <f t="shared" ca="1" si="4"/>
        <v>58</v>
      </c>
      <c r="K34" s="12" t="s">
        <v>40</v>
      </c>
      <c r="L34" s="30">
        <v>3</v>
      </c>
      <c r="M34" s="12" t="s">
        <v>40</v>
      </c>
      <c r="N34" s="12">
        <v>7</v>
      </c>
      <c r="O34" s="90" t="s">
        <v>2748</v>
      </c>
    </row>
    <row r="35" spans="1:15">
      <c r="A35" s="12">
        <f t="shared" si="9"/>
        <v>34</v>
      </c>
      <c r="B35" s="12" t="s">
        <v>1</v>
      </c>
      <c r="C35" s="30" t="s">
        <v>464</v>
      </c>
      <c r="D35" s="30" t="s">
        <v>521</v>
      </c>
      <c r="E35" s="89">
        <f t="shared" ca="1" si="10"/>
        <v>40951</v>
      </c>
      <c r="F35" s="11">
        <f>DATE(57,12,28)</f>
        <v>21182</v>
      </c>
      <c r="G35" s="12">
        <f t="shared" ca="1" si="6"/>
        <v>55</v>
      </c>
      <c r="H35" s="12">
        <f t="shared" ca="1" si="7"/>
        <v>-10</v>
      </c>
      <c r="I35" s="13">
        <f t="shared" ca="1" si="8"/>
        <v>-16</v>
      </c>
      <c r="J35" s="14">
        <f t="shared" ca="1" si="4"/>
        <v>54</v>
      </c>
      <c r="K35" s="12" t="s">
        <v>41</v>
      </c>
      <c r="L35" s="30">
        <v>3</v>
      </c>
      <c r="M35" s="12" t="s">
        <v>40</v>
      </c>
      <c r="N35" s="12">
        <v>7</v>
      </c>
    </row>
    <row r="36" spans="1:15">
      <c r="A36" s="12">
        <f t="shared" si="9"/>
        <v>35</v>
      </c>
      <c r="B36" s="12" t="s">
        <v>1</v>
      </c>
      <c r="C36" s="30" t="s">
        <v>1079</v>
      </c>
      <c r="D36" s="30" t="s">
        <v>521</v>
      </c>
      <c r="E36" s="89">
        <f t="shared" ca="1" si="10"/>
        <v>40951</v>
      </c>
      <c r="F36" s="11">
        <f>DATE(84,10,8)</f>
        <v>30963</v>
      </c>
      <c r="G36" s="12">
        <f t="shared" ca="1" si="6"/>
        <v>28</v>
      </c>
      <c r="H36" s="12">
        <f t="shared" ca="1" si="7"/>
        <v>-8</v>
      </c>
      <c r="I36" s="13">
        <f t="shared" ca="1" si="8"/>
        <v>4</v>
      </c>
      <c r="J36" s="14">
        <f t="shared" ca="1" si="4"/>
        <v>27</v>
      </c>
      <c r="K36" s="12" t="s">
        <v>40</v>
      </c>
      <c r="L36" s="30">
        <v>3</v>
      </c>
      <c r="M36" s="12" t="s">
        <v>44</v>
      </c>
      <c r="N36" s="12">
        <v>7</v>
      </c>
    </row>
    <row r="37" spans="1:15">
      <c r="A37" s="12">
        <f t="shared" si="9"/>
        <v>36</v>
      </c>
      <c r="B37" s="12" t="s">
        <v>1</v>
      </c>
      <c r="C37" s="30" t="s">
        <v>521</v>
      </c>
      <c r="D37" s="30" t="s">
        <v>77</v>
      </c>
      <c r="E37" s="89">
        <f t="shared" ca="1" si="10"/>
        <v>40951</v>
      </c>
      <c r="F37" s="11">
        <f>DATE(51,3,10)</f>
        <v>18697</v>
      </c>
      <c r="G37" s="12">
        <f t="shared" ca="1" si="6"/>
        <v>61</v>
      </c>
      <c r="H37" s="12">
        <f t="shared" ca="1" si="7"/>
        <v>-1</v>
      </c>
      <c r="I37" s="13">
        <f t="shared" ca="1" si="8"/>
        <v>2</v>
      </c>
      <c r="J37" s="14">
        <f t="shared" ca="1" si="4"/>
        <v>60</v>
      </c>
      <c r="K37" s="12" t="s">
        <v>40</v>
      </c>
      <c r="L37" s="30">
        <v>3</v>
      </c>
      <c r="M37" s="12" t="s">
        <v>40</v>
      </c>
      <c r="N37" s="12">
        <v>8</v>
      </c>
      <c r="O37" s="90" t="s">
        <v>2748</v>
      </c>
    </row>
    <row r="38" spans="1:15">
      <c r="A38" s="12">
        <f t="shared" si="9"/>
        <v>37</v>
      </c>
      <c r="B38" s="12" t="s">
        <v>1</v>
      </c>
      <c r="C38" s="30" t="s">
        <v>1080</v>
      </c>
      <c r="D38" s="30" t="s">
        <v>521</v>
      </c>
      <c r="E38" s="89">
        <f t="shared" ca="1" si="10"/>
        <v>40951</v>
      </c>
      <c r="F38" s="11">
        <f>DATE(52,11,26)</f>
        <v>19324</v>
      </c>
      <c r="G38" s="12">
        <f t="shared" ca="1" si="6"/>
        <v>60</v>
      </c>
      <c r="H38" s="12">
        <f t="shared" ca="1" si="7"/>
        <v>-9</v>
      </c>
      <c r="I38" s="13">
        <f t="shared" ca="1" si="8"/>
        <v>-14</v>
      </c>
      <c r="J38" s="14">
        <f t="shared" ca="1" si="4"/>
        <v>59</v>
      </c>
      <c r="K38" s="12" t="s">
        <v>41</v>
      </c>
      <c r="L38" s="30">
        <v>3</v>
      </c>
      <c r="M38" s="12" t="s">
        <v>40</v>
      </c>
      <c r="N38" s="12">
        <v>8</v>
      </c>
    </row>
    <row r="39" spans="1:15">
      <c r="A39" s="12">
        <f t="shared" si="9"/>
        <v>38</v>
      </c>
      <c r="B39" s="12" t="s">
        <v>1</v>
      </c>
      <c r="C39" s="30" t="s">
        <v>1081</v>
      </c>
      <c r="D39" s="30" t="s">
        <v>521</v>
      </c>
      <c r="E39" s="89">
        <f t="shared" ca="1" si="10"/>
        <v>40951</v>
      </c>
      <c r="F39" s="11">
        <f>DATE(77,12,26)</f>
        <v>28485</v>
      </c>
      <c r="G39" s="12">
        <f t="shared" ca="1" si="6"/>
        <v>35</v>
      </c>
      <c r="H39" s="12">
        <f t="shared" ca="1" si="7"/>
        <v>-10</v>
      </c>
      <c r="I39" s="13">
        <f t="shared" ca="1" si="8"/>
        <v>-14</v>
      </c>
      <c r="J39" s="14">
        <f t="shared" ca="1" si="4"/>
        <v>34</v>
      </c>
      <c r="K39" s="12" t="s">
        <v>41</v>
      </c>
      <c r="L39" s="30">
        <v>3</v>
      </c>
      <c r="M39" s="12" t="s">
        <v>44</v>
      </c>
      <c r="N39" s="12">
        <v>8</v>
      </c>
    </row>
    <row r="40" spans="1:15">
      <c r="A40" s="12">
        <f t="shared" si="9"/>
        <v>39</v>
      </c>
      <c r="B40" s="12" t="s">
        <v>1</v>
      </c>
      <c r="C40" s="30" t="s">
        <v>229</v>
      </c>
      <c r="D40" s="30" t="s">
        <v>521</v>
      </c>
      <c r="E40" s="89">
        <f t="shared" ca="1" si="10"/>
        <v>40951</v>
      </c>
      <c r="F40" s="11">
        <f>DATE(81,9,20)</f>
        <v>29849</v>
      </c>
      <c r="G40" s="12">
        <f t="shared" ca="1" si="6"/>
        <v>31</v>
      </c>
      <c r="H40" s="12">
        <f t="shared" ca="1" si="7"/>
        <v>-7</v>
      </c>
      <c r="I40" s="13">
        <f t="shared" ca="1" si="8"/>
        <v>-8</v>
      </c>
      <c r="J40" s="14">
        <f t="shared" ca="1" si="4"/>
        <v>30</v>
      </c>
      <c r="K40" s="12" t="s">
        <v>40</v>
      </c>
      <c r="L40" s="30">
        <v>3</v>
      </c>
      <c r="M40" s="12" t="s">
        <v>44</v>
      </c>
      <c r="N40" s="12">
        <v>8</v>
      </c>
    </row>
    <row r="41" spans="1:15">
      <c r="A41" s="12">
        <f t="shared" si="9"/>
        <v>40</v>
      </c>
      <c r="B41" s="12" t="s">
        <v>1</v>
      </c>
      <c r="C41" s="30" t="s">
        <v>962</v>
      </c>
      <c r="D41" s="30" t="s">
        <v>91</v>
      </c>
      <c r="E41" s="89">
        <f t="shared" ca="1" si="10"/>
        <v>40951</v>
      </c>
      <c r="F41" s="11">
        <f>DATE(54,11,4)</f>
        <v>20032</v>
      </c>
      <c r="G41" s="12">
        <f t="shared" ca="1" si="6"/>
        <v>58</v>
      </c>
      <c r="H41" s="12">
        <f t="shared" ca="1" si="7"/>
        <v>-9</v>
      </c>
      <c r="I41" s="13">
        <f t="shared" ca="1" si="8"/>
        <v>8</v>
      </c>
      <c r="J41" s="14">
        <f t="shared" ca="1" si="4"/>
        <v>57</v>
      </c>
      <c r="K41" s="12" t="s">
        <v>40</v>
      </c>
      <c r="L41" s="30">
        <v>4</v>
      </c>
      <c r="M41" s="12" t="s">
        <v>40</v>
      </c>
      <c r="N41" s="12">
        <v>9</v>
      </c>
      <c r="O41" s="90" t="s">
        <v>2748</v>
      </c>
    </row>
    <row r="42" spans="1:15">
      <c r="A42" s="12">
        <f t="shared" si="9"/>
        <v>41</v>
      </c>
      <c r="B42" s="12" t="s">
        <v>1</v>
      </c>
      <c r="C42" s="30" t="s">
        <v>221</v>
      </c>
      <c r="D42" s="30" t="s">
        <v>962</v>
      </c>
      <c r="E42" s="89">
        <f t="shared" ca="1" si="10"/>
        <v>40951</v>
      </c>
      <c r="F42" s="11">
        <f>DATE(58,10,12)</f>
        <v>21470</v>
      </c>
      <c r="G42" s="12">
        <f t="shared" ca="1" si="6"/>
        <v>54</v>
      </c>
      <c r="H42" s="12">
        <f t="shared" ca="1" si="7"/>
        <v>-8</v>
      </c>
      <c r="I42" s="13">
        <f t="shared" ca="1" si="8"/>
        <v>0</v>
      </c>
      <c r="J42" s="14">
        <f t="shared" ca="1" si="4"/>
        <v>53</v>
      </c>
      <c r="K42" s="12" t="s">
        <v>41</v>
      </c>
      <c r="L42" s="30">
        <v>4</v>
      </c>
      <c r="M42" s="12" t="s">
        <v>40</v>
      </c>
      <c r="N42" s="12">
        <v>9</v>
      </c>
    </row>
    <row r="43" spans="1:15">
      <c r="A43" s="12">
        <f t="shared" si="9"/>
        <v>42</v>
      </c>
      <c r="B43" s="12" t="s">
        <v>1</v>
      </c>
      <c r="C43" s="30" t="s">
        <v>628</v>
      </c>
      <c r="D43" s="30" t="s">
        <v>962</v>
      </c>
      <c r="E43" s="89">
        <f t="shared" ca="1" si="10"/>
        <v>40951</v>
      </c>
      <c r="F43" s="11">
        <f>DATE(81,3,10)</f>
        <v>29655</v>
      </c>
      <c r="G43" s="12">
        <f t="shared" ca="1" si="6"/>
        <v>31</v>
      </c>
      <c r="H43" s="12">
        <f t="shared" ca="1" si="7"/>
        <v>-1</v>
      </c>
      <c r="I43" s="13">
        <f t="shared" ca="1" si="8"/>
        <v>2</v>
      </c>
      <c r="J43" s="14">
        <f t="shared" ca="1" si="4"/>
        <v>30</v>
      </c>
      <c r="K43" s="12" t="s">
        <v>41</v>
      </c>
      <c r="L43" s="30">
        <v>4</v>
      </c>
      <c r="M43" s="12" t="s">
        <v>40</v>
      </c>
      <c r="N43" s="12">
        <v>9</v>
      </c>
    </row>
    <row r="44" spans="1:15">
      <c r="A44" s="12">
        <f t="shared" si="9"/>
        <v>43</v>
      </c>
      <c r="B44" s="12" t="s">
        <v>1</v>
      </c>
      <c r="C44" s="30" t="s">
        <v>125</v>
      </c>
      <c r="D44" s="30" t="s">
        <v>962</v>
      </c>
      <c r="E44" s="89">
        <f t="shared" ca="1" si="10"/>
        <v>40951</v>
      </c>
      <c r="F44" s="11">
        <f>DATE(85,10,17)</f>
        <v>31337</v>
      </c>
      <c r="G44" s="12">
        <f t="shared" ca="1" si="6"/>
        <v>27</v>
      </c>
      <c r="H44" s="12">
        <f t="shared" ca="1" si="7"/>
        <v>-8</v>
      </c>
      <c r="I44" s="13">
        <f t="shared" ca="1" si="8"/>
        <v>-5</v>
      </c>
      <c r="J44" s="14">
        <f t="shared" ca="1" si="4"/>
        <v>26</v>
      </c>
      <c r="K44" s="12" t="s">
        <v>41</v>
      </c>
      <c r="L44" s="30">
        <v>4</v>
      </c>
      <c r="M44" s="12" t="s">
        <v>44</v>
      </c>
      <c r="N44" s="12">
        <v>9</v>
      </c>
    </row>
    <row r="45" spans="1:15">
      <c r="A45" s="12">
        <f t="shared" si="9"/>
        <v>44</v>
      </c>
      <c r="B45" s="12" t="s">
        <v>1</v>
      </c>
      <c r="C45" s="30" t="s">
        <v>962</v>
      </c>
      <c r="D45" s="30" t="s">
        <v>417</v>
      </c>
      <c r="E45" s="89">
        <f t="shared" ca="1" si="10"/>
        <v>40951</v>
      </c>
      <c r="F45" s="11">
        <f>DATE(43,9,1)</f>
        <v>15950</v>
      </c>
      <c r="G45" s="12">
        <f t="shared" ca="1" si="6"/>
        <v>69</v>
      </c>
      <c r="H45" s="12">
        <f t="shared" ca="1" si="7"/>
        <v>-7</v>
      </c>
      <c r="I45" s="13">
        <f t="shared" ca="1" si="8"/>
        <v>11</v>
      </c>
      <c r="J45" s="14">
        <f t="shared" ca="1" si="4"/>
        <v>68</v>
      </c>
      <c r="K45" s="12" t="s">
        <v>40</v>
      </c>
      <c r="L45" s="30">
        <v>4</v>
      </c>
      <c r="M45" s="12" t="s">
        <v>40</v>
      </c>
      <c r="N45" s="12">
        <v>10</v>
      </c>
      <c r="O45" s="90" t="s">
        <v>2748</v>
      </c>
    </row>
    <row r="46" spans="1:15">
      <c r="A46" s="12">
        <f t="shared" si="9"/>
        <v>45</v>
      </c>
      <c r="B46" s="12" t="s">
        <v>1</v>
      </c>
      <c r="C46" s="30" t="s">
        <v>731</v>
      </c>
      <c r="D46" s="30" t="s">
        <v>1043</v>
      </c>
      <c r="E46" s="89">
        <f t="shared" ca="1" si="10"/>
        <v>40951</v>
      </c>
      <c r="F46" s="11">
        <f>DATE(46,5,31)</f>
        <v>16953</v>
      </c>
      <c r="G46" s="12">
        <f t="shared" ca="1" si="6"/>
        <v>66</v>
      </c>
      <c r="H46" s="12">
        <f t="shared" ca="1" si="7"/>
        <v>-3</v>
      </c>
      <c r="I46" s="13">
        <f t="shared" ca="1" si="8"/>
        <v>-19</v>
      </c>
      <c r="J46" s="14">
        <f t="shared" ca="1" si="4"/>
        <v>65</v>
      </c>
      <c r="K46" s="12" t="s">
        <v>41</v>
      </c>
      <c r="L46" s="30">
        <v>4</v>
      </c>
      <c r="M46" s="12" t="s">
        <v>40</v>
      </c>
      <c r="N46" s="12">
        <v>10</v>
      </c>
    </row>
    <row r="47" spans="1:15">
      <c r="A47" s="12">
        <f t="shared" si="9"/>
        <v>46</v>
      </c>
      <c r="B47" s="12" t="s">
        <v>1</v>
      </c>
      <c r="C47" s="30" t="s">
        <v>1044</v>
      </c>
      <c r="D47" s="30" t="s">
        <v>962</v>
      </c>
      <c r="E47" s="89">
        <f t="shared" ca="1" si="10"/>
        <v>40951</v>
      </c>
      <c r="F47" s="11">
        <f>DATE(76,3,31)</f>
        <v>27850</v>
      </c>
      <c r="G47" s="12">
        <f t="shared" ca="1" si="6"/>
        <v>36</v>
      </c>
      <c r="H47" s="12">
        <f t="shared" ca="1" si="7"/>
        <v>-1</v>
      </c>
      <c r="I47" s="13">
        <f t="shared" ca="1" si="8"/>
        <v>-19</v>
      </c>
      <c r="J47" s="14">
        <f t="shared" ca="1" si="4"/>
        <v>35</v>
      </c>
      <c r="K47" s="12" t="s">
        <v>40</v>
      </c>
      <c r="L47" s="30">
        <v>4</v>
      </c>
      <c r="M47" s="12" t="s">
        <v>40</v>
      </c>
      <c r="N47" s="12">
        <v>10</v>
      </c>
    </row>
    <row r="48" spans="1:15">
      <c r="A48" s="12">
        <f t="shared" si="9"/>
        <v>47</v>
      </c>
      <c r="B48" s="12" t="s">
        <v>1</v>
      </c>
      <c r="C48" s="30" t="s">
        <v>299</v>
      </c>
      <c r="D48" s="30" t="s">
        <v>1044</v>
      </c>
      <c r="E48" s="89">
        <f t="shared" ca="1" si="10"/>
        <v>40951</v>
      </c>
      <c r="F48" s="11">
        <f>DATE(78,7,29)</f>
        <v>28700</v>
      </c>
      <c r="G48" s="12">
        <f t="shared" ca="1" si="6"/>
        <v>34</v>
      </c>
      <c r="H48" s="12">
        <f t="shared" ca="1" si="7"/>
        <v>-5</v>
      </c>
      <c r="I48" s="13">
        <f t="shared" ca="1" si="8"/>
        <v>-17</v>
      </c>
      <c r="J48" s="14">
        <f t="shared" ca="1" si="4"/>
        <v>33</v>
      </c>
      <c r="K48" s="12" t="s">
        <v>41</v>
      </c>
      <c r="L48" s="30">
        <v>4</v>
      </c>
      <c r="M48" s="12" t="s">
        <v>40</v>
      </c>
      <c r="N48" s="12">
        <v>10</v>
      </c>
    </row>
    <row r="49" spans="1:15">
      <c r="A49" s="12">
        <f t="shared" si="9"/>
        <v>48</v>
      </c>
      <c r="B49" s="12" t="s">
        <v>1</v>
      </c>
      <c r="C49" s="30" t="s">
        <v>962</v>
      </c>
      <c r="D49" s="30" t="s">
        <v>77</v>
      </c>
      <c r="E49" s="89">
        <f t="shared" ca="1" si="10"/>
        <v>40951</v>
      </c>
      <c r="F49" s="11">
        <f>DATE(53,5,5)</f>
        <v>19484</v>
      </c>
      <c r="G49" s="12">
        <f t="shared" ca="1" si="6"/>
        <v>59</v>
      </c>
      <c r="H49" s="12">
        <f t="shared" ca="1" si="7"/>
        <v>-3</v>
      </c>
      <c r="I49" s="13">
        <f t="shared" ca="1" si="8"/>
        <v>7</v>
      </c>
      <c r="J49" s="14">
        <f t="shared" ca="1" si="4"/>
        <v>58</v>
      </c>
      <c r="K49" s="12" t="s">
        <v>40</v>
      </c>
      <c r="L49" s="30">
        <v>4</v>
      </c>
      <c r="M49" s="12" t="s">
        <v>40</v>
      </c>
      <c r="N49" s="12">
        <v>11</v>
      </c>
      <c r="O49" s="90" t="s">
        <v>2748</v>
      </c>
    </row>
    <row r="50" spans="1:15">
      <c r="A50" s="12">
        <f t="shared" si="9"/>
        <v>49</v>
      </c>
      <c r="B50" s="12" t="s">
        <v>1</v>
      </c>
      <c r="C50" s="30" t="s">
        <v>488</v>
      </c>
      <c r="D50" s="30" t="s">
        <v>962</v>
      </c>
      <c r="E50" s="89">
        <f t="shared" ca="1" si="10"/>
        <v>40951</v>
      </c>
      <c r="F50" s="11">
        <f>DATE(56,4,4)</f>
        <v>20549</v>
      </c>
      <c r="G50" s="12">
        <f t="shared" ca="1" si="6"/>
        <v>56</v>
      </c>
      <c r="H50" s="12">
        <f t="shared" ca="1" si="7"/>
        <v>-2</v>
      </c>
      <c r="I50" s="13">
        <f t="shared" ca="1" si="8"/>
        <v>8</v>
      </c>
      <c r="J50" s="14">
        <f t="shared" ca="1" si="4"/>
        <v>55</v>
      </c>
      <c r="K50" s="12" t="s">
        <v>41</v>
      </c>
      <c r="L50" s="30">
        <v>4</v>
      </c>
      <c r="M50" s="12" t="s">
        <v>40</v>
      </c>
      <c r="N50" s="12">
        <v>11</v>
      </c>
    </row>
    <row r="51" spans="1:15">
      <c r="A51" s="12">
        <f t="shared" si="9"/>
        <v>50</v>
      </c>
      <c r="B51" s="12" t="s">
        <v>1</v>
      </c>
      <c r="C51" s="30" t="s">
        <v>1082</v>
      </c>
      <c r="D51" s="30" t="s">
        <v>962</v>
      </c>
      <c r="E51" s="89">
        <f t="shared" ca="1" si="10"/>
        <v>40951</v>
      </c>
      <c r="F51" s="11">
        <f>DATE(81,6,12)</f>
        <v>29749</v>
      </c>
      <c r="G51" s="12">
        <f t="shared" ca="1" si="6"/>
        <v>31</v>
      </c>
      <c r="H51" s="12">
        <f t="shared" ca="1" si="7"/>
        <v>-4</v>
      </c>
      <c r="I51" s="13">
        <f t="shared" ca="1" si="8"/>
        <v>0</v>
      </c>
      <c r="J51" s="14">
        <f t="shared" ca="1" si="4"/>
        <v>30</v>
      </c>
      <c r="K51" s="12" t="s">
        <v>40</v>
      </c>
      <c r="L51" s="30">
        <v>4</v>
      </c>
      <c r="M51" s="12" t="s">
        <v>44</v>
      </c>
      <c r="N51" s="12">
        <v>11</v>
      </c>
    </row>
    <row r="52" spans="1:15">
      <c r="A52" s="12">
        <f t="shared" si="9"/>
        <v>51</v>
      </c>
      <c r="B52" s="12" t="s">
        <v>1</v>
      </c>
      <c r="C52" s="30" t="s">
        <v>1045</v>
      </c>
      <c r="D52" s="30" t="s">
        <v>82</v>
      </c>
      <c r="E52" s="89">
        <f t="shared" ca="1" si="10"/>
        <v>40951</v>
      </c>
      <c r="F52" s="11">
        <f>DATE(57,9,23)</f>
        <v>21086</v>
      </c>
      <c r="G52" s="12">
        <f t="shared" ca="1" si="6"/>
        <v>55</v>
      </c>
      <c r="H52" s="12">
        <f t="shared" ca="1" si="7"/>
        <v>-7</v>
      </c>
      <c r="I52" s="13">
        <f t="shared" ca="1" si="8"/>
        <v>-11</v>
      </c>
      <c r="J52" s="14">
        <f t="shared" ca="1" si="4"/>
        <v>54</v>
      </c>
      <c r="K52" s="12" t="s">
        <v>40</v>
      </c>
      <c r="L52" s="30">
        <v>5</v>
      </c>
      <c r="M52" s="12" t="s">
        <v>40</v>
      </c>
      <c r="N52" s="12">
        <v>12</v>
      </c>
      <c r="O52" s="90" t="s">
        <v>2748</v>
      </c>
    </row>
    <row r="53" spans="1:15">
      <c r="A53" s="12">
        <f t="shared" si="9"/>
        <v>52</v>
      </c>
      <c r="B53" s="12" t="s">
        <v>1</v>
      </c>
      <c r="C53" s="30" t="s">
        <v>216</v>
      </c>
      <c r="D53" s="30" t="s">
        <v>1045</v>
      </c>
      <c r="E53" s="89">
        <f t="shared" ca="1" si="10"/>
        <v>40951</v>
      </c>
      <c r="F53" s="11">
        <f>DATE(55,12,16)</f>
        <v>20439</v>
      </c>
      <c r="G53" s="12">
        <f t="shared" ca="1" si="6"/>
        <v>57</v>
      </c>
      <c r="H53" s="12">
        <f t="shared" ca="1" si="7"/>
        <v>-10</v>
      </c>
      <c r="I53" s="13">
        <f t="shared" ca="1" si="8"/>
        <v>-4</v>
      </c>
      <c r="J53" s="14">
        <f t="shared" ca="1" si="4"/>
        <v>56</v>
      </c>
      <c r="K53" s="12" t="s">
        <v>41</v>
      </c>
      <c r="L53" s="12">
        <v>5</v>
      </c>
      <c r="M53" s="12" t="s">
        <v>40</v>
      </c>
      <c r="N53" s="12">
        <v>12</v>
      </c>
    </row>
    <row r="54" spans="1:15">
      <c r="A54" s="12">
        <f t="shared" si="9"/>
        <v>53</v>
      </c>
      <c r="B54" s="12" t="s">
        <v>1</v>
      </c>
      <c r="C54" s="30" t="s">
        <v>299</v>
      </c>
      <c r="D54" s="30" t="s">
        <v>1045</v>
      </c>
      <c r="E54" s="89">
        <f t="shared" ca="1" si="10"/>
        <v>40951</v>
      </c>
      <c r="F54" s="11">
        <f>DATE(76,12,28)</f>
        <v>28122</v>
      </c>
      <c r="G54" s="12">
        <f t="shared" ca="1" si="6"/>
        <v>36</v>
      </c>
      <c r="H54" s="12">
        <f t="shared" ca="1" si="7"/>
        <v>-10</v>
      </c>
      <c r="I54" s="13">
        <f t="shared" ca="1" si="8"/>
        <v>-16</v>
      </c>
      <c r="J54" s="14">
        <f t="shared" ca="1" si="4"/>
        <v>35</v>
      </c>
      <c r="K54" s="12" t="s">
        <v>40</v>
      </c>
      <c r="L54" s="12">
        <v>5</v>
      </c>
      <c r="M54" s="12" t="s">
        <v>44</v>
      </c>
      <c r="N54" s="12">
        <v>12</v>
      </c>
    </row>
    <row r="55" spans="1:15">
      <c r="A55" s="12">
        <f t="shared" si="9"/>
        <v>54</v>
      </c>
      <c r="B55" s="12" t="s">
        <v>1</v>
      </c>
      <c r="C55" s="30" t="s">
        <v>231</v>
      </c>
      <c r="D55" s="30" t="s">
        <v>1045</v>
      </c>
      <c r="E55" s="89">
        <f t="shared" ca="1" si="10"/>
        <v>40951</v>
      </c>
      <c r="F55" s="11">
        <f>DATE(78,3,26)</f>
        <v>28575</v>
      </c>
      <c r="G55" s="12">
        <f t="shared" ca="1" si="6"/>
        <v>34</v>
      </c>
      <c r="H55" s="12">
        <f t="shared" ca="1" si="7"/>
        <v>-1</v>
      </c>
      <c r="I55" s="13">
        <f t="shared" ca="1" si="8"/>
        <v>-14</v>
      </c>
      <c r="J55" s="14">
        <f t="shared" ca="1" si="4"/>
        <v>33</v>
      </c>
      <c r="K55" s="12" t="s">
        <v>41</v>
      </c>
      <c r="L55" s="12">
        <v>5</v>
      </c>
      <c r="M55" s="12" t="s">
        <v>44</v>
      </c>
      <c r="N55" s="12">
        <v>12</v>
      </c>
    </row>
    <row r="56" spans="1:15">
      <c r="A56" s="12">
        <f t="shared" si="9"/>
        <v>55</v>
      </c>
      <c r="B56" s="12" t="s">
        <v>1</v>
      </c>
      <c r="C56" s="30" t="s">
        <v>1083</v>
      </c>
      <c r="D56" s="30" t="s">
        <v>1045</v>
      </c>
      <c r="E56" s="89">
        <f t="shared" ca="1" si="10"/>
        <v>40951</v>
      </c>
      <c r="F56" s="44">
        <f>DATE(78,6,2)</f>
        <v>28643</v>
      </c>
      <c r="G56" s="12">
        <f t="shared" ca="1" si="6"/>
        <v>34</v>
      </c>
      <c r="H56" s="12">
        <f t="shared" ca="1" si="7"/>
        <v>-4</v>
      </c>
      <c r="I56" s="13">
        <f t="shared" ca="1" si="8"/>
        <v>10</v>
      </c>
      <c r="J56" s="14">
        <f t="shared" ca="1" si="4"/>
        <v>33</v>
      </c>
      <c r="K56" s="12" t="s">
        <v>41</v>
      </c>
      <c r="L56" s="12">
        <v>5</v>
      </c>
      <c r="M56" s="12" t="s">
        <v>44</v>
      </c>
      <c r="N56" s="12">
        <v>12</v>
      </c>
    </row>
    <row r="57" spans="1:15">
      <c r="A57" s="12">
        <f t="shared" si="9"/>
        <v>56</v>
      </c>
      <c r="B57" s="12" t="s">
        <v>1</v>
      </c>
      <c r="C57" s="30" t="s">
        <v>315</v>
      </c>
      <c r="D57" s="30" t="s">
        <v>91</v>
      </c>
      <c r="E57" s="89">
        <f t="shared" ca="1" si="10"/>
        <v>40951</v>
      </c>
      <c r="F57" s="11">
        <f>DATE(50,5,20)</f>
        <v>18403</v>
      </c>
      <c r="G57" s="12">
        <f t="shared" ca="1" si="6"/>
        <v>62</v>
      </c>
      <c r="H57" s="12">
        <f t="shared" ca="1" si="7"/>
        <v>-3</v>
      </c>
      <c r="I57" s="13">
        <f t="shared" ca="1" si="8"/>
        <v>-8</v>
      </c>
      <c r="J57" s="14">
        <f t="shared" ca="1" si="4"/>
        <v>61</v>
      </c>
      <c r="K57" s="12" t="s">
        <v>40</v>
      </c>
      <c r="L57" s="12">
        <v>5</v>
      </c>
      <c r="M57" s="12" t="s">
        <v>40</v>
      </c>
      <c r="N57" s="12">
        <v>13</v>
      </c>
      <c r="O57" s="90" t="s">
        <v>2748</v>
      </c>
    </row>
    <row r="58" spans="1:15">
      <c r="A58" s="12">
        <f t="shared" si="9"/>
        <v>57</v>
      </c>
      <c r="B58" s="12" t="s">
        <v>1</v>
      </c>
      <c r="C58" s="30" t="s">
        <v>1084</v>
      </c>
      <c r="D58" s="30" t="s">
        <v>315</v>
      </c>
      <c r="E58" s="89">
        <f t="shared" ca="1" si="10"/>
        <v>40951</v>
      </c>
      <c r="F58" s="11">
        <f>DATE(54,2,11)</f>
        <v>19766</v>
      </c>
      <c r="G58" s="12">
        <f t="shared" ca="1" si="6"/>
        <v>58</v>
      </c>
      <c r="H58" s="12">
        <f t="shared" ca="1" si="7"/>
        <v>0</v>
      </c>
      <c r="I58" s="13">
        <f t="shared" ca="1" si="8"/>
        <v>1</v>
      </c>
      <c r="J58" s="14">
        <f t="shared" ca="1" si="4"/>
        <v>58</v>
      </c>
      <c r="K58" s="12" t="s">
        <v>41</v>
      </c>
      <c r="L58" s="12">
        <v>5</v>
      </c>
      <c r="M58" s="12" t="s">
        <v>40</v>
      </c>
      <c r="N58" s="12">
        <v>13</v>
      </c>
    </row>
    <row r="59" spans="1:15">
      <c r="A59" s="12">
        <f t="shared" si="9"/>
        <v>58</v>
      </c>
      <c r="B59" s="12" t="s">
        <v>1</v>
      </c>
      <c r="C59" s="30" t="s">
        <v>305</v>
      </c>
      <c r="D59" s="30" t="s">
        <v>315</v>
      </c>
      <c r="E59" s="89">
        <f t="shared" ca="1" si="10"/>
        <v>40951</v>
      </c>
      <c r="F59" s="32"/>
      <c r="G59" s="12">
        <f t="shared" ca="1" si="6"/>
        <v>112</v>
      </c>
      <c r="H59" s="12">
        <f t="shared" ca="1" si="7"/>
        <v>1</v>
      </c>
      <c r="I59" s="13">
        <f t="shared" ca="1" si="8"/>
        <v>12</v>
      </c>
      <c r="J59" s="14">
        <f t="shared" ca="1" si="4"/>
        <v>112</v>
      </c>
      <c r="K59" s="12" t="s">
        <v>40</v>
      </c>
      <c r="L59" s="12">
        <v>5</v>
      </c>
      <c r="M59" s="12" t="s">
        <v>44</v>
      </c>
      <c r="N59" s="12">
        <v>13</v>
      </c>
    </row>
    <row r="60" spans="1:15">
      <c r="A60" s="12">
        <f t="shared" si="9"/>
        <v>59</v>
      </c>
      <c r="B60" s="12" t="s">
        <v>1</v>
      </c>
      <c r="C60" s="30" t="s">
        <v>1085</v>
      </c>
      <c r="D60" s="30" t="s">
        <v>315</v>
      </c>
      <c r="E60" s="89">
        <f t="shared" ca="1" si="10"/>
        <v>40951</v>
      </c>
      <c r="F60" s="32"/>
      <c r="G60" s="12">
        <f t="shared" ca="1" si="6"/>
        <v>112</v>
      </c>
      <c r="H60" s="12">
        <f t="shared" ca="1" si="7"/>
        <v>1</v>
      </c>
      <c r="I60" s="13">
        <f t="shared" ca="1" si="8"/>
        <v>12</v>
      </c>
      <c r="J60" s="14">
        <f t="shared" ca="1" si="4"/>
        <v>112</v>
      </c>
      <c r="K60" s="12" t="s">
        <v>41</v>
      </c>
      <c r="L60" s="12">
        <v>5</v>
      </c>
      <c r="M60" s="12" t="s">
        <v>44</v>
      </c>
      <c r="N60" s="12">
        <v>13</v>
      </c>
    </row>
    <row r="61" spans="1:15">
      <c r="A61" s="12">
        <f t="shared" si="9"/>
        <v>60</v>
      </c>
      <c r="B61" s="12" t="s">
        <v>1</v>
      </c>
      <c r="C61" s="30" t="s">
        <v>315</v>
      </c>
      <c r="D61" s="30" t="s">
        <v>417</v>
      </c>
      <c r="E61" s="89">
        <f t="shared" ca="1" si="10"/>
        <v>40951</v>
      </c>
      <c r="F61" s="11">
        <f>DATE(45,12,10)</f>
        <v>16781</v>
      </c>
      <c r="G61" s="12">
        <f t="shared" ca="1" si="6"/>
        <v>67</v>
      </c>
      <c r="H61" s="12">
        <f t="shared" ca="1" si="7"/>
        <v>-10</v>
      </c>
      <c r="I61" s="13">
        <f t="shared" ca="1" si="8"/>
        <v>2</v>
      </c>
      <c r="J61" s="14">
        <f t="shared" ca="1" si="4"/>
        <v>66</v>
      </c>
      <c r="K61" s="12" t="s">
        <v>40</v>
      </c>
      <c r="L61" s="12">
        <v>5</v>
      </c>
      <c r="M61" s="12" t="s">
        <v>40</v>
      </c>
      <c r="N61" s="12">
        <v>14</v>
      </c>
      <c r="O61" s="90" t="s">
        <v>2748</v>
      </c>
    </row>
    <row r="62" spans="1:15">
      <c r="A62" s="12">
        <f t="shared" si="9"/>
        <v>61</v>
      </c>
      <c r="B62" s="12" t="s">
        <v>1</v>
      </c>
      <c r="C62" s="30" t="s">
        <v>1086</v>
      </c>
      <c r="D62" s="30" t="s">
        <v>315</v>
      </c>
      <c r="E62" s="89">
        <f t="shared" ca="1" si="10"/>
        <v>40951</v>
      </c>
      <c r="F62" s="32"/>
      <c r="G62" s="12">
        <f t="shared" ca="1" si="6"/>
        <v>112</v>
      </c>
      <c r="H62" s="12">
        <f t="shared" ca="1" si="7"/>
        <v>1</v>
      </c>
      <c r="I62" s="13">
        <f t="shared" ca="1" si="8"/>
        <v>12</v>
      </c>
      <c r="J62" s="14">
        <f t="shared" ca="1" si="4"/>
        <v>112</v>
      </c>
      <c r="K62" s="12" t="s">
        <v>41</v>
      </c>
      <c r="L62" s="12">
        <v>5</v>
      </c>
      <c r="M62" s="12" t="s">
        <v>40</v>
      </c>
      <c r="N62" s="12">
        <v>14</v>
      </c>
    </row>
    <row r="63" spans="1:15">
      <c r="A63" s="12">
        <f t="shared" si="9"/>
        <v>62</v>
      </c>
      <c r="B63" s="12" t="s">
        <v>1</v>
      </c>
      <c r="C63" s="30" t="s">
        <v>305</v>
      </c>
      <c r="D63" s="30" t="s">
        <v>315</v>
      </c>
      <c r="E63" s="89">
        <f t="shared" ca="1" si="10"/>
        <v>40951</v>
      </c>
      <c r="F63" s="11">
        <f>DATE(78,12,17)</f>
        <v>28841</v>
      </c>
      <c r="G63" s="12">
        <f t="shared" ca="1" si="6"/>
        <v>34</v>
      </c>
      <c r="H63" s="12">
        <f t="shared" ca="1" si="7"/>
        <v>-10</v>
      </c>
      <c r="I63" s="13">
        <f t="shared" ca="1" si="8"/>
        <v>-5</v>
      </c>
      <c r="J63" s="14">
        <f t="shared" ca="1" si="4"/>
        <v>33</v>
      </c>
      <c r="K63" s="12" t="s">
        <v>40</v>
      </c>
      <c r="L63" s="12">
        <v>5</v>
      </c>
      <c r="M63" s="12" t="s">
        <v>44</v>
      </c>
      <c r="N63" s="12">
        <v>14</v>
      </c>
    </row>
    <row r="64" spans="1:15">
      <c r="A64" s="12">
        <f t="shared" si="9"/>
        <v>63</v>
      </c>
      <c r="B64" s="12" t="s">
        <v>1</v>
      </c>
      <c r="C64" s="30" t="s">
        <v>982</v>
      </c>
      <c r="D64" s="30" t="s">
        <v>315</v>
      </c>
      <c r="E64" s="89">
        <f t="shared" ca="1" si="10"/>
        <v>40951</v>
      </c>
      <c r="F64" s="11">
        <f>DATE(80,7,15)</f>
        <v>29417</v>
      </c>
      <c r="G64" s="12">
        <f t="shared" ca="1" si="6"/>
        <v>32</v>
      </c>
      <c r="H64" s="12">
        <f t="shared" ca="1" si="7"/>
        <v>-5</v>
      </c>
      <c r="I64" s="13">
        <f t="shared" ca="1" si="8"/>
        <v>-3</v>
      </c>
      <c r="J64" s="14">
        <f t="shared" ca="1" si="4"/>
        <v>31</v>
      </c>
      <c r="K64" s="12" t="s">
        <v>40</v>
      </c>
      <c r="L64" s="12">
        <v>5</v>
      </c>
      <c r="M64" s="12" t="s">
        <v>44</v>
      </c>
      <c r="N64" s="12">
        <v>14</v>
      </c>
    </row>
    <row r="65" spans="1:15">
      <c r="A65" s="12">
        <f t="shared" si="9"/>
        <v>64</v>
      </c>
      <c r="B65" s="12" t="s">
        <v>1</v>
      </c>
      <c r="C65" s="30" t="s">
        <v>57</v>
      </c>
      <c r="D65" s="30" t="s">
        <v>973</v>
      </c>
      <c r="E65" s="89">
        <f t="shared" ca="1" si="10"/>
        <v>40951</v>
      </c>
      <c r="F65" s="11">
        <f>DATE(45,11,2)</f>
        <v>16743</v>
      </c>
      <c r="G65" s="12">
        <f t="shared" ca="1" si="6"/>
        <v>67</v>
      </c>
      <c r="H65" s="12">
        <f t="shared" ca="1" si="7"/>
        <v>-9</v>
      </c>
      <c r="I65" s="13">
        <f t="shared" ca="1" si="8"/>
        <v>10</v>
      </c>
      <c r="J65" s="14">
        <f t="shared" ca="1" si="4"/>
        <v>66</v>
      </c>
      <c r="K65" s="12" t="s">
        <v>40</v>
      </c>
      <c r="L65" s="12">
        <v>6</v>
      </c>
      <c r="M65" s="12" t="s">
        <v>40</v>
      </c>
      <c r="N65" s="12">
        <v>15</v>
      </c>
      <c r="O65" s="90" t="s">
        <v>2748</v>
      </c>
    </row>
    <row r="66" spans="1:15">
      <c r="A66" s="12">
        <f t="shared" si="9"/>
        <v>65</v>
      </c>
      <c r="B66" s="12" t="s">
        <v>1</v>
      </c>
      <c r="C66" s="30" t="s">
        <v>506</v>
      </c>
      <c r="D66" s="30" t="s">
        <v>560</v>
      </c>
      <c r="E66" s="89">
        <f t="shared" ca="1" si="10"/>
        <v>40951</v>
      </c>
      <c r="F66" s="11">
        <f>DATE(66,9,6)</f>
        <v>24356</v>
      </c>
      <c r="G66" s="12">
        <f t="shared" ca="1" si="6"/>
        <v>46</v>
      </c>
      <c r="H66" s="12">
        <f t="shared" ca="1" si="7"/>
        <v>-7</v>
      </c>
      <c r="I66" s="13">
        <f t="shared" ca="1" si="8"/>
        <v>6</v>
      </c>
      <c r="J66" s="14">
        <f t="shared" ca="1" si="4"/>
        <v>45</v>
      </c>
      <c r="K66" s="12" t="s">
        <v>40</v>
      </c>
      <c r="L66" s="12">
        <v>6</v>
      </c>
      <c r="M66" s="12" t="s">
        <v>40</v>
      </c>
      <c r="N66" s="12">
        <v>15</v>
      </c>
    </row>
    <row r="67" spans="1:15">
      <c r="A67" s="12">
        <f t="shared" si="9"/>
        <v>66</v>
      </c>
      <c r="B67" s="12" t="s">
        <v>1</v>
      </c>
      <c r="C67" s="30" t="s">
        <v>122</v>
      </c>
      <c r="D67" s="30" t="s">
        <v>1046</v>
      </c>
      <c r="E67" s="89">
        <f t="shared" ca="1" si="10"/>
        <v>40951</v>
      </c>
      <c r="F67" s="11">
        <f>DATE(68,10,4)</f>
        <v>25115</v>
      </c>
      <c r="G67" s="12">
        <f t="shared" ca="1" si="6"/>
        <v>44</v>
      </c>
      <c r="H67" s="12">
        <f t="shared" ca="1" si="7"/>
        <v>-8</v>
      </c>
      <c r="I67" s="13">
        <f t="shared" ca="1" si="8"/>
        <v>8</v>
      </c>
      <c r="J67" s="14">
        <f t="shared" ref="J67:J130" ca="1" si="11">IF(H67&lt;0,G67-1,IF(H67&gt;0,G67,IF(I67&lt;0,G67-1,G67)))</f>
        <v>43</v>
      </c>
      <c r="K67" s="12" t="s">
        <v>41</v>
      </c>
      <c r="L67" s="12">
        <v>6</v>
      </c>
      <c r="M67" s="12" t="s">
        <v>40</v>
      </c>
      <c r="N67" s="12">
        <v>15</v>
      </c>
    </row>
    <row r="68" spans="1:15">
      <c r="A68" s="12">
        <f t="shared" si="9"/>
        <v>67</v>
      </c>
      <c r="B68" s="12" t="s">
        <v>1</v>
      </c>
      <c r="C68" s="30" t="s">
        <v>1087</v>
      </c>
      <c r="D68" s="30" t="s">
        <v>1046</v>
      </c>
      <c r="E68" s="89">
        <f t="shared" ca="1" si="10"/>
        <v>40951</v>
      </c>
      <c r="F68" s="11">
        <f>DATE(93,11,19)</f>
        <v>34292</v>
      </c>
      <c r="G68" s="12">
        <f t="shared" ca="1" si="6"/>
        <v>19</v>
      </c>
      <c r="H68" s="12">
        <f t="shared" ca="1" si="7"/>
        <v>-9</v>
      </c>
      <c r="I68" s="13">
        <f t="shared" ca="1" si="8"/>
        <v>-7</v>
      </c>
      <c r="J68" s="14">
        <f t="shared" ca="1" si="11"/>
        <v>18</v>
      </c>
      <c r="K68" s="12" t="s">
        <v>40</v>
      </c>
      <c r="L68" s="12">
        <v>6</v>
      </c>
      <c r="M68" s="12" t="s">
        <v>44</v>
      </c>
      <c r="N68" s="12">
        <v>15</v>
      </c>
    </row>
    <row r="69" spans="1:15">
      <c r="A69" s="12">
        <f t="shared" si="9"/>
        <v>68</v>
      </c>
      <c r="B69" s="12" t="s">
        <v>1</v>
      </c>
      <c r="C69" s="30" t="s">
        <v>1088</v>
      </c>
      <c r="D69" s="30" t="s">
        <v>1046</v>
      </c>
      <c r="E69" s="89">
        <f t="shared" ca="1" si="10"/>
        <v>40951</v>
      </c>
      <c r="F69" s="11">
        <f>DATE(2000,2,1)</f>
        <v>36557</v>
      </c>
      <c r="G69" s="12">
        <f t="shared" ca="1" si="6"/>
        <v>12</v>
      </c>
      <c r="H69" s="12">
        <f t="shared" ca="1" si="7"/>
        <v>0</v>
      </c>
      <c r="I69" s="13">
        <f t="shared" ca="1" si="8"/>
        <v>11</v>
      </c>
      <c r="J69" s="14">
        <f t="shared" ca="1" si="11"/>
        <v>12</v>
      </c>
      <c r="K69" s="12" t="s">
        <v>40</v>
      </c>
      <c r="L69" s="12">
        <v>6</v>
      </c>
      <c r="M69" s="12" t="s">
        <v>44</v>
      </c>
      <c r="N69" s="12">
        <v>15</v>
      </c>
    </row>
    <row r="70" spans="1:15">
      <c r="A70" s="12">
        <f t="shared" si="9"/>
        <v>69</v>
      </c>
      <c r="B70" s="12" t="s">
        <v>1</v>
      </c>
      <c r="C70" s="30" t="s">
        <v>1047</v>
      </c>
      <c r="D70" s="30" t="s">
        <v>103</v>
      </c>
      <c r="E70" s="89">
        <f t="shared" ca="1" si="10"/>
        <v>40951</v>
      </c>
      <c r="F70" s="11">
        <f>DATE(76,7,13)</f>
        <v>27954</v>
      </c>
      <c r="G70" s="12">
        <f t="shared" ca="1" si="6"/>
        <v>36</v>
      </c>
      <c r="H70" s="12">
        <f t="shared" ca="1" si="7"/>
        <v>-5</v>
      </c>
      <c r="I70" s="13">
        <f t="shared" ca="1" si="8"/>
        <v>-1</v>
      </c>
      <c r="J70" s="14">
        <f t="shared" ca="1" si="11"/>
        <v>35</v>
      </c>
      <c r="K70" s="12" t="s">
        <v>40</v>
      </c>
      <c r="L70" s="12">
        <v>6</v>
      </c>
      <c r="M70" s="12" t="s">
        <v>40</v>
      </c>
      <c r="N70" s="12">
        <v>16</v>
      </c>
      <c r="O70" s="90" t="s">
        <v>2748</v>
      </c>
    </row>
    <row r="71" spans="1:15">
      <c r="A71" s="12">
        <f t="shared" si="9"/>
        <v>70</v>
      </c>
      <c r="B71" s="12" t="s">
        <v>1</v>
      </c>
      <c r="C71" s="30" t="s">
        <v>170</v>
      </c>
      <c r="D71" s="30" t="s">
        <v>1047</v>
      </c>
      <c r="E71" s="89">
        <f t="shared" ca="1" si="10"/>
        <v>40951</v>
      </c>
      <c r="F71" s="11">
        <f>DATE(78,7,13)</f>
        <v>28684</v>
      </c>
      <c r="G71" s="12">
        <f t="shared" ca="1" si="6"/>
        <v>34</v>
      </c>
      <c r="H71" s="12">
        <f t="shared" ca="1" si="7"/>
        <v>-5</v>
      </c>
      <c r="I71" s="13">
        <f t="shared" ca="1" si="8"/>
        <v>-1</v>
      </c>
      <c r="J71" s="14">
        <f t="shared" ca="1" si="11"/>
        <v>33</v>
      </c>
      <c r="K71" s="12" t="s">
        <v>41</v>
      </c>
      <c r="L71" s="12">
        <v>6</v>
      </c>
      <c r="M71" s="12" t="s">
        <v>40</v>
      </c>
      <c r="N71" s="12">
        <v>16</v>
      </c>
    </row>
    <row r="72" spans="1:15">
      <c r="A72" s="12">
        <f t="shared" si="9"/>
        <v>71</v>
      </c>
      <c r="B72" s="12" t="s">
        <v>1</v>
      </c>
      <c r="C72" s="30" t="s">
        <v>967</v>
      </c>
      <c r="D72" s="30" t="s">
        <v>1048</v>
      </c>
      <c r="E72" s="89">
        <f t="shared" ca="1" si="10"/>
        <v>40951</v>
      </c>
      <c r="F72" s="11">
        <f>DATE(50,5,9)</f>
        <v>18392</v>
      </c>
      <c r="G72" s="12">
        <f t="shared" ca="1" si="6"/>
        <v>62</v>
      </c>
      <c r="H72" s="12">
        <f t="shared" ca="1" si="7"/>
        <v>-3</v>
      </c>
      <c r="I72" s="13">
        <f t="shared" ca="1" si="8"/>
        <v>3</v>
      </c>
      <c r="J72" s="14">
        <f t="shared" ca="1" si="11"/>
        <v>61</v>
      </c>
      <c r="K72" s="12" t="s">
        <v>40</v>
      </c>
      <c r="L72" s="12">
        <v>6</v>
      </c>
      <c r="M72" s="12" t="s">
        <v>40</v>
      </c>
      <c r="N72" s="12">
        <v>17</v>
      </c>
      <c r="O72" s="90" t="s">
        <v>2748</v>
      </c>
    </row>
    <row r="73" spans="1:15">
      <c r="A73" s="12">
        <f t="shared" si="9"/>
        <v>72</v>
      </c>
      <c r="B73" s="12" t="s">
        <v>1</v>
      </c>
      <c r="C73" s="30" t="s">
        <v>1089</v>
      </c>
      <c r="D73" s="30" t="s">
        <v>1049</v>
      </c>
      <c r="E73" s="89">
        <f t="shared" ca="1" si="10"/>
        <v>40951</v>
      </c>
      <c r="F73" s="32"/>
      <c r="G73" s="12">
        <f t="shared" ca="1" si="6"/>
        <v>112</v>
      </c>
      <c r="H73" s="12">
        <f t="shared" ca="1" si="7"/>
        <v>1</v>
      </c>
      <c r="I73" s="13">
        <f t="shared" ca="1" si="8"/>
        <v>12</v>
      </c>
      <c r="J73" s="14">
        <f t="shared" ca="1" si="11"/>
        <v>112</v>
      </c>
      <c r="K73" s="12" t="s">
        <v>41</v>
      </c>
      <c r="L73" s="12">
        <v>6</v>
      </c>
      <c r="M73" s="12" t="s">
        <v>40</v>
      </c>
      <c r="N73" s="12">
        <v>17</v>
      </c>
    </row>
    <row r="74" spans="1:15">
      <c r="A74" s="12">
        <f t="shared" si="9"/>
        <v>73</v>
      </c>
      <c r="B74" s="12" t="s">
        <v>1</v>
      </c>
      <c r="C74" s="30" t="s">
        <v>1090</v>
      </c>
      <c r="D74" s="30" t="s">
        <v>967</v>
      </c>
      <c r="E74" s="89">
        <f t="shared" ca="1" si="10"/>
        <v>40951</v>
      </c>
      <c r="F74" s="11">
        <f>DATE(57,2,22)</f>
        <v>20873</v>
      </c>
      <c r="G74" s="12">
        <f t="shared" ca="1" si="6"/>
        <v>55</v>
      </c>
      <c r="H74" s="12">
        <f t="shared" ca="1" si="7"/>
        <v>0</v>
      </c>
      <c r="I74" s="13">
        <f t="shared" ca="1" si="8"/>
        <v>-10</v>
      </c>
      <c r="J74" s="14">
        <f t="shared" ca="1" si="11"/>
        <v>54</v>
      </c>
      <c r="K74" s="12" t="s">
        <v>41</v>
      </c>
      <c r="L74" s="12">
        <v>6</v>
      </c>
      <c r="M74" s="12" t="s">
        <v>40</v>
      </c>
      <c r="N74" s="12">
        <v>17</v>
      </c>
    </row>
    <row r="75" spans="1:15">
      <c r="A75" s="12">
        <f t="shared" si="9"/>
        <v>74</v>
      </c>
      <c r="B75" s="12" t="s">
        <v>1</v>
      </c>
      <c r="C75" s="30" t="s">
        <v>1050</v>
      </c>
      <c r="D75" s="30" t="s">
        <v>967</v>
      </c>
      <c r="E75" s="89">
        <f t="shared" ca="1" si="10"/>
        <v>40951</v>
      </c>
      <c r="F75" s="11">
        <f>DATE(79,7,23)</f>
        <v>29059</v>
      </c>
      <c r="G75" s="12">
        <f t="shared" ca="1" si="6"/>
        <v>33</v>
      </c>
      <c r="H75" s="12">
        <f t="shared" ca="1" si="7"/>
        <v>-5</v>
      </c>
      <c r="I75" s="13">
        <f t="shared" ca="1" si="8"/>
        <v>-11</v>
      </c>
      <c r="J75" s="14">
        <f t="shared" ca="1" si="11"/>
        <v>32</v>
      </c>
      <c r="K75" s="12" t="s">
        <v>40</v>
      </c>
      <c r="L75" s="12">
        <v>6</v>
      </c>
      <c r="M75" s="12" t="s">
        <v>40</v>
      </c>
      <c r="N75" s="12">
        <v>17</v>
      </c>
    </row>
    <row r="76" spans="1:15">
      <c r="A76" s="12">
        <f t="shared" si="9"/>
        <v>75</v>
      </c>
      <c r="B76" s="12" t="s">
        <v>1</v>
      </c>
      <c r="C76" s="30" t="s">
        <v>160</v>
      </c>
      <c r="D76" s="30" t="s">
        <v>1050</v>
      </c>
      <c r="E76" s="89">
        <f t="shared" ca="1" si="10"/>
        <v>40951</v>
      </c>
      <c r="F76" s="11">
        <f>DATE(81,11,23)</f>
        <v>29913</v>
      </c>
      <c r="G76" s="12">
        <f t="shared" ca="1" si="6"/>
        <v>31</v>
      </c>
      <c r="H76" s="12">
        <f t="shared" ca="1" si="7"/>
        <v>-9</v>
      </c>
      <c r="I76" s="13">
        <f t="shared" ca="1" si="8"/>
        <v>-11</v>
      </c>
      <c r="J76" s="14">
        <f t="shared" ca="1" si="11"/>
        <v>30</v>
      </c>
      <c r="K76" s="12" t="s">
        <v>41</v>
      </c>
      <c r="L76" s="12">
        <v>6</v>
      </c>
      <c r="M76" s="12" t="s">
        <v>40</v>
      </c>
      <c r="N76" s="12">
        <v>17</v>
      </c>
    </row>
    <row r="77" spans="1:15">
      <c r="A77" s="12">
        <f t="shared" si="9"/>
        <v>76</v>
      </c>
      <c r="B77" s="12" t="s">
        <v>1</v>
      </c>
      <c r="C77" s="30" t="s">
        <v>604</v>
      </c>
      <c r="D77" s="30" t="s">
        <v>1050</v>
      </c>
      <c r="E77" s="89">
        <f t="shared" ca="1" si="10"/>
        <v>40951</v>
      </c>
      <c r="F77" s="11">
        <f>DATE(2005,9,24)</f>
        <v>38619</v>
      </c>
      <c r="G77" s="12">
        <f t="shared" ca="1" si="6"/>
        <v>7</v>
      </c>
      <c r="H77" s="12">
        <f t="shared" ca="1" si="7"/>
        <v>-7</v>
      </c>
      <c r="I77" s="13">
        <f t="shared" ca="1" si="8"/>
        <v>-12</v>
      </c>
      <c r="J77" s="14">
        <f t="shared" ca="1" si="11"/>
        <v>6</v>
      </c>
      <c r="K77" s="12" t="s">
        <v>40</v>
      </c>
      <c r="L77" s="12">
        <v>6</v>
      </c>
      <c r="M77" s="12" t="s">
        <v>44</v>
      </c>
      <c r="N77" s="12">
        <v>17</v>
      </c>
    </row>
    <row r="78" spans="1:15">
      <c r="A78" s="12">
        <f t="shared" si="9"/>
        <v>77</v>
      </c>
      <c r="B78" s="12" t="s">
        <v>1</v>
      </c>
      <c r="C78" s="30" t="s">
        <v>406</v>
      </c>
      <c r="D78" s="30" t="s">
        <v>967</v>
      </c>
      <c r="E78" s="89">
        <f t="shared" ca="1" si="10"/>
        <v>40951</v>
      </c>
      <c r="F78" s="11">
        <f>DATE(83,11,23)</f>
        <v>30643</v>
      </c>
      <c r="G78" s="12">
        <f t="shared" ca="1" si="6"/>
        <v>29</v>
      </c>
      <c r="H78" s="12">
        <f t="shared" ca="1" si="7"/>
        <v>-9</v>
      </c>
      <c r="I78" s="13">
        <f t="shared" ca="1" si="8"/>
        <v>-11</v>
      </c>
      <c r="J78" s="14">
        <f t="shared" ca="1" si="11"/>
        <v>28</v>
      </c>
      <c r="K78" s="12" t="s">
        <v>41</v>
      </c>
      <c r="L78" s="12">
        <v>6</v>
      </c>
      <c r="M78" s="12" t="s">
        <v>44</v>
      </c>
      <c r="N78" s="12">
        <v>17</v>
      </c>
    </row>
    <row r="79" spans="1:15">
      <c r="A79" s="12">
        <f t="shared" si="9"/>
        <v>78</v>
      </c>
      <c r="B79" s="12" t="s">
        <v>1</v>
      </c>
      <c r="C79" s="30" t="s">
        <v>545</v>
      </c>
      <c r="D79" s="30" t="s">
        <v>1051</v>
      </c>
      <c r="E79" s="89">
        <f t="shared" ca="1" si="10"/>
        <v>40951</v>
      </c>
      <c r="F79" s="11">
        <f>DATE(60,9,9)</f>
        <v>22168</v>
      </c>
      <c r="G79" s="12">
        <f t="shared" ca="1" si="6"/>
        <v>52</v>
      </c>
      <c r="H79" s="12">
        <f t="shared" ca="1" si="7"/>
        <v>-7</v>
      </c>
      <c r="I79" s="13">
        <f t="shared" ca="1" si="8"/>
        <v>3</v>
      </c>
      <c r="J79" s="14">
        <f t="shared" ca="1" si="11"/>
        <v>51</v>
      </c>
      <c r="K79" s="12" t="s">
        <v>40</v>
      </c>
      <c r="L79" s="12">
        <v>7</v>
      </c>
      <c r="M79" s="12" t="s">
        <v>40</v>
      </c>
      <c r="N79" s="12">
        <v>18</v>
      </c>
      <c r="O79" s="90" t="s">
        <v>2748</v>
      </c>
    </row>
    <row r="80" spans="1:15">
      <c r="A80" s="12">
        <f t="shared" si="9"/>
        <v>79</v>
      </c>
      <c r="B80" s="12" t="s">
        <v>1</v>
      </c>
      <c r="C80" s="30" t="s">
        <v>119</v>
      </c>
      <c r="D80" s="30" t="s">
        <v>545</v>
      </c>
      <c r="E80" s="89">
        <f t="shared" ca="1" si="10"/>
        <v>40951</v>
      </c>
      <c r="F80" s="44">
        <f>DATE(66,9,9)</f>
        <v>24359</v>
      </c>
      <c r="G80" s="12">
        <f t="shared" ca="1" si="6"/>
        <v>46</v>
      </c>
      <c r="H80" s="12">
        <f t="shared" ca="1" si="7"/>
        <v>-7</v>
      </c>
      <c r="I80" s="13">
        <f t="shared" ca="1" si="8"/>
        <v>3</v>
      </c>
      <c r="J80" s="14">
        <f t="shared" ca="1" si="11"/>
        <v>45</v>
      </c>
      <c r="K80" s="12" t="s">
        <v>41</v>
      </c>
      <c r="L80" s="12">
        <v>7</v>
      </c>
      <c r="M80" s="12" t="s">
        <v>40</v>
      </c>
      <c r="N80" s="12">
        <v>18</v>
      </c>
    </row>
    <row r="81" spans="1:15">
      <c r="A81" s="12">
        <f t="shared" si="9"/>
        <v>80</v>
      </c>
      <c r="B81" s="12" t="s">
        <v>1</v>
      </c>
      <c r="C81" s="30" t="s">
        <v>1091</v>
      </c>
      <c r="D81" s="30" t="s">
        <v>545</v>
      </c>
      <c r="E81" s="89">
        <f t="shared" ca="1" si="10"/>
        <v>40951</v>
      </c>
      <c r="F81" s="11">
        <f>DATE(90,2,6)</f>
        <v>32910</v>
      </c>
      <c r="G81" s="12">
        <f t="shared" ca="1" si="6"/>
        <v>22</v>
      </c>
      <c r="H81" s="12">
        <f t="shared" ca="1" si="7"/>
        <v>0</v>
      </c>
      <c r="I81" s="13">
        <f t="shared" ca="1" si="8"/>
        <v>6</v>
      </c>
      <c r="J81" s="14">
        <f t="shared" ca="1" si="11"/>
        <v>22</v>
      </c>
      <c r="K81" s="12" t="s">
        <v>41</v>
      </c>
      <c r="L81" s="12">
        <v>7</v>
      </c>
      <c r="M81" s="12" t="s">
        <v>44</v>
      </c>
      <c r="N81" s="12">
        <v>18</v>
      </c>
    </row>
    <row r="82" spans="1:15">
      <c r="A82" s="12">
        <f t="shared" si="9"/>
        <v>81</v>
      </c>
      <c r="B82" s="12" t="s">
        <v>1</v>
      </c>
      <c r="C82" s="30" t="s">
        <v>177</v>
      </c>
      <c r="D82" s="30" t="s">
        <v>545</v>
      </c>
      <c r="E82" s="89">
        <f t="shared" ca="1" si="10"/>
        <v>40951</v>
      </c>
      <c r="F82" s="11">
        <f>DATE(93,3,14)</f>
        <v>34042</v>
      </c>
      <c r="G82" s="12">
        <f t="shared" ca="1" si="6"/>
        <v>19</v>
      </c>
      <c r="H82" s="12">
        <f t="shared" ca="1" si="7"/>
        <v>-1</v>
      </c>
      <c r="I82" s="13">
        <f t="shared" ca="1" si="8"/>
        <v>-2</v>
      </c>
      <c r="J82" s="14">
        <f t="shared" ca="1" si="11"/>
        <v>18</v>
      </c>
      <c r="K82" s="12" t="s">
        <v>40</v>
      </c>
      <c r="L82" s="12">
        <v>7</v>
      </c>
      <c r="M82" s="12" t="s">
        <v>44</v>
      </c>
      <c r="N82" s="12">
        <v>18</v>
      </c>
    </row>
    <row r="83" spans="1:15">
      <c r="A83" s="12">
        <f t="shared" si="9"/>
        <v>82</v>
      </c>
      <c r="B83" s="12" t="s">
        <v>1</v>
      </c>
      <c r="C83" s="30" t="s">
        <v>1052</v>
      </c>
      <c r="D83" s="30" t="s">
        <v>77</v>
      </c>
      <c r="E83" s="89">
        <f t="shared" ca="1" si="10"/>
        <v>40951</v>
      </c>
      <c r="F83" s="11">
        <f>DATE(49,12,10)</f>
        <v>18242</v>
      </c>
      <c r="G83" s="12">
        <f t="shared" ca="1" si="6"/>
        <v>63</v>
      </c>
      <c r="H83" s="12">
        <f t="shared" ca="1" si="7"/>
        <v>-10</v>
      </c>
      <c r="I83" s="13">
        <f t="shared" ca="1" si="8"/>
        <v>2</v>
      </c>
      <c r="J83" s="14">
        <f t="shared" ca="1" si="11"/>
        <v>62</v>
      </c>
      <c r="K83" s="12" t="s">
        <v>40</v>
      </c>
      <c r="L83" s="12">
        <v>7</v>
      </c>
      <c r="M83" s="12" t="s">
        <v>40</v>
      </c>
      <c r="N83" s="12">
        <v>19</v>
      </c>
      <c r="O83" s="90" t="s">
        <v>2748</v>
      </c>
    </row>
    <row r="84" spans="1:15">
      <c r="A84" s="12">
        <f t="shared" si="9"/>
        <v>83</v>
      </c>
      <c r="B84" s="12" t="s">
        <v>1</v>
      </c>
      <c r="C84" s="30" t="s">
        <v>1092</v>
      </c>
      <c r="D84" s="30" t="s">
        <v>1052</v>
      </c>
      <c r="E84" s="89">
        <f t="shared" ca="1" si="10"/>
        <v>40951</v>
      </c>
      <c r="F84" s="11">
        <f>DATE(52,12,26)</f>
        <v>19354</v>
      </c>
      <c r="G84" s="12">
        <f t="shared" ca="1" si="6"/>
        <v>60</v>
      </c>
      <c r="H84" s="12">
        <f t="shared" ca="1" si="7"/>
        <v>-10</v>
      </c>
      <c r="I84" s="13">
        <f t="shared" ca="1" si="8"/>
        <v>-14</v>
      </c>
      <c r="J84" s="14">
        <f t="shared" ca="1" si="11"/>
        <v>59</v>
      </c>
      <c r="K84" s="12" t="s">
        <v>41</v>
      </c>
      <c r="L84" s="12">
        <v>7</v>
      </c>
      <c r="M84" s="12" t="s">
        <v>40</v>
      </c>
      <c r="N84" s="12">
        <v>19</v>
      </c>
    </row>
    <row r="85" spans="1:15">
      <c r="A85" s="12">
        <f t="shared" si="9"/>
        <v>84</v>
      </c>
      <c r="B85" s="12" t="s">
        <v>1</v>
      </c>
      <c r="C85" s="30" t="s">
        <v>121</v>
      </c>
      <c r="D85" s="30" t="s">
        <v>1052</v>
      </c>
      <c r="E85" s="89">
        <f t="shared" ca="1" si="10"/>
        <v>40951</v>
      </c>
      <c r="F85" s="11">
        <f>DATE(79,4,30)</f>
        <v>28975</v>
      </c>
      <c r="G85" s="12">
        <f t="shared" ca="1" si="6"/>
        <v>33</v>
      </c>
      <c r="H85" s="12">
        <f t="shared" ca="1" si="7"/>
        <v>-2</v>
      </c>
      <c r="I85" s="13">
        <f t="shared" ca="1" si="8"/>
        <v>-18</v>
      </c>
      <c r="J85" s="14">
        <f t="shared" ca="1" si="11"/>
        <v>32</v>
      </c>
      <c r="K85" s="12" t="s">
        <v>40</v>
      </c>
      <c r="L85" s="12">
        <v>7</v>
      </c>
      <c r="M85" s="12" t="s">
        <v>44</v>
      </c>
      <c r="N85" s="12">
        <v>19</v>
      </c>
    </row>
    <row r="86" spans="1:15">
      <c r="A86" s="12">
        <f t="shared" si="9"/>
        <v>85</v>
      </c>
      <c r="B86" s="12" t="s">
        <v>1</v>
      </c>
      <c r="C86" s="30" t="s">
        <v>560</v>
      </c>
      <c r="D86" s="30" t="s">
        <v>1053</v>
      </c>
      <c r="E86" s="89">
        <f t="shared" ca="1" si="10"/>
        <v>40951</v>
      </c>
      <c r="F86" s="32"/>
      <c r="G86" s="12">
        <f t="shared" ca="1" si="6"/>
        <v>112</v>
      </c>
      <c r="H86" s="12">
        <f t="shared" ca="1" si="7"/>
        <v>1</v>
      </c>
      <c r="I86" s="13">
        <f t="shared" ca="1" si="8"/>
        <v>12</v>
      </c>
      <c r="J86" s="14">
        <f t="shared" ca="1" si="11"/>
        <v>112</v>
      </c>
      <c r="K86" s="12" t="s">
        <v>40</v>
      </c>
      <c r="L86" s="12">
        <v>7</v>
      </c>
      <c r="M86" s="12" t="s">
        <v>40</v>
      </c>
      <c r="N86" s="12">
        <v>20</v>
      </c>
      <c r="O86" s="90" t="s">
        <v>2748</v>
      </c>
    </row>
    <row r="87" spans="1:15">
      <c r="A87" s="12">
        <f t="shared" si="9"/>
        <v>86</v>
      </c>
      <c r="B87" s="12" t="s">
        <v>1</v>
      </c>
      <c r="C87" s="30" t="s">
        <v>1093</v>
      </c>
      <c r="D87" s="30" t="s">
        <v>560</v>
      </c>
      <c r="E87" s="89">
        <f t="shared" ca="1" si="10"/>
        <v>40951</v>
      </c>
      <c r="F87" s="11">
        <f>DATE(61,9,24)</f>
        <v>22548</v>
      </c>
      <c r="G87" s="12">
        <f t="shared" ca="1" si="6"/>
        <v>51</v>
      </c>
      <c r="H87" s="12">
        <f t="shared" ca="1" si="7"/>
        <v>-7</v>
      </c>
      <c r="I87" s="13">
        <f t="shared" ca="1" si="8"/>
        <v>-12</v>
      </c>
      <c r="J87" s="14">
        <f t="shared" ca="1" si="11"/>
        <v>50</v>
      </c>
      <c r="K87" s="12" t="s">
        <v>41</v>
      </c>
      <c r="L87" s="12">
        <v>7</v>
      </c>
      <c r="M87" s="12" t="s">
        <v>40</v>
      </c>
      <c r="N87" s="12">
        <v>20</v>
      </c>
    </row>
    <row r="88" spans="1:15">
      <c r="A88" s="12">
        <f t="shared" si="9"/>
        <v>87</v>
      </c>
      <c r="B88" s="12" t="s">
        <v>1</v>
      </c>
      <c r="C88" s="30" t="s">
        <v>392</v>
      </c>
      <c r="D88" s="30" t="s">
        <v>560</v>
      </c>
      <c r="E88" s="89">
        <f t="shared" ca="1" si="10"/>
        <v>40951</v>
      </c>
      <c r="F88" s="46">
        <f>DATE(81,9,24)</f>
        <v>29853</v>
      </c>
      <c r="G88" s="12">
        <f t="shared" ca="1" si="6"/>
        <v>31</v>
      </c>
      <c r="H88" s="12">
        <f t="shared" ca="1" si="7"/>
        <v>-7</v>
      </c>
      <c r="I88" s="13">
        <f t="shared" ca="1" si="8"/>
        <v>-12</v>
      </c>
      <c r="J88" s="14">
        <f t="shared" ca="1" si="11"/>
        <v>30</v>
      </c>
      <c r="K88" s="12" t="s">
        <v>40</v>
      </c>
      <c r="L88" s="12">
        <v>7</v>
      </c>
      <c r="M88" s="12" t="s">
        <v>44</v>
      </c>
      <c r="N88" s="12">
        <v>20</v>
      </c>
    </row>
    <row r="89" spans="1:15">
      <c r="A89" s="12">
        <f t="shared" si="9"/>
        <v>88</v>
      </c>
      <c r="B89" s="12" t="s">
        <v>1</v>
      </c>
      <c r="C89" s="30" t="s">
        <v>324</v>
      </c>
      <c r="D89" s="30" t="s">
        <v>560</v>
      </c>
      <c r="E89" s="89">
        <f t="shared" ca="1" si="10"/>
        <v>40951</v>
      </c>
      <c r="F89" s="11">
        <f>DATE(2002,12,29)</f>
        <v>37619</v>
      </c>
      <c r="G89" s="12">
        <f t="shared" ref="G89:G152" ca="1" si="12">YEAR(E89)-YEAR(F89)</f>
        <v>10</v>
      </c>
      <c r="H89" s="12">
        <f t="shared" ref="H89:H152" ca="1" si="13">MONTH(E89)-MONTH(F89)</f>
        <v>-10</v>
      </c>
      <c r="I89" s="13">
        <f t="shared" ref="I89:I152" ca="1" si="14">DAY(E89)-DAY(F89)</f>
        <v>-17</v>
      </c>
      <c r="J89" s="14">
        <f t="shared" ca="1" si="11"/>
        <v>9</v>
      </c>
      <c r="K89" s="12" t="s">
        <v>41</v>
      </c>
      <c r="L89" s="12">
        <v>7</v>
      </c>
      <c r="M89" s="12" t="s">
        <v>44</v>
      </c>
      <c r="N89" s="12">
        <v>20</v>
      </c>
    </row>
    <row r="90" spans="1:15">
      <c r="A90" s="12">
        <f t="shared" si="9"/>
        <v>89</v>
      </c>
      <c r="B90" s="12" t="s">
        <v>1</v>
      </c>
      <c r="C90" s="30" t="s">
        <v>277</v>
      </c>
      <c r="D90" s="30" t="s">
        <v>82</v>
      </c>
      <c r="E90" s="89">
        <f t="shared" ca="1" si="10"/>
        <v>40951</v>
      </c>
      <c r="F90" s="11">
        <f>DATE(58,5,22)</f>
        <v>21327</v>
      </c>
      <c r="G90" s="12">
        <f t="shared" ca="1" si="12"/>
        <v>54</v>
      </c>
      <c r="H90" s="12">
        <f t="shared" ca="1" si="13"/>
        <v>-3</v>
      </c>
      <c r="I90" s="13">
        <f t="shared" ca="1" si="14"/>
        <v>-10</v>
      </c>
      <c r="J90" s="14">
        <f t="shared" ca="1" si="11"/>
        <v>53</v>
      </c>
      <c r="K90" s="12" t="s">
        <v>40</v>
      </c>
      <c r="L90" s="12">
        <v>8</v>
      </c>
      <c r="M90" s="12" t="s">
        <v>40</v>
      </c>
      <c r="N90" s="12">
        <v>21</v>
      </c>
      <c r="O90" s="90" t="s">
        <v>2748</v>
      </c>
    </row>
    <row r="91" spans="1:15">
      <c r="A91" s="12">
        <f t="shared" si="9"/>
        <v>90</v>
      </c>
      <c r="B91" s="12" t="s">
        <v>1</v>
      </c>
      <c r="C91" s="30" t="s">
        <v>1054</v>
      </c>
      <c r="D91" s="30" t="s">
        <v>1055</v>
      </c>
      <c r="E91" s="89">
        <f t="shared" ca="1" si="10"/>
        <v>40951</v>
      </c>
      <c r="F91" s="11">
        <f>DATE(58,12,19)</f>
        <v>21538</v>
      </c>
      <c r="G91" s="12">
        <f t="shared" ca="1" si="12"/>
        <v>54</v>
      </c>
      <c r="H91" s="12">
        <f t="shared" ca="1" si="13"/>
        <v>-10</v>
      </c>
      <c r="I91" s="13">
        <f t="shared" ca="1" si="14"/>
        <v>-7</v>
      </c>
      <c r="J91" s="14">
        <f t="shared" ca="1" si="11"/>
        <v>53</v>
      </c>
      <c r="K91" s="12" t="s">
        <v>41</v>
      </c>
      <c r="L91" s="12">
        <v>8</v>
      </c>
      <c r="M91" s="12" t="s">
        <v>40</v>
      </c>
      <c r="N91" s="12">
        <v>21</v>
      </c>
    </row>
    <row r="92" spans="1:15">
      <c r="A92" s="12">
        <f t="shared" si="9"/>
        <v>91</v>
      </c>
      <c r="B92" s="12" t="s">
        <v>1</v>
      </c>
      <c r="C92" s="30" t="s">
        <v>160</v>
      </c>
      <c r="D92" s="30" t="s">
        <v>277</v>
      </c>
      <c r="E92" s="89">
        <f t="shared" ca="1" si="10"/>
        <v>40951</v>
      </c>
      <c r="F92" s="11">
        <f>DATE(87,8,16)</f>
        <v>32005</v>
      </c>
      <c r="G92" s="12">
        <f t="shared" ca="1" si="12"/>
        <v>25</v>
      </c>
      <c r="H92" s="12">
        <f t="shared" ca="1" si="13"/>
        <v>-6</v>
      </c>
      <c r="I92" s="13">
        <f t="shared" ca="1" si="14"/>
        <v>-4</v>
      </c>
      <c r="J92" s="14">
        <f t="shared" ca="1" si="11"/>
        <v>24</v>
      </c>
      <c r="K92" s="12" t="s">
        <v>41</v>
      </c>
      <c r="L92" s="12">
        <v>8</v>
      </c>
      <c r="M92" s="12" t="s">
        <v>44</v>
      </c>
      <c r="N92" s="12">
        <v>21</v>
      </c>
    </row>
    <row r="93" spans="1:15">
      <c r="A93" s="12">
        <f t="shared" si="9"/>
        <v>92</v>
      </c>
      <c r="B93" s="12" t="s">
        <v>1</v>
      </c>
      <c r="C93" s="30" t="s">
        <v>1056</v>
      </c>
      <c r="D93" s="30" t="s">
        <v>277</v>
      </c>
      <c r="E93" s="89">
        <f t="shared" ca="1" si="10"/>
        <v>40951</v>
      </c>
      <c r="F93" s="11">
        <f>DATE(90,9,27)</f>
        <v>33143</v>
      </c>
      <c r="G93" s="12">
        <f t="shared" ca="1" si="12"/>
        <v>22</v>
      </c>
      <c r="H93" s="12">
        <f t="shared" ca="1" si="13"/>
        <v>-7</v>
      </c>
      <c r="I93" s="13">
        <f t="shared" ca="1" si="14"/>
        <v>-15</v>
      </c>
      <c r="J93" s="14">
        <f t="shared" ca="1" si="11"/>
        <v>21</v>
      </c>
      <c r="K93" s="12" t="s">
        <v>40</v>
      </c>
      <c r="L93" s="12">
        <v>8</v>
      </c>
      <c r="M93" s="12" t="s">
        <v>44</v>
      </c>
      <c r="N93" s="12">
        <v>21</v>
      </c>
    </row>
    <row r="94" spans="1:15">
      <c r="A94" s="12">
        <f t="shared" ref="A94:A157" si="15">A93+1</f>
        <v>93</v>
      </c>
      <c r="B94" s="12" t="s">
        <v>1</v>
      </c>
      <c r="C94" s="30" t="s">
        <v>277</v>
      </c>
      <c r="D94" s="30" t="s">
        <v>1057</v>
      </c>
      <c r="E94" s="89">
        <f t="shared" ref="E94:E159" ca="1" si="16">TODAY()</f>
        <v>40951</v>
      </c>
      <c r="F94" s="11">
        <f>DATE(57,9,17)</f>
        <v>21080</v>
      </c>
      <c r="G94" s="12">
        <f t="shared" ca="1" si="12"/>
        <v>55</v>
      </c>
      <c r="H94" s="12">
        <f t="shared" ca="1" si="13"/>
        <v>-7</v>
      </c>
      <c r="I94" s="13">
        <f t="shared" ca="1" si="14"/>
        <v>-5</v>
      </c>
      <c r="J94" s="14">
        <f t="shared" ca="1" si="11"/>
        <v>54</v>
      </c>
      <c r="K94" s="12" t="s">
        <v>40</v>
      </c>
      <c r="L94" s="12">
        <v>8</v>
      </c>
      <c r="M94" s="12" t="s">
        <v>40</v>
      </c>
      <c r="N94" s="12">
        <v>22</v>
      </c>
      <c r="O94" s="90" t="s">
        <v>2748</v>
      </c>
    </row>
    <row r="95" spans="1:15">
      <c r="A95" s="12">
        <f t="shared" si="15"/>
        <v>94</v>
      </c>
      <c r="B95" s="12" t="s">
        <v>1</v>
      </c>
      <c r="C95" s="30" t="s">
        <v>487</v>
      </c>
      <c r="D95" s="30" t="s">
        <v>277</v>
      </c>
      <c r="E95" s="89">
        <f t="shared" ca="1" si="16"/>
        <v>40951</v>
      </c>
      <c r="F95" s="11">
        <f>DATE(65,7,18)</f>
        <v>23941</v>
      </c>
      <c r="G95" s="12">
        <f t="shared" ca="1" si="12"/>
        <v>47</v>
      </c>
      <c r="H95" s="12">
        <f t="shared" ca="1" si="13"/>
        <v>-5</v>
      </c>
      <c r="I95" s="13">
        <f t="shared" ca="1" si="14"/>
        <v>-6</v>
      </c>
      <c r="J95" s="14">
        <f t="shared" ca="1" si="11"/>
        <v>46</v>
      </c>
      <c r="K95" s="12" t="s">
        <v>41</v>
      </c>
      <c r="L95" s="12">
        <v>8</v>
      </c>
      <c r="M95" s="12" t="s">
        <v>40</v>
      </c>
      <c r="N95" s="12">
        <v>22</v>
      </c>
    </row>
    <row r="96" spans="1:15">
      <c r="A96" s="12">
        <f t="shared" si="15"/>
        <v>95</v>
      </c>
      <c r="B96" s="12" t="s">
        <v>1</v>
      </c>
      <c r="C96" s="30" t="s">
        <v>1058</v>
      </c>
      <c r="D96" s="30" t="s">
        <v>277</v>
      </c>
      <c r="E96" s="89">
        <f t="shared" ca="1" si="16"/>
        <v>40951</v>
      </c>
      <c r="F96" s="11">
        <f>DATE(90,7,12)</f>
        <v>33066</v>
      </c>
      <c r="G96" s="12">
        <f t="shared" ca="1" si="12"/>
        <v>22</v>
      </c>
      <c r="H96" s="12">
        <f t="shared" ca="1" si="13"/>
        <v>-5</v>
      </c>
      <c r="I96" s="13">
        <f t="shared" ca="1" si="14"/>
        <v>0</v>
      </c>
      <c r="J96" s="14">
        <f t="shared" ca="1" si="11"/>
        <v>21</v>
      </c>
      <c r="K96" s="12" t="s">
        <v>40</v>
      </c>
      <c r="L96" s="12">
        <v>8</v>
      </c>
      <c r="M96" s="12" t="s">
        <v>44</v>
      </c>
      <c r="N96" s="12">
        <v>22</v>
      </c>
    </row>
    <row r="97" spans="1:15">
      <c r="A97" s="12">
        <f t="shared" si="15"/>
        <v>96</v>
      </c>
      <c r="B97" s="12" t="s">
        <v>1</v>
      </c>
      <c r="C97" s="30" t="s">
        <v>589</v>
      </c>
      <c r="D97" s="30" t="s">
        <v>277</v>
      </c>
      <c r="E97" s="89">
        <f t="shared" ca="1" si="16"/>
        <v>40951</v>
      </c>
      <c r="F97" s="11">
        <f>DATE(94,4,9)</f>
        <v>34433</v>
      </c>
      <c r="G97" s="12">
        <f t="shared" ca="1" si="12"/>
        <v>18</v>
      </c>
      <c r="H97" s="12">
        <f t="shared" ca="1" si="13"/>
        <v>-2</v>
      </c>
      <c r="I97" s="13">
        <f t="shared" ca="1" si="14"/>
        <v>3</v>
      </c>
      <c r="J97" s="14">
        <f t="shared" ca="1" si="11"/>
        <v>17</v>
      </c>
      <c r="K97" s="12" t="s">
        <v>40</v>
      </c>
      <c r="L97" s="12">
        <v>8</v>
      </c>
      <c r="M97" s="12" t="s">
        <v>44</v>
      </c>
      <c r="N97" s="12">
        <v>22</v>
      </c>
    </row>
    <row r="98" spans="1:15">
      <c r="A98" s="12">
        <f t="shared" si="15"/>
        <v>97</v>
      </c>
      <c r="B98" s="12" t="s">
        <v>1</v>
      </c>
      <c r="C98" s="30" t="s">
        <v>1059</v>
      </c>
      <c r="D98" s="30" t="s">
        <v>356</v>
      </c>
      <c r="E98" s="89">
        <f t="shared" ca="1" si="16"/>
        <v>40951</v>
      </c>
      <c r="F98" s="11">
        <f>DATE(39,7,4)</f>
        <v>14430</v>
      </c>
      <c r="G98" s="12">
        <f t="shared" ca="1" si="12"/>
        <v>73</v>
      </c>
      <c r="H98" s="12">
        <f t="shared" ca="1" si="13"/>
        <v>-5</v>
      </c>
      <c r="I98" s="13">
        <f t="shared" ca="1" si="14"/>
        <v>8</v>
      </c>
      <c r="J98" s="14">
        <f t="shared" ca="1" si="11"/>
        <v>72</v>
      </c>
      <c r="K98" s="12" t="s">
        <v>40</v>
      </c>
      <c r="L98" s="12">
        <v>8</v>
      </c>
      <c r="M98" s="12" t="s">
        <v>40</v>
      </c>
      <c r="N98" s="12">
        <v>23</v>
      </c>
      <c r="O98" s="90" t="s">
        <v>2748</v>
      </c>
    </row>
    <row r="99" spans="1:15">
      <c r="A99" s="12">
        <f t="shared" si="15"/>
        <v>98</v>
      </c>
      <c r="B99" s="12" t="s">
        <v>1</v>
      </c>
      <c r="C99" s="30" t="s">
        <v>395</v>
      </c>
      <c r="D99" s="30" t="s">
        <v>1059</v>
      </c>
      <c r="E99" s="89">
        <f t="shared" ca="1" si="16"/>
        <v>40951</v>
      </c>
      <c r="F99" s="11">
        <f>DATE(49,6,27)</f>
        <v>18076</v>
      </c>
      <c r="G99" s="12">
        <f t="shared" ca="1" si="12"/>
        <v>63</v>
      </c>
      <c r="H99" s="12">
        <f t="shared" ca="1" si="13"/>
        <v>-4</v>
      </c>
      <c r="I99" s="13">
        <f t="shared" ca="1" si="14"/>
        <v>-15</v>
      </c>
      <c r="J99" s="14">
        <f t="shared" ca="1" si="11"/>
        <v>62</v>
      </c>
      <c r="K99" s="12" t="s">
        <v>41</v>
      </c>
      <c r="L99" s="12">
        <v>8</v>
      </c>
      <c r="M99" s="12" t="s">
        <v>40</v>
      </c>
      <c r="N99" s="12">
        <v>23</v>
      </c>
    </row>
    <row r="100" spans="1:15">
      <c r="A100" s="12">
        <f t="shared" si="15"/>
        <v>99</v>
      </c>
      <c r="B100" s="12" t="s">
        <v>1</v>
      </c>
      <c r="C100" s="30" t="s">
        <v>1060</v>
      </c>
      <c r="D100" s="30" t="s">
        <v>1059</v>
      </c>
      <c r="E100" s="89">
        <f t="shared" ca="1" si="16"/>
        <v>40951</v>
      </c>
      <c r="F100" s="11">
        <f>DATE(67,9,14)</f>
        <v>24729</v>
      </c>
      <c r="G100" s="12">
        <f t="shared" ca="1" si="12"/>
        <v>45</v>
      </c>
      <c r="H100" s="12">
        <f t="shared" ca="1" si="13"/>
        <v>-7</v>
      </c>
      <c r="I100" s="13">
        <f t="shared" ca="1" si="14"/>
        <v>-2</v>
      </c>
      <c r="J100" s="14">
        <f t="shared" ca="1" si="11"/>
        <v>44</v>
      </c>
      <c r="K100" s="12" t="s">
        <v>40</v>
      </c>
      <c r="L100" s="12">
        <v>8</v>
      </c>
      <c r="M100" s="12" t="s">
        <v>40</v>
      </c>
      <c r="N100" s="12">
        <v>23</v>
      </c>
    </row>
    <row r="101" spans="1:15">
      <c r="A101" s="12">
        <f t="shared" si="15"/>
        <v>100</v>
      </c>
      <c r="B101" s="12" t="s">
        <v>1</v>
      </c>
      <c r="C101" s="30" t="s">
        <v>288</v>
      </c>
      <c r="D101" s="30" t="s">
        <v>1060</v>
      </c>
      <c r="E101" s="89">
        <f t="shared" ca="1" si="16"/>
        <v>40951</v>
      </c>
      <c r="F101" s="11">
        <f>DATE(73,12,18)</f>
        <v>27016</v>
      </c>
      <c r="G101" s="12">
        <f t="shared" ca="1" si="12"/>
        <v>39</v>
      </c>
      <c r="H101" s="12">
        <f t="shared" ca="1" si="13"/>
        <v>-10</v>
      </c>
      <c r="I101" s="13">
        <f t="shared" ca="1" si="14"/>
        <v>-6</v>
      </c>
      <c r="J101" s="14">
        <f t="shared" ca="1" si="11"/>
        <v>38</v>
      </c>
      <c r="K101" s="12" t="s">
        <v>41</v>
      </c>
      <c r="L101" s="12">
        <v>8</v>
      </c>
      <c r="M101" s="12" t="s">
        <v>40</v>
      </c>
      <c r="N101" s="12">
        <v>23</v>
      </c>
    </row>
    <row r="102" spans="1:15">
      <c r="A102" s="12">
        <f t="shared" si="15"/>
        <v>101</v>
      </c>
      <c r="B102" s="12" t="s">
        <v>1</v>
      </c>
      <c r="C102" s="30" t="s">
        <v>1061</v>
      </c>
      <c r="D102" s="30" t="s">
        <v>1060</v>
      </c>
      <c r="E102" s="89">
        <f t="shared" ca="1" si="16"/>
        <v>40951</v>
      </c>
      <c r="F102" s="11">
        <f>DATE(96,10,27)</f>
        <v>35365</v>
      </c>
      <c r="G102" s="12">
        <f t="shared" ca="1" si="12"/>
        <v>16</v>
      </c>
      <c r="H102" s="12">
        <f t="shared" ca="1" si="13"/>
        <v>-8</v>
      </c>
      <c r="I102" s="13">
        <f t="shared" ca="1" si="14"/>
        <v>-15</v>
      </c>
      <c r="J102" s="14">
        <f t="shared" ca="1" si="11"/>
        <v>15</v>
      </c>
      <c r="K102" s="12" t="s">
        <v>40</v>
      </c>
      <c r="L102" s="12">
        <v>8</v>
      </c>
      <c r="M102" s="12" t="s">
        <v>44</v>
      </c>
      <c r="N102" s="12">
        <v>23</v>
      </c>
    </row>
    <row r="103" spans="1:15">
      <c r="A103" s="12">
        <f t="shared" si="15"/>
        <v>102</v>
      </c>
      <c r="B103" s="12" t="s">
        <v>1</v>
      </c>
      <c r="C103" s="30" t="s">
        <v>1062</v>
      </c>
      <c r="D103" s="30" t="s">
        <v>1060</v>
      </c>
      <c r="E103" s="89">
        <f t="shared" ca="1" si="16"/>
        <v>40951</v>
      </c>
      <c r="F103" s="11">
        <f>DATE(91,12,16)</f>
        <v>33588</v>
      </c>
      <c r="G103" s="12">
        <f t="shared" ca="1" si="12"/>
        <v>21</v>
      </c>
      <c r="H103" s="12">
        <f t="shared" ca="1" si="13"/>
        <v>-10</v>
      </c>
      <c r="I103" s="13">
        <f t="shared" ca="1" si="14"/>
        <v>-4</v>
      </c>
      <c r="J103" s="14">
        <f t="shared" ca="1" si="11"/>
        <v>20</v>
      </c>
      <c r="K103" s="12" t="s">
        <v>41</v>
      </c>
      <c r="L103" s="12">
        <v>8</v>
      </c>
      <c r="M103" s="12" t="s">
        <v>44</v>
      </c>
      <c r="N103" s="12">
        <v>23</v>
      </c>
    </row>
    <row r="104" spans="1:15">
      <c r="A104" s="12">
        <f t="shared" si="15"/>
        <v>103</v>
      </c>
      <c r="B104" s="12" t="s">
        <v>1</v>
      </c>
      <c r="C104" s="30" t="s">
        <v>1063</v>
      </c>
      <c r="D104" s="30" t="s">
        <v>700</v>
      </c>
      <c r="E104" s="89">
        <f t="shared" ca="1" si="16"/>
        <v>40951</v>
      </c>
      <c r="F104" s="11">
        <f>DATE(51,10,24)</f>
        <v>18925</v>
      </c>
      <c r="G104" s="12">
        <f t="shared" ca="1" si="12"/>
        <v>61</v>
      </c>
      <c r="H104" s="12">
        <f t="shared" ca="1" si="13"/>
        <v>-8</v>
      </c>
      <c r="I104" s="13">
        <f t="shared" ca="1" si="14"/>
        <v>-12</v>
      </c>
      <c r="J104" s="14">
        <f t="shared" ca="1" si="11"/>
        <v>60</v>
      </c>
      <c r="K104" s="12" t="s">
        <v>40</v>
      </c>
      <c r="L104" s="12">
        <v>9</v>
      </c>
      <c r="M104" s="12" t="s">
        <v>40</v>
      </c>
      <c r="N104" s="12">
        <v>24</v>
      </c>
      <c r="O104" s="90" t="s">
        <v>2748</v>
      </c>
    </row>
    <row r="105" spans="1:15">
      <c r="A105" s="12">
        <f t="shared" si="15"/>
        <v>104</v>
      </c>
      <c r="B105" s="12" t="s">
        <v>1</v>
      </c>
      <c r="C105" s="30" t="s">
        <v>768</v>
      </c>
      <c r="D105" s="30" t="s">
        <v>1063</v>
      </c>
      <c r="E105" s="89">
        <f t="shared" ca="1" si="16"/>
        <v>40951</v>
      </c>
      <c r="F105" s="11">
        <f>DATE(58,8,12)</f>
        <v>21409</v>
      </c>
      <c r="G105" s="12">
        <f t="shared" ca="1" si="12"/>
        <v>54</v>
      </c>
      <c r="H105" s="12">
        <f t="shared" ca="1" si="13"/>
        <v>-6</v>
      </c>
      <c r="I105" s="13">
        <f t="shared" ca="1" si="14"/>
        <v>0</v>
      </c>
      <c r="J105" s="14">
        <f t="shared" ca="1" si="11"/>
        <v>53</v>
      </c>
      <c r="K105" s="12" t="s">
        <v>41</v>
      </c>
      <c r="L105" s="12">
        <v>9</v>
      </c>
      <c r="M105" s="12" t="s">
        <v>40</v>
      </c>
      <c r="N105" s="12">
        <v>24</v>
      </c>
    </row>
    <row r="106" spans="1:15">
      <c r="A106" s="12">
        <f t="shared" si="15"/>
        <v>105</v>
      </c>
      <c r="B106" s="12" t="s">
        <v>1</v>
      </c>
      <c r="C106" s="30" t="s">
        <v>857</v>
      </c>
      <c r="D106" s="30" t="s">
        <v>1063</v>
      </c>
      <c r="E106" s="89">
        <f t="shared" ca="1" si="16"/>
        <v>40951</v>
      </c>
      <c r="F106" s="11">
        <f>DATE(77,4,18)</f>
        <v>28233</v>
      </c>
      <c r="G106" s="12">
        <f t="shared" ca="1" si="12"/>
        <v>35</v>
      </c>
      <c r="H106" s="12">
        <f t="shared" ca="1" si="13"/>
        <v>-2</v>
      </c>
      <c r="I106" s="13">
        <f t="shared" ca="1" si="14"/>
        <v>-6</v>
      </c>
      <c r="J106" s="14">
        <f t="shared" ca="1" si="11"/>
        <v>34</v>
      </c>
      <c r="K106" s="12" t="s">
        <v>40</v>
      </c>
      <c r="L106" s="12">
        <v>9</v>
      </c>
      <c r="M106" s="12" t="s">
        <v>40</v>
      </c>
      <c r="N106" s="12">
        <v>24</v>
      </c>
    </row>
    <row r="107" spans="1:15">
      <c r="A107" s="12">
        <f t="shared" si="15"/>
        <v>106</v>
      </c>
      <c r="B107" s="12" t="s">
        <v>1</v>
      </c>
      <c r="C107" s="30" t="s">
        <v>125</v>
      </c>
      <c r="D107" s="30" t="s">
        <v>857</v>
      </c>
      <c r="E107" s="89">
        <f t="shared" ca="1" si="16"/>
        <v>40951</v>
      </c>
      <c r="F107" s="32"/>
      <c r="G107" s="12">
        <f t="shared" ca="1" si="12"/>
        <v>112</v>
      </c>
      <c r="H107" s="12">
        <f t="shared" ca="1" si="13"/>
        <v>1</v>
      </c>
      <c r="I107" s="13">
        <f t="shared" ca="1" si="14"/>
        <v>12</v>
      </c>
      <c r="J107" s="14">
        <f t="shared" ca="1" si="11"/>
        <v>112</v>
      </c>
      <c r="K107" s="12" t="s">
        <v>41</v>
      </c>
      <c r="L107" s="12">
        <v>9</v>
      </c>
      <c r="M107" s="12" t="s">
        <v>40</v>
      </c>
      <c r="N107" s="12">
        <v>24</v>
      </c>
    </row>
    <row r="108" spans="1:15">
      <c r="A108" s="12">
        <f t="shared" si="15"/>
        <v>107</v>
      </c>
      <c r="B108" s="12" t="s">
        <v>1</v>
      </c>
      <c r="C108" s="30" t="s">
        <v>569</v>
      </c>
      <c r="D108" s="30" t="s">
        <v>1064</v>
      </c>
      <c r="E108" s="89">
        <f t="shared" ca="1" si="16"/>
        <v>40951</v>
      </c>
      <c r="F108" s="11">
        <f>DATE(74,10,23)</f>
        <v>27325</v>
      </c>
      <c r="G108" s="12">
        <f t="shared" ca="1" si="12"/>
        <v>38</v>
      </c>
      <c r="H108" s="12">
        <f t="shared" ca="1" si="13"/>
        <v>-8</v>
      </c>
      <c r="I108" s="13">
        <f t="shared" ca="1" si="14"/>
        <v>-11</v>
      </c>
      <c r="J108" s="14">
        <f t="shared" ca="1" si="11"/>
        <v>37</v>
      </c>
      <c r="K108" s="12" t="s">
        <v>40</v>
      </c>
      <c r="L108" s="12">
        <v>9</v>
      </c>
      <c r="M108" s="12" t="s">
        <v>40</v>
      </c>
      <c r="N108" s="12">
        <v>25</v>
      </c>
      <c r="O108" s="90" t="s">
        <v>2748</v>
      </c>
    </row>
    <row r="109" spans="1:15">
      <c r="A109" s="12">
        <f t="shared" si="15"/>
        <v>108</v>
      </c>
      <c r="B109" s="12" t="s">
        <v>1</v>
      </c>
      <c r="C109" s="30" t="s">
        <v>1065</v>
      </c>
      <c r="D109" s="30" t="s">
        <v>733</v>
      </c>
      <c r="E109" s="89">
        <f t="shared" ca="1" si="16"/>
        <v>40951</v>
      </c>
      <c r="F109" s="11">
        <f>DATE(56,7,18)</f>
        <v>20654</v>
      </c>
      <c r="G109" s="12">
        <f t="shared" ca="1" si="12"/>
        <v>56</v>
      </c>
      <c r="H109" s="12">
        <f t="shared" ca="1" si="13"/>
        <v>-5</v>
      </c>
      <c r="I109" s="13">
        <f t="shared" ca="1" si="14"/>
        <v>-6</v>
      </c>
      <c r="J109" s="14">
        <f t="shared" ca="1" si="11"/>
        <v>55</v>
      </c>
      <c r="K109" s="12" t="s">
        <v>40</v>
      </c>
      <c r="L109" s="12">
        <v>9</v>
      </c>
      <c r="M109" s="12" t="s">
        <v>40</v>
      </c>
      <c r="N109" s="12">
        <v>26</v>
      </c>
      <c r="O109" s="90" t="s">
        <v>2748</v>
      </c>
    </row>
    <row r="110" spans="1:15">
      <c r="A110" s="12">
        <f t="shared" si="15"/>
        <v>109</v>
      </c>
      <c r="B110" s="12" t="s">
        <v>1</v>
      </c>
      <c r="C110" s="30" t="s">
        <v>113</v>
      </c>
      <c r="D110" s="30" t="s">
        <v>1066</v>
      </c>
      <c r="E110" s="89">
        <f t="shared" ca="1" si="16"/>
        <v>40951</v>
      </c>
      <c r="F110" s="11">
        <f>DATE(57,1,22)</f>
        <v>20842</v>
      </c>
      <c r="G110" s="12">
        <f t="shared" ca="1" si="12"/>
        <v>55</v>
      </c>
      <c r="H110" s="12">
        <f t="shared" ca="1" si="13"/>
        <v>1</v>
      </c>
      <c r="I110" s="13">
        <f t="shared" ca="1" si="14"/>
        <v>-10</v>
      </c>
      <c r="J110" s="14">
        <f t="shared" ca="1" si="11"/>
        <v>55</v>
      </c>
      <c r="K110" s="12" t="s">
        <v>41</v>
      </c>
      <c r="L110" s="12">
        <v>9</v>
      </c>
      <c r="M110" s="12" t="s">
        <v>40</v>
      </c>
      <c r="N110" s="12">
        <v>26</v>
      </c>
    </row>
    <row r="111" spans="1:15">
      <c r="A111" s="12">
        <f t="shared" si="15"/>
        <v>110</v>
      </c>
      <c r="B111" s="12" t="s">
        <v>1</v>
      </c>
      <c r="C111" s="30" t="s">
        <v>1067</v>
      </c>
      <c r="D111" s="30" t="s">
        <v>1065</v>
      </c>
      <c r="E111" s="89">
        <f t="shared" ca="1" si="16"/>
        <v>40951</v>
      </c>
      <c r="F111" s="11">
        <f>DATE(82,4,30)</f>
        <v>30071</v>
      </c>
      <c r="G111" s="12">
        <f t="shared" ca="1" si="12"/>
        <v>30</v>
      </c>
      <c r="H111" s="12">
        <f t="shared" ca="1" si="13"/>
        <v>-2</v>
      </c>
      <c r="I111" s="13">
        <f t="shared" ca="1" si="14"/>
        <v>-18</v>
      </c>
      <c r="J111" s="14">
        <f t="shared" ca="1" si="11"/>
        <v>29</v>
      </c>
      <c r="K111" s="12" t="s">
        <v>40</v>
      </c>
      <c r="L111" s="12">
        <v>9</v>
      </c>
      <c r="M111" s="12" t="s">
        <v>44</v>
      </c>
      <c r="N111" s="12">
        <v>26</v>
      </c>
    </row>
    <row r="112" spans="1:15">
      <c r="A112" s="12">
        <f t="shared" si="15"/>
        <v>111</v>
      </c>
      <c r="B112" s="12" t="s">
        <v>1</v>
      </c>
      <c r="C112" s="30" t="s">
        <v>543</v>
      </c>
      <c r="D112" s="30" t="s">
        <v>1065</v>
      </c>
      <c r="E112" s="89">
        <f t="shared" ca="1" si="16"/>
        <v>40951</v>
      </c>
      <c r="F112" s="11">
        <f>DATE(85,1,30)</f>
        <v>31077</v>
      </c>
      <c r="G112" s="12">
        <f t="shared" ca="1" si="12"/>
        <v>27</v>
      </c>
      <c r="H112" s="12">
        <f t="shared" ca="1" si="13"/>
        <v>1</v>
      </c>
      <c r="I112" s="13">
        <f t="shared" ca="1" si="14"/>
        <v>-18</v>
      </c>
      <c r="J112" s="14">
        <f t="shared" ca="1" si="11"/>
        <v>27</v>
      </c>
      <c r="K112" s="12" t="s">
        <v>40</v>
      </c>
      <c r="L112" s="12">
        <v>9</v>
      </c>
      <c r="M112" s="12" t="s">
        <v>44</v>
      </c>
      <c r="N112" s="12">
        <v>26</v>
      </c>
    </row>
    <row r="113" spans="1:15">
      <c r="A113" s="12">
        <f t="shared" si="15"/>
        <v>112</v>
      </c>
      <c r="B113" s="12" t="s">
        <v>1</v>
      </c>
      <c r="C113" s="30" t="s">
        <v>1068</v>
      </c>
      <c r="D113" s="30" t="s">
        <v>77</v>
      </c>
      <c r="E113" s="89">
        <f t="shared" ca="1" si="16"/>
        <v>40951</v>
      </c>
      <c r="F113" s="11">
        <f>DATE(54,11,15)</f>
        <v>20043</v>
      </c>
      <c r="G113" s="12">
        <f t="shared" ca="1" si="12"/>
        <v>58</v>
      </c>
      <c r="H113" s="12">
        <f t="shared" ca="1" si="13"/>
        <v>-9</v>
      </c>
      <c r="I113" s="13">
        <f t="shared" ca="1" si="14"/>
        <v>-3</v>
      </c>
      <c r="J113" s="14">
        <f t="shared" ca="1" si="11"/>
        <v>57</v>
      </c>
      <c r="K113" s="12" t="s">
        <v>40</v>
      </c>
      <c r="L113" s="12">
        <v>9</v>
      </c>
      <c r="M113" s="12" t="s">
        <v>40</v>
      </c>
      <c r="N113" s="12">
        <v>27</v>
      </c>
      <c r="O113" s="90" t="s">
        <v>2748</v>
      </c>
    </row>
    <row r="114" spans="1:15">
      <c r="A114" s="12">
        <f t="shared" si="15"/>
        <v>113</v>
      </c>
      <c r="B114" s="12" t="s">
        <v>1</v>
      </c>
      <c r="C114" s="30" t="s">
        <v>155</v>
      </c>
      <c r="D114" s="30" t="s">
        <v>1068</v>
      </c>
      <c r="E114" s="89">
        <f t="shared" ca="1" si="16"/>
        <v>40951</v>
      </c>
      <c r="F114" s="11">
        <f>DATE(62,6,28)</f>
        <v>22825</v>
      </c>
      <c r="G114" s="12">
        <f t="shared" ca="1" si="12"/>
        <v>50</v>
      </c>
      <c r="H114" s="12">
        <f t="shared" ca="1" si="13"/>
        <v>-4</v>
      </c>
      <c r="I114" s="13">
        <f t="shared" ca="1" si="14"/>
        <v>-16</v>
      </c>
      <c r="J114" s="14">
        <f t="shared" ca="1" si="11"/>
        <v>49</v>
      </c>
      <c r="K114" s="12" t="s">
        <v>41</v>
      </c>
      <c r="L114" s="12">
        <v>9</v>
      </c>
      <c r="M114" s="12" t="s">
        <v>40</v>
      </c>
      <c r="N114" s="12">
        <v>27</v>
      </c>
    </row>
    <row r="115" spans="1:15">
      <c r="A115" s="12">
        <f t="shared" si="15"/>
        <v>114</v>
      </c>
      <c r="B115" s="12" t="s">
        <v>1</v>
      </c>
      <c r="C115" s="30" t="s">
        <v>74</v>
      </c>
      <c r="D115" s="30" t="s">
        <v>1068</v>
      </c>
      <c r="E115" s="89">
        <f t="shared" ca="1" si="16"/>
        <v>40951</v>
      </c>
      <c r="F115" s="11">
        <f>DATE(86,8,17)</f>
        <v>31641</v>
      </c>
      <c r="G115" s="12">
        <f t="shared" ca="1" si="12"/>
        <v>26</v>
      </c>
      <c r="H115" s="12">
        <f t="shared" ca="1" si="13"/>
        <v>-6</v>
      </c>
      <c r="I115" s="13">
        <f t="shared" ca="1" si="14"/>
        <v>-5</v>
      </c>
      <c r="J115" s="14">
        <f t="shared" ca="1" si="11"/>
        <v>25</v>
      </c>
      <c r="K115" s="12" t="s">
        <v>41</v>
      </c>
      <c r="L115" s="12">
        <v>9</v>
      </c>
      <c r="M115" s="12" t="s">
        <v>44</v>
      </c>
      <c r="N115" s="12">
        <v>27</v>
      </c>
    </row>
    <row r="116" spans="1:15">
      <c r="A116" s="12">
        <f t="shared" si="15"/>
        <v>115</v>
      </c>
      <c r="B116" s="12" t="s">
        <v>1</v>
      </c>
      <c r="C116" s="30" t="s">
        <v>503</v>
      </c>
      <c r="D116" s="30" t="s">
        <v>94</v>
      </c>
      <c r="E116" s="89">
        <f t="shared" ca="1" si="16"/>
        <v>40951</v>
      </c>
      <c r="F116" s="32"/>
      <c r="G116" s="12">
        <f t="shared" ca="1" si="12"/>
        <v>112</v>
      </c>
      <c r="H116" s="12">
        <f t="shared" ca="1" si="13"/>
        <v>1</v>
      </c>
      <c r="I116" s="13">
        <f t="shared" ca="1" si="14"/>
        <v>12</v>
      </c>
      <c r="J116" s="14">
        <f t="shared" ca="1" si="11"/>
        <v>112</v>
      </c>
      <c r="K116" s="12" t="s">
        <v>41</v>
      </c>
      <c r="L116" s="12">
        <v>10</v>
      </c>
      <c r="M116" s="12" t="s">
        <v>40</v>
      </c>
      <c r="N116" s="12">
        <v>28</v>
      </c>
      <c r="O116" s="90" t="s">
        <v>2748</v>
      </c>
    </row>
    <row r="117" spans="1:15">
      <c r="A117" s="12">
        <f t="shared" si="15"/>
        <v>116</v>
      </c>
      <c r="B117" s="12" t="s">
        <v>1</v>
      </c>
      <c r="C117" s="30" t="s">
        <v>348</v>
      </c>
      <c r="D117" s="30" t="s">
        <v>1069</v>
      </c>
      <c r="E117" s="89">
        <f t="shared" ca="1" si="16"/>
        <v>40951</v>
      </c>
      <c r="F117" s="11">
        <f>DATE(63,8,16)</f>
        <v>23239</v>
      </c>
      <c r="G117" s="12">
        <f t="shared" ca="1" si="12"/>
        <v>49</v>
      </c>
      <c r="H117" s="12">
        <f t="shared" ca="1" si="13"/>
        <v>-6</v>
      </c>
      <c r="I117" s="13">
        <f t="shared" ca="1" si="14"/>
        <v>-4</v>
      </c>
      <c r="J117" s="14">
        <f t="shared" ca="1" si="11"/>
        <v>48</v>
      </c>
      <c r="K117" s="12" t="s">
        <v>40</v>
      </c>
      <c r="L117" s="12">
        <v>10</v>
      </c>
      <c r="M117" s="12" t="s">
        <v>40</v>
      </c>
      <c r="N117" s="12">
        <v>29</v>
      </c>
      <c r="O117" s="90" t="s">
        <v>2748</v>
      </c>
    </row>
    <row r="118" spans="1:15">
      <c r="A118" s="12">
        <f t="shared" si="15"/>
        <v>117</v>
      </c>
      <c r="B118" s="12" t="s">
        <v>1</v>
      </c>
      <c r="C118" s="30" t="s">
        <v>458</v>
      </c>
      <c r="D118" s="30" t="s">
        <v>348</v>
      </c>
      <c r="E118" s="89">
        <f t="shared" ca="1" si="16"/>
        <v>40951</v>
      </c>
      <c r="F118" s="11">
        <f>DATE(66,5,1)</f>
        <v>24228</v>
      </c>
      <c r="G118" s="12">
        <f t="shared" ca="1" si="12"/>
        <v>46</v>
      </c>
      <c r="H118" s="12">
        <f t="shared" ca="1" si="13"/>
        <v>-3</v>
      </c>
      <c r="I118" s="13">
        <f t="shared" ca="1" si="14"/>
        <v>11</v>
      </c>
      <c r="J118" s="14">
        <f t="shared" ca="1" si="11"/>
        <v>45</v>
      </c>
      <c r="K118" s="12" t="s">
        <v>41</v>
      </c>
      <c r="L118" s="12">
        <v>10</v>
      </c>
      <c r="M118" s="12" t="s">
        <v>40</v>
      </c>
      <c r="N118" s="12">
        <v>29</v>
      </c>
    </row>
    <row r="119" spans="1:15">
      <c r="A119" s="12">
        <f t="shared" si="15"/>
        <v>118</v>
      </c>
      <c r="B119" s="12" t="s">
        <v>1</v>
      </c>
      <c r="C119" s="30" t="s">
        <v>403</v>
      </c>
      <c r="D119" s="30" t="s">
        <v>348</v>
      </c>
      <c r="E119" s="89">
        <f t="shared" ca="1" si="16"/>
        <v>40951</v>
      </c>
      <c r="F119" s="11">
        <f>DATE(86,8,12)</f>
        <v>31636</v>
      </c>
      <c r="G119" s="12">
        <f t="shared" ca="1" si="12"/>
        <v>26</v>
      </c>
      <c r="H119" s="12">
        <f t="shared" ca="1" si="13"/>
        <v>-6</v>
      </c>
      <c r="I119" s="13">
        <f t="shared" ca="1" si="14"/>
        <v>0</v>
      </c>
      <c r="J119" s="14">
        <f t="shared" ca="1" si="11"/>
        <v>25</v>
      </c>
      <c r="K119" s="12" t="s">
        <v>41</v>
      </c>
      <c r="L119" s="12">
        <v>10</v>
      </c>
      <c r="M119" s="12" t="s">
        <v>44</v>
      </c>
      <c r="N119" s="12">
        <v>29</v>
      </c>
    </row>
    <row r="120" spans="1:15">
      <c r="A120" s="12">
        <f t="shared" si="15"/>
        <v>119</v>
      </c>
      <c r="B120" s="12" t="s">
        <v>1</v>
      </c>
      <c r="C120" s="30" t="s">
        <v>437</v>
      </c>
      <c r="D120" s="30" t="s">
        <v>348</v>
      </c>
      <c r="E120" s="89">
        <f t="shared" ca="1" si="16"/>
        <v>40951</v>
      </c>
      <c r="F120" s="11">
        <f>DATE(87,9,15)</f>
        <v>32035</v>
      </c>
      <c r="G120" s="12">
        <f t="shared" ca="1" si="12"/>
        <v>25</v>
      </c>
      <c r="H120" s="12">
        <f t="shared" ca="1" si="13"/>
        <v>-7</v>
      </c>
      <c r="I120" s="13">
        <f t="shared" ca="1" si="14"/>
        <v>-3</v>
      </c>
      <c r="J120" s="14">
        <f t="shared" ca="1" si="11"/>
        <v>24</v>
      </c>
      <c r="K120" s="12" t="s">
        <v>40</v>
      </c>
      <c r="L120" s="12">
        <v>10</v>
      </c>
      <c r="M120" s="12" t="s">
        <v>44</v>
      </c>
      <c r="N120" s="12">
        <v>29</v>
      </c>
    </row>
    <row r="121" spans="1:15">
      <c r="A121" s="12">
        <f t="shared" si="15"/>
        <v>120</v>
      </c>
      <c r="B121" s="12" t="s">
        <v>1</v>
      </c>
      <c r="C121" s="30" t="s">
        <v>1070</v>
      </c>
      <c r="D121" s="30" t="s">
        <v>348</v>
      </c>
      <c r="E121" s="89">
        <f t="shared" ca="1" si="16"/>
        <v>40951</v>
      </c>
      <c r="F121" s="11">
        <f>DATE(97,6,15)</f>
        <v>35596</v>
      </c>
      <c r="G121" s="12">
        <f t="shared" ca="1" si="12"/>
        <v>15</v>
      </c>
      <c r="H121" s="12">
        <f t="shared" ca="1" si="13"/>
        <v>-4</v>
      </c>
      <c r="I121" s="13">
        <f t="shared" ca="1" si="14"/>
        <v>-3</v>
      </c>
      <c r="J121" s="14">
        <f t="shared" ca="1" si="11"/>
        <v>14</v>
      </c>
      <c r="K121" s="12" t="s">
        <v>41</v>
      </c>
      <c r="L121" s="12">
        <v>10</v>
      </c>
      <c r="M121" s="12" t="s">
        <v>44</v>
      </c>
      <c r="N121" s="12">
        <v>29</v>
      </c>
    </row>
    <row r="122" spans="1:15">
      <c r="A122" s="12">
        <f t="shared" si="15"/>
        <v>121</v>
      </c>
      <c r="B122" s="12" t="s">
        <v>1</v>
      </c>
      <c r="C122" s="30" t="s">
        <v>591</v>
      </c>
      <c r="D122" s="30" t="s">
        <v>94</v>
      </c>
      <c r="E122" s="89">
        <f t="shared" ca="1" si="16"/>
        <v>40951</v>
      </c>
      <c r="F122" s="11">
        <f>DATE(57,9,16)</f>
        <v>21079</v>
      </c>
      <c r="G122" s="12">
        <f t="shared" ca="1" si="12"/>
        <v>55</v>
      </c>
      <c r="H122" s="12">
        <f t="shared" ca="1" si="13"/>
        <v>-7</v>
      </c>
      <c r="I122" s="13">
        <f t="shared" ca="1" si="14"/>
        <v>-4</v>
      </c>
      <c r="J122" s="14">
        <f t="shared" ca="1" si="11"/>
        <v>54</v>
      </c>
      <c r="K122" s="12" t="s">
        <v>40</v>
      </c>
      <c r="L122" s="12">
        <v>10</v>
      </c>
      <c r="M122" s="12" t="s">
        <v>40</v>
      </c>
      <c r="N122" s="12">
        <v>30</v>
      </c>
      <c r="O122" s="90" t="s">
        <v>2748</v>
      </c>
    </row>
    <row r="123" spans="1:15">
      <c r="A123" s="12">
        <f t="shared" si="15"/>
        <v>122</v>
      </c>
      <c r="B123" s="12" t="s">
        <v>1</v>
      </c>
      <c r="C123" s="30" t="s">
        <v>1071</v>
      </c>
      <c r="D123" s="30" t="s">
        <v>591</v>
      </c>
      <c r="E123" s="89">
        <f t="shared" ca="1" si="16"/>
        <v>40951</v>
      </c>
      <c r="F123" s="11">
        <f>DATE(61,7,27)</f>
        <v>22489</v>
      </c>
      <c r="G123" s="12">
        <f t="shared" ca="1" si="12"/>
        <v>51</v>
      </c>
      <c r="H123" s="12">
        <f t="shared" ca="1" si="13"/>
        <v>-5</v>
      </c>
      <c r="I123" s="13">
        <f t="shared" ca="1" si="14"/>
        <v>-15</v>
      </c>
      <c r="J123" s="14">
        <f t="shared" ca="1" si="11"/>
        <v>50</v>
      </c>
      <c r="K123" s="12" t="s">
        <v>41</v>
      </c>
      <c r="L123" s="12">
        <v>10</v>
      </c>
      <c r="M123" s="12" t="s">
        <v>40</v>
      </c>
      <c r="N123" s="12">
        <v>30</v>
      </c>
    </row>
    <row r="124" spans="1:15">
      <c r="A124" s="12">
        <f t="shared" si="15"/>
        <v>123</v>
      </c>
      <c r="B124" s="12" t="s">
        <v>1</v>
      </c>
      <c r="C124" s="30" t="s">
        <v>533</v>
      </c>
      <c r="D124" s="30" t="s">
        <v>591</v>
      </c>
      <c r="E124" s="89">
        <f t="shared" ca="1" si="16"/>
        <v>40951</v>
      </c>
      <c r="F124" s="11">
        <f>DATE(84,7,7)</f>
        <v>30870</v>
      </c>
      <c r="G124" s="12">
        <f t="shared" ca="1" si="12"/>
        <v>28</v>
      </c>
      <c r="H124" s="12">
        <f t="shared" ca="1" si="13"/>
        <v>-5</v>
      </c>
      <c r="I124" s="13">
        <f t="shared" ca="1" si="14"/>
        <v>5</v>
      </c>
      <c r="J124" s="14">
        <f t="shared" ca="1" si="11"/>
        <v>27</v>
      </c>
      <c r="K124" s="12" t="s">
        <v>41</v>
      </c>
      <c r="L124" s="12">
        <v>10</v>
      </c>
      <c r="M124" s="12" t="s">
        <v>44</v>
      </c>
      <c r="N124" s="12">
        <v>30</v>
      </c>
    </row>
    <row r="125" spans="1:15">
      <c r="A125" s="12">
        <f t="shared" si="15"/>
        <v>124</v>
      </c>
      <c r="B125" s="12" t="s">
        <v>1</v>
      </c>
      <c r="C125" s="30" t="s">
        <v>1072</v>
      </c>
      <c r="D125" s="30" t="s">
        <v>591</v>
      </c>
      <c r="E125" s="89">
        <f t="shared" ca="1" si="16"/>
        <v>40951</v>
      </c>
      <c r="F125" s="11">
        <f>DATE(86,12,1)</f>
        <v>31747</v>
      </c>
      <c r="G125" s="12">
        <f t="shared" ca="1" si="12"/>
        <v>26</v>
      </c>
      <c r="H125" s="12">
        <f t="shared" ca="1" si="13"/>
        <v>-10</v>
      </c>
      <c r="I125" s="13">
        <f t="shared" ca="1" si="14"/>
        <v>11</v>
      </c>
      <c r="J125" s="14">
        <f t="shared" ca="1" si="11"/>
        <v>25</v>
      </c>
      <c r="K125" s="12" t="s">
        <v>41</v>
      </c>
      <c r="L125" s="12">
        <v>10</v>
      </c>
      <c r="M125" s="12" t="s">
        <v>44</v>
      </c>
      <c r="N125" s="12">
        <v>30</v>
      </c>
    </row>
    <row r="126" spans="1:15">
      <c r="A126" s="12">
        <f t="shared" si="15"/>
        <v>125</v>
      </c>
      <c r="B126" s="12" t="s">
        <v>1</v>
      </c>
      <c r="C126" s="30" t="s">
        <v>741</v>
      </c>
      <c r="D126" s="30" t="s">
        <v>591</v>
      </c>
      <c r="E126" s="89">
        <f t="shared" ca="1" si="16"/>
        <v>40951</v>
      </c>
      <c r="F126" s="11">
        <f>DATE(88,10,14)</f>
        <v>32430</v>
      </c>
      <c r="G126" s="12">
        <f t="shared" ca="1" si="12"/>
        <v>24</v>
      </c>
      <c r="H126" s="12">
        <f t="shared" ca="1" si="13"/>
        <v>-8</v>
      </c>
      <c r="I126" s="13">
        <f t="shared" ca="1" si="14"/>
        <v>-2</v>
      </c>
      <c r="J126" s="14">
        <f t="shared" ca="1" si="11"/>
        <v>23</v>
      </c>
      <c r="K126" s="12" t="s">
        <v>41</v>
      </c>
      <c r="L126" s="12">
        <v>10</v>
      </c>
      <c r="M126" s="12" t="s">
        <v>44</v>
      </c>
      <c r="N126" s="12">
        <v>30</v>
      </c>
    </row>
    <row r="127" spans="1:15">
      <c r="A127" s="12">
        <f t="shared" si="15"/>
        <v>126</v>
      </c>
      <c r="B127" s="12" t="s">
        <v>1</v>
      </c>
      <c r="C127" s="12" t="s">
        <v>49</v>
      </c>
      <c r="D127" s="12" t="s">
        <v>50</v>
      </c>
      <c r="E127" s="89">
        <f t="shared" ca="1" si="16"/>
        <v>40951</v>
      </c>
      <c r="F127" s="11">
        <f>DATE(51,9,2)</f>
        <v>18873</v>
      </c>
      <c r="G127" s="12">
        <f t="shared" ca="1" si="12"/>
        <v>61</v>
      </c>
      <c r="H127" s="12">
        <f t="shared" ca="1" si="13"/>
        <v>-7</v>
      </c>
      <c r="I127" s="13">
        <f t="shared" ca="1" si="14"/>
        <v>10</v>
      </c>
      <c r="J127" s="14">
        <f t="shared" ca="1" si="11"/>
        <v>60</v>
      </c>
      <c r="K127" s="12" t="s">
        <v>40</v>
      </c>
      <c r="L127" s="12">
        <v>11</v>
      </c>
      <c r="M127" s="12" t="s">
        <v>40</v>
      </c>
      <c r="N127" s="12">
        <v>31</v>
      </c>
      <c r="O127" s="90" t="s">
        <v>2748</v>
      </c>
    </row>
    <row r="128" spans="1:15">
      <c r="A128" s="12">
        <f t="shared" si="15"/>
        <v>127</v>
      </c>
      <c r="B128" s="12" t="s">
        <v>1</v>
      </c>
      <c r="C128" s="12" t="s">
        <v>51</v>
      </c>
      <c r="D128" s="12" t="s">
        <v>49</v>
      </c>
      <c r="E128" s="89">
        <f t="shared" ca="1" si="16"/>
        <v>40951</v>
      </c>
      <c r="F128" s="11">
        <f>DATE(53,5,8)</f>
        <v>19487</v>
      </c>
      <c r="G128" s="12">
        <f t="shared" ca="1" si="12"/>
        <v>59</v>
      </c>
      <c r="H128" s="12">
        <f t="shared" ca="1" si="13"/>
        <v>-3</v>
      </c>
      <c r="I128" s="13">
        <f t="shared" ca="1" si="14"/>
        <v>4</v>
      </c>
      <c r="J128" s="14">
        <f t="shared" ca="1" si="11"/>
        <v>58</v>
      </c>
      <c r="K128" s="12" t="s">
        <v>41</v>
      </c>
      <c r="L128" s="12">
        <v>11</v>
      </c>
      <c r="M128" s="12" t="s">
        <v>40</v>
      </c>
      <c r="N128" s="12">
        <v>31</v>
      </c>
    </row>
    <row r="129" spans="1:15">
      <c r="A129" s="12">
        <f t="shared" si="15"/>
        <v>128</v>
      </c>
      <c r="B129" s="12" t="s">
        <v>1</v>
      </c>
      <c r="C129" s="12" t="s">
        <v>52</v>
      </c>
      <c r="D129" s="12" t="s">
        <v>49</v>
      </c>
      <c r="E129" s="89">
        <f t="shared" ca="1" si="16"/>
        <v>40951</v>
      </c>
      <c r="F129" s="11">
        <f>DATE(84,3,15)</f>
        <v>30756</v>
      </c>
      <c r="G129" s="12">
        <f t="shared" ca="1" si="12"/>
        <v>28</v>
      </c>
      <c r="H129" s="12">
        <f t="shared" ca="1" si="13"/>
        <v>-1</v>
      </c>
      <c r="I129" s="13">
        <f t="shared" ca="1" si="14"/>
        <v>-3</v>
      </c>
      <c r="J129" s="14">
        <f t="shared" ca="1" si="11"/>
        <v>27</v>
      </c>
      <c r="K129" s="12" t="s">
        <v>40</v>
      </c>
      <c r="L129" s="12">
        <v>11</v>
      </c>
      <c r="M129" s="12" t="s">
        <v>44</v>
      </c>
      <c r="N129" s="12">
        <v>31</v>
      </c>
    </row>
    <row r="130" spans="1:15">
      <c r="A130" s="12">
        <f t="shared" si="15"/>
        <v>129</v>
      </c>
      <c r="B130" s="12" t="s">
        <v>1</v>
      </c>
      <c r="C130" s="12" t="s">
        <v>53</v>
      </c>
      <c r="D130" s="12" t="s">
        <v>50</v>
      </c>
      <c r="E130" s="89">
        <f t="shared" ca="1" si="16"/>
        <v>40951</v>
      </c>
      <c r="F130" s="11">
        <f>DATE(31,3,11)</f>
        <v>11393</v>
      </c>
      <c r="G130" s="12">
        <f t="shared" ca="1" si="12"/>
        <v>81</v>
      </c>
      <c r="H130" s="12">
        <f t="shared" ca="1" si="13"/>
        <v>-1</v>
      </c>
      <c r="I130" s="13">
        <f t="shared" ca="1" si="14"/>
        <v>1</v>
      </c>
      <c r="J130" s="14">
        <f t="shared" ca="1" si="11"/>
        <v>80</v>
      </c>
      <c r="K130" s="12" t="s">
        <v>41</v>
      </c>
      <c r="L130" s="12">
        <v>11</v>
      </c>
      <c r="M130" s="12" t="s">
        <v>40</v>
      </c>
      <c r="N130" s="12">
        <v>31</v>
      </c>
    </row>
    <row r="131" spans="1:15">
      <c r="A131" s="12">
        <f t="shared" si="15"/>
        <v>130</v>
      </c>
      <c r="B131" s="12" t="s">
        <v>1</v>
      </c>
      <c r="C131" s="12" t="s">
        <v>54</v>
      </c>
      <c r="D131" s="12" t="s">
        <v>50</v>
      </c>
      <c r="E131" s="89">
        <f t="shared" ca="1" si="16"/>
        <v>40951</v>
      </c>
      <c r="F131" s="11">
        <f>DATE(54,3,13)</f>
        <v>19796</v>
      </c>
      <c r="G131" s="12">
        <f t="shared" ca="1" si="12"/>
        <v>58</v>
      </c>
      <c r="H131" s="12">
        <f t="shared" ca="1" si="13"/>
        <v>-1</v>
      </c>
      <c r="I131" s="13">
        <f t="shared" ca="1" si="14"/>
        <v>-1</v>
      </c>
      <c r="J131" s="14">
        <f t="shared" ref="J131:J194" ca="1" si="17">IF(H131&lt;0,G131-1,IF(H131&gt;0,G131,IF(I131&lt;0,G131-1,G131)))</f>
        <v>57</v>
      </c>
      <c r="K131" s="12" t="s">
        <v>40</v>
      </c>
      <c r="L131" s="12">
        <v>11</v>
      </c>
      <c r="M131" s="12" t="s">
        <v>44</v>
      </c>
      <c r="N131" s="12">
        <v>31</v>
      </c>
    </row>
    <row r="132" spans="1:15">
      <c r="A132" s="12">
        <f t="shared" si="15"/>
        <v>131</v>
      </c>
      <c r="B132" s="12" t="s">
        <v>1</v>
      </c>
      <c r="C132" s="12" t="s">
        <v>55</v>
      </c>
      <c r="D132" s="12" t="s">
        <v>56</v>
      </c>
      <c r="E132" s="89">
        <f t="shared" ca="1" si="16"/>
        <v>40951</v>
      </c>
      <c r="F132" s="11">
        <f>DATE(55,3,7)</f>
        <v>20155</v>
      </c>
      <c r="G132" s="12">
        <f t="shared" ca="1" si="12"/>
        <v>57</v>
      </c>
      <c r="H132" s="12">
        <f t="shared" ca="1" si="13"/>
        <v>-1</v>
      </c>
      <c r="I132" s="13">
        <f t="shared" ca="1" si="14"/>
        <v>5</v>
      </c>
      <c r="J132" s="14">
        <f t="shared" ca="1" si="17"/>
        <v>56</v>
      </c>
      <c r="K132" s="12" t="s">
        <v>40</v>
      </c>
      <c r="L132" s="12">
        <v>11</v>
      </c>
      <c r="M132" s="12" t="s">
        <v>40</v>
      </c>
      <c r="N132" s="12">
        <v>32</v>
      </c>
      <c r="O132" s="90" t="s">
        <v>2748</v>
      </c>
    </row>
    <row r="133" spans="1:15">
      <c r="A133" s="12">
        <f t="shared" si="15"/>
        <v>132</v>
      </c>
      <c r="B133" s="12" t="s">
        <v>1</v>
      </c>
      <c r="C133" s="12" t="s">
        <v>57</v>
      </c>
      <c r="D133" s="12" t="s">
        <v>55</v>
      </c>
      <c r="E133" s="89">
        <f t="shared" ca="1" si="16"/>
        <v>40951</v>
      </c>
      <c r="F133" s="32"/>
      <c r="G133" s="12">
        <f t="shared" ca="1" si="12"/>
        <v>112</v>
      </c>
      <c r="H133" s="12">
        <f t="shared" ca="1" si="13"/>
        <v>1</v>
      </c>
      <c r="I133" s="13">
        <f t="shared" ca="1" si="14"/>
        <v>12</v>
      </c>
      <c r="J133" s="14">
        <f t="shared" ca="1" si="17"/>
        <v>112</v>
      </c>
      <c r="K133" s="12" t="s">
        <v>41</v>
      </c>
      <c r="L133" s="12">
        <v>11</v>
      </c>
      <c r="M133" s="12" t="s">
        <v>40</v>
      </c>
      <c r="N133" s="12">
        <v>32</v>
      </c>
    </row>
    <row r="134" spans="1:15">
      <c r="A134" s="12">
        <f t="shared" si="15"/>
        <v>133</v>
      </c>
      <c r="B134" s="12" t="s">
        <v>1</v>
      </c>
      <c r="C134" s="12" t="s">
        <v>58</v>
      </c>
      <c r="D134" s="12" t="s">
        <v>55</v>
      </c>
      <c r="E134" s="89">
        <f t="shared" ca="1" si="16"/>
        <v>40951</v>
      </c>
      <c r="F134" s="11">
        <f>DATE(80,4,18)</f>
        <v>29329</v>
      </c>
      <c r="G134" s="12">
        <f t="shared" ca="1" si="12"/>
        <v>32</v>
      </c>
      <c r="H134" s="12">
        <f t="shared" ca="1" si="13"/>
        <v>-2</v>
      </c>
      <c r="I134" s="13">
        <f t="shared" ca="1" si="14"/>
        <v>-6</v>
      </c>
      <c r="J134" s="14">
        <f t="shared" ca="1" si="17"/>
        <v>31</v>
      </c>
      <c r="K134" s="12" t="s">
        <v>40</v>
      </c>
      <c r="L134" s="12">
        <v>11</v>
      </c>
      <c r="M134" s="12" t="s">
        <v>44</v>
      </c>
      <c r="N134" s="12">
        <v>32</v>
      </c>
    </row>
    <row r="135" spans="1:15">
      <c r="A135" s="12">
        <f t="shared" si="15"/>
        <v>134</v>
      </c>
      <c r="B135" s="12" t="s">
        <v>1</v>
      </c>
      <c r="C135" s="12" t="s">
        <v>59</v>
      </c>
      <c r="D135" s="12" t="s">
        <v>60</v>
      </c>
      <c r="E135" s="89">
        <f t="shared" ca="1" si="16"/>
        <v>40951</v>
      </c>
      <c r="F135" s="32"/>
      <c r="G135" s="12">
        <f t="shared" ca="1" si="12"/>
        <v>112</v>
      </c>
      <c r="H135" s="12">
        <f t="shared" ca="1" si="13"/>
        <v>1</v>
      </c>
      <c r="I135" s="13">
        <f t="shared" ca="1" si="14"/>
        <v>12</v>
      </c>
      <c r="J135" s="14">
        <f t="shared" ca="1" si="17"/>
        <v>112</v>
      </c>
      <c r="K135" s="12" t="s">
        <v>41</v>
      </c>
      <c r="L135" s="12">
        <v>11</v>
      </c>
      <c r="M135" s="12" t="s">
        <v>40</v>
      </c>
      <c r="N135" s="12">
        <v>33</v>
      </c>
      <c r="O135" s="90" t="s">
        <v>2748</v>
      </c>
    </row>
    <row r="136" spans="1:15">
      <c r="A136" s="12">
        <f t="shared" si="15"/>
        <v>135</v>
      </c>
      <c r="B136" s="12" t="s">
        <v>1</v>
      </c>
      <c r="C136" s="12" t="s">
        <v>61</v>
      </c>
      <c r="D136" s="12" t="s">
        <v>60</v>
      </c>
      <c r="E136" s="89">
        <f t="shared" ca="1" si="16"/>
        <v>40951</v>
      </c>
      <c r="F136" s="11">
        <f>DATE(71,8,2)</f>
        <v>26147</v>
      </c>
      <c r="G136" s="12">
        <f t="shared" ca="1" si="12"/>
        <v>41</v>
      </c>
      <c r="H136" s="12">
        <f t="shared" ca="1" si="13"/>
        <v>-6</v>
      </c>
      <c r="I136" s="13">
        <f t="shared" ca="1" si="14"/>
        <v>10</v>
      </c>
      <c r="J136" s="14">
        <f t="shared" ca="1" si="17"/>
        <v>40</v>
      </c>
      <c r="K136" s="12" t="s">
        <v>40</v>
      </c>
      <c r="L136" s="12">
        <v>11</v>
      </c>
      <c r="M136" s="12" t="s">
        <v>40</v>
      </c>
      <c r="N136" s="12">
        <v>33</v>
      </c>
    </row>
    <row r="137" spans="1:15">
      <c r="A137" s="12">
        <f t="shared" si="15"/>
        <v>136</v>
      </c>
      <c r="B137" s="12" t="s">
        <v>1</v>
      </c>
      <c r="C137" s="12" t="s">
        <v>62</v>
      </c>
      <c r="D137" s="12" t="s">
        <v>61</v>
      </c>
      <c r="E137" s="89">
        <f t="shared" ca="1" si="16"/>
        <v>40951</v>
      </c>
      <c r="F137" s="11">
        <f>DATE(73,9,29)</f>
        <v>26936</v>
      </c>
      <c r="G137" s="12">
        <f t="shared" ca="1" si="12"/>
        <v>39</v>
      </c>
      <c r="H137" s="12">
        <f t="shared" ca="1" si="13"/>
        <v>-7</v>
      </c>
      <c r="I137" s="13">
        <f t="shared" ca="1" si="14"/>
        <v>-17</v>
      </c>
      <c r="J137" s="14">
        <f t="shared" ca="1" si="17"/>
        <v>38</v>
      </c>
      <c r="K137" s="12" t="s">
        <v>41</v>
      </c>
      <c r="L137" s="12">
        <v>11</v>
      </c>
      <c r="M137" s="12" t="s">
        <v>40</v>
      </c>
      <c r="N137" s="12">
        <v>33</v>
      </c>
    </row>
    <row r="138" spans="1:15">
      <c r="A138" s="12">
        <f t="shared" si="15"/>
        <v>137</v>
      </c>
      <c r="B138" s="12" t="s">
        <v>1</v>
      </c>
      <c r="C138" s="12" t="s">
        <v>63</v>
      </c>
      <c r="D138" s="12" t="s">
        <v>61</v>
      </c>
      <c r="E138" s="89">
        <f t="shared" ca="1" si="16"/>
        <v>40951</v>
      </c>
      <c r="F138" s="46">
        <f>DATE(2002,8,2)</f>
        <v>37470</v>
      </c>
      <c r="G138" s="12">
        <f t="shared" ca="1" si="12"/>
        <v>10</v>
      </c>
      <c r="H138" s="12">
        <f t="shared" ca="1" si="13"/>
        <v>-6</v>
      </c>
      <c r="I138" s="13">
        <f t="shared" ca="1" si="14"/>
        <v>10</v>
      </c>
      <c r="J138" s="14">
        <f t="shared" ca="1" si="17"/>
        <v>9</v>
      </c>
      <c r="K138" s="12" t="s">
        <v>40</v>
      </c>
      <c r="L138" s="12">
        <v>11</v>
      </c>
      <c r="M138" s="12" t="s">
        <v>44</v>
      </c>
      <c r="N138" s="12">
        <v>33</v>
      </c>
    </row>
    <row r="139" spans="1:15">
      <c r="A139" s="12">
        <f t="shared" si="15"/>
        <v>138</v>
      </c>
      <c r="B139" s="12" t="s">
        <v>1</v>
      </c>
      <c r="C139" s="12" t="s">
        <v>64</v>
      </c>
      <c r="D139" s="12" t="s">
        <v>65</v>
      </c>
      <c r="E139" s="89">
        <f t="shared" ca="1" si="16"/>
        <v>40951</v>
      </c>
      <c r="F139" s="11">
        <f>DATE(50,8,5)</f>
        <v>18480</v>
      </c>
      <c r="G139" s="12">
        <f t="shared" ca="1" si="12"/>
        <v>62</v>
      </c>
      <c r="H139" s="12">
        <f t="shared" ca="1" si="13"/>
        <v>-6</v>
      </c>
      <c r="I139" s="13">
        <f t="shared" ca="1" si="14"/>
        <v>7</v>
      </c>
      <c r="J139" s="14">
        <f t="shared" ca="1" si="17"/>
        <v>61</v>
      </c>
      <c r="K139" s="12" t="s">
        <v>40</v>
      </c>
      <c r="L139" s="12">
        <v>12</v>
      </c>
      <c r="M139" s="12" t="s">
        <v>40</v>
      </c>
      <c r="N139" s="12">
        <v>34</v>
      </c>
      <c r="O139" s="90" t="s">
        <v>2748</v>
      </c>
    </row>
    <row r="140" spans="1:15">
      <c r="A140" s="12">
        <f t="shared" si="15"/>
        <v>139</v>
      </c>
      <c r="B140" s="12" t="s">
        <v>1</v>
      </c>
      <c r="C140" s="12" t="s">
        <v>66</v>
      </c>
      <c r="D140" s="12" t="s">
        <v>64</v>
      </c>
      <c r="E140" s="89">
        <f t="shared" ca="1" si="16"/>
        <v>40951</v>
      </c>
      <c r="F140" s="11">
        <f>DATE(56,1,3)</f>
        <v>20457</v>
      </c>
      <c r="G140" s="12">
        <f t="shared" ca="1" si="12"/>
        <v>56</v>
      </c>
      <c r="H140" s="12">
        <f t="shared" ca="1" si="13"/>
        <v>1</v>
      </c>
      <c r="I140" s="13">
        <f t="shared" ca="1" si="14"/>
        <v>9</v>
      </c>
      <c r="J140" s="14">
        <f t="shared" ca="1" si="17"/>
        <v>56</v>
      </c>
      <c r="K140" s="12" t="s">
        <v>41</v>
      </c>
      <c r="L140" s="12">
        <v>12</v>
      </c>
      <c r="M140" s="12" t="s">
        <v>40</v>
      </c>
      <c r="N140" s="12">
        <v>34</v>
      </c>
    </row>
    <row r="141" spans="1:15">
      <c r="A141" s="12">
        <f t="shared" si="15"/>
        <v>140</v>
      </c>
      <c r="B141" s="12" t="s">
        <v>1</v>
      </c>
      <c r="C141" s="12" t="s">
        <v>67</v>
      </c>
      <c r="D141" s="12" t="s">
        <v>64</v>
      </c>
      <c r="E141" s="89">
        <f t="shared" ca="1" si="16"/>
        <v>40951</v>
      </c>
      <c r="F141" s="11">
        <f>DATE(79,4,26)</f>
        <v>28971</v>
      </c>
      <c r="G141" s="12">
        <f t="shared" ca="1" si="12"/>
        <v>33</v>
      </c>
      <c r="H141" s="12">
        <f t="shared" ca="1" si="13"/>
        <v>-2</v>
      </c>
      <c r="I141" s="13">
        <f t="shared" ca="1" si="14"/>
        <v>-14</v>
      </c>
      <c r="J141" s="14">
        <f t="shared" ca="1" si="17"/>
        <v>32</v>
      </c>
      <c r="K141" s="12" t="s">
        <v>40</v>
      </c>
      <c r="L141" s="12">
        <v>12</v>
      </c>
      <c r="M141" s="12" t="s">
        <v>40</v>
      </c>
      <c r="N141" s="12">
        <v>34</v>
      </c>
    </row>
    <row r="142" spans="1:15">
      <c r="A142" s="12">
        <f t="shared" si="15"/>
        <v>141</v>
      </c>
      <c r="B142" s="12" t="s">
        <v>1</v>
      </c>
      <c r="C142" s="12" t="s">
        <v>68</v>
      </c>
      <c r="D142" s="12" t="s">
        <v>64</v>
      </c>
      <c r="E142" s="89">
        <f t="shared" ca="1" si="16"/>
        <v>40951</v>
      </c>
      <c r="F142" s="11">
        <f>DATE(82,12,28)</f>
        <v>30313</v>
      </c>
      <c r="G142" s="12">
        <f t="shared" ca="1" si="12"/>
        <v>30</v>
      </c>
      <c r="H142" s="12">
        <f t="shared" ca="1" si="13"/>
        <v>-10</v>
      </c>
      <c r="I142" s="13">
        <f t="shared" ca="1" si="14"/>
        <v>-16</v>
      </c>
      <c r="J142" s="14">
        <f t="shared" ca="1" si="17"/>
        <v>29</v>
      </c>
      <c r="K142" s="12" t="s">
        <v>41</v>
      </c>
      <c r="L142" s="12">
        <v>12</v>
      </c>
      <c r="M142" s="12" t="s">
        <v>40</v>
      </c>
      <c r="N142" s="12">
        <v>34</v>
      </c>
    </row>
    <row r="143" spans="1:15">
      <c r="A143" s="12">
        <f t="shared" si="15"/>
        <v>142</v>
      </c>
      <c r="B143" s="12" t="s">
        <v>1</v>
      </c>
      <c r="C143" s="12" t="s">
        <v>69</v>
      </c>
      <c r="D143" s="12" t="s">
        <v>70</v>
      </c>
      <c r="E143" s="89">
        <f t="shared" ca="1" si="16"/>
        <v>40951</v>
      </c>
      <c r="F143" s="11">
        <f>DATE(51,11,14)</f>
        <v>18946</v>
      </c>
      <c r="G143" s="12">
        <f t="shared" ca="1" si="12"/>
        <v>61</v>
      </c>
      <c r="H143" s="12">
        <f t="shared" ca="1" si="13"/>
        <v>-9</v>
      </c>
      <c r="I143" s="13">
        <f t="shared" ca="1" si="14"/>
        <v>-2</v>
      </c>
      <c r="J143" s="14">
        <f t="shared" ca="1" si="17"/>
        <v>60</v>
      </c>
      <c r="K143" s="12" t="s">
        <v>41</v>
      </c>
      <c r="L143" s="12">
        <v>12</v>
      </c>
      <c r="M143" s="12" t="s">
        <v>40</v>
      </c>
      <c r="N143" s="12">
        <v>35</v>
      </c>
      <c r="O143" s="90" t="s">
        <v>2748</v>
      </c>
    </row>
    <row r="144" spans="1:15">
      <c r="A144" s="12">
        <f t="shared" si="15"/>
        <v>143</v>
      </c>
      <c r="B144" s="12" t="s">
        <v>1</v>
      </c>
      <c r="C144" s="12" t="s">
        <v>71</v>
      </c>
      <c r="D144" s="12" t="s">
        <v>72</v>
      </c>
      <c r="E144" s="89">
        <f t="shared" ca="1" si="16"/>
        <v>40951</v>
      </c>
      <c r="F144" s="11">
        <f>DATE(67,7,7)</f>
        <v>24660</v>
      </c>
      <c r="G144" s="12">
        <f t="shared" ca="1" si="12"/>
        <v>45</v>
      </c>
      <c r="H144" s="12">
        <f t="shared" ca="1" si="13"/>
        <v>-5</v>
      </c>
      <c r="I144" s="13">
        <f t="shared" ca="1" si="14"/>
        <v>5</v>
      </c>
      <c r="J144" s="14">
        <f t="shared" ca="1" si="17"/>
        <v>44</v>
      </c>
      <c r="K144" s="12" t="s">
        <v>40</v>
      </c>
      <c r="L144" s="12">
        <v>12</v>
      </c>
      <c r="M144" s="12" t="s">
        <v>40</v>
      </c>
      <c r="N144" s="12">
        <v>36</v>
      </c>
      <c r="O144" s="90" t="s">
        <v>2748</v>
      </c>
    </row>
    <row r="145" spans="1:15">
      <c r="A145" s="12">
        <f t="shared" si="15"/>
        <v>144</v>
      </c>
      <c r="B145" s="12" t="s">
        <v>1</v>
      </c>
      <c r="C145" s="12" t="s">
        <v>73</v>
      </c>
      <c r="D145" s="12" t="s">
        <v>71</v>
      </c>
      <c r="E145" s="89">
        <f t="shared" ca="1" si="16"/>
        <v>40951</v>
      </c>
      <c r="F145" s="11">
        <f>DATE(72,5,21)</f>
        <v>26440</v>
      </c>
      <c r="G145" s="12">
        <f t="shared" ca="1" si="12"/>
        <v>40</v>
      </c>
      <c r="H145" s="12">
        <f t="shared" ca="1" si="13"/>
        <v>-3</v>
      </c>
      <c r="I145" s="13">
        <f t="shared" ca="1" si="14"/>
        <v>-9</v>
      </c>
      <c r="J145" s="14">
        <f t="shared" ca="1" si="17"/>
        <v>39</v>
      </c>
      <c r="K145" s="12" t="s">
        <v>41</v>
      </c>
      <c r="L145" s="12">
        <v>12</v>
      </c>
      <c r="M145" s="12" t="s">
        <v>40</v>
      </c>
      <c r="N145" s="12">
        <v>36</v>
      </c>
    </row>
    <row r="146" spans="1:15">
      <c r="A146" s="12">
        <f t="shared" si="15"/>
        <v>145</v>
      </c>
      <c r="B146" s="12" t="s">
        <v>1</v>
      </c>
      <c r="C146" s="12" t="s">
        <v>74</v>
      </c>
      <c r="D146" s="12" t="s">
        <v>71</v>
      </c>
      <c r="E146" s="89">
        <f t="shared" ca="1" si="16"/>
        <v>40951</v>
      </c>
      <c r="F146" s="11">
        <f>DATE(92,10,31)</f>
        <v>33908</v>
      </c>
      <c r="G146" s="12">
        <f t="shared" ca="1" si="12"/>
        <v>20</v>
      </c>
      <c r="H146" s="12">
        <f t="shared" ca="1" si="13"/>
        <v>-8</v>
      </c>
      <c r="I146" s="13">
        <f t="shared" ca="1" si="14"/>
        <v>-19</v>
      </c>
      <c r="J146" s="14">
        <f t="shared" ca="1" si="17"/>
        <v>19</v>
      </c>
      <c r="K146" s="12" t="s">
        <v>41</v>
      </c>
      <c r="L146" s="12">
        <v>12</v>
      </c>
      <c r="M146" s="12" t="s">
        <v>44</v>
      </c>
      <c r="N146" s="12">
        <v>36</v>
      </c>
    </row>
    <row r="147" spans="1:15">
      <c r="A147" s="12">
        <f t="shared" si="15"/>
        <v>146</v>
      </c>
      <c r="B147" s="12" t="s">
        <v>1</v>
      </c>
      <c r="C147" s="12" t="s">
        <v>75</v>
      </c>
      <c r="D147" s="12" t="s">
        <v>71</v>
      </c>
      <c r="E147" s="89">
        <f t="shared" ca="1" si="16"/>
        <v>40951</v>
      </c>
      <c r="F147" s="11">
        <f>DATE(91,5,11)</f>
        <v>33369</v>
      </c>
      <c r="G147" s="12">
        <f t="shared" ca="1" si="12"/>
        <v>21</v>
      </c>
      <c r="H147" s="12">
        <f t="shared" ca="1" si="13"/>
        <v>-3</v>
      </c>
      <c r="I147" s="13">
        <f t="shared" ca="1" si="14"/>
        <v>1</v>
      </c>
      <c r="J147" s="14">
        <f t="shared" ca="1" si="17"/>
        <v>20</v>
      </c>
      <c r="K147" s="12" t="s">
        <v>41</v>
      </c>
      <c r="L147" s="12">
        <v>12</v>
      </c>
      <c r="M147" s="12" t="s">
        <v>44</v>
      </c>
      <c r="N147" s="12">
        <v>36</v>
      </c>
    </row>
    <row r="148" spans="1:15">
      <c r="A148" s="12">
        <f t="shared" si="15"/>
        <v>147</v>
      </c>
      <c r="B148" s="12" t="s">
        <v>1</v>
      </c>
      <c r="C148" s="12" t="s">
        <v>76</v>
      </c>
      <c r="D148" s="12" t="s">
        <v>77</v>
      </c>
      <c r="E148" s="89">
        <f t="shared" ca="1" si="16"/>
        <v>40951</v>
      </c>
      <c r="F148" s="11">
        <f>DATE(39,10,12)</f>
        <v>14530</v>
      </c>
      <c r="G148" s="12">
        <f t="shared" ca="1" si="12"/>
        <v>73</v>
      </c>
      <c r="H148" s="12">
        <f t="shared" ca="1" si="13"/>
        <v>-8</v>
      </c>
      <c r="I148" s="13">
        <f t="shared" ca="1" si="14"/>
        <v>0</v>
      </c>
      <c r="J148" s="14">
        <f t="shared" ca="1" si="17"/>
        <v>72</v>
      </c>
      <c r="K148" s="12" t="s">
        <v>40</v>
      </c>
      <c r="L148" s="12">
        <v>13</v>
      </c>
      <c r="M148" s="12" t="s">
        <v>40</v>
      </c>
      <c r="N148" s="12">
        <v>37</v>
      </c>
      <c r="O148" s="90" t="s">
        <v>2748</v>
      </c>
    </row>
    <row r="149" spans="1:15">
      <c r="A149" s="12">
        <f t="shared" si="15"/>
        <v>148</v>
      </c>
      <c r="B149" s="12" t="s">
        <v>1</v>
      </c>
      <c r="C149" s="12" t="s">
        <v>78</v>
      </c>
      <c r="D149" s="12" t="s">
        <v>76</v>
      </c>
      <c r="E149" s="89">
        <f t="shared" ca="1" si="16"/>
        <v>40951</v>
      </c>
      <c r="F149" s="11">
        <f>DATE(43,10,19)</f>
        <v>15998</v>
      </c>
      <c r="G149" s="12">
        <f t="shared" ca="1" si="12"/>
        <v>69</v>
      </c>
      <c r="H149" s="12">
        <f t="shared" ca="1" si="13"/>
        <v>-8</v>
      </c>
      <c r="I149" s="13">
        <f t="shared" ca="1" si="14"/>
        <v>-7</v>
      </c>
      <c r="J149" s="14">
        <f t="shared" ca="1" si="17"/>
        <v>68</v>
      </c>
      <c r="K149" s="12" t="s">
        <v>41</v>
      </c>
      <c r="L149" s="12">
        <v>13</v>
      </c>
      <c r="M149" s="12" t="s">
        <v>40</v>
      </c>
      <c r="N149" s="12">
        <v>37</v>
      </c>
    </row>
    <row r="150" spans="1:15">
      <c r="A150" s="12">
        <f t="shared" si="15"/>
        <v>149</v>
      </c>
      <c r="B150" s="12" t="s">
        <v>1</v>
      </c>
      <c r="C150" s="12" t="s">
        <v>79</v>
      </c>
      <c r="D150" s="12" t="s">
        <v>76</v>
      </c>
      <c r="E150" s="89">
        <f t="shared" ca="1" si="16"/>
        <v>40951</v>
      </c>
      <c r="F150" s="11">
        <f>DATE(71,7,29)</f>
        <v>26143</v>
      </c>
      <c r="G150" s="12">
        <f t="shared" ca="1" si="12"/>
        <v>41</v>
      </c>
      <c r="H150" s="12">
        <f t="shared" ca="1" si="13"/>
        <v>-5</v>
      </c>
      <c r="I150" s="13">
        <f t="shared" ca="1" si="14"/>
        <v>-17</v>
      </c>
      <c r="J150" s="14">
        <f t="shared" ca="1" si="17"/>
        <v>40</v>
      </c>
      <c r="K150" s="12" t="s">
        <v>40</v>
      </c>
      <c r="L150" s="12">
        <v>13</v>
      </c>
      <c r="M150" s="12" t="s">
        <v>40</v>
      </c>
      <c r="N150" s="12">
        <v>37</v>
      </c>
    </row>
    <row r="151" spans="1:15">
      <c r="A151" s="12">
        <f t="shared" si="15"/>
        <v>150</v>
      </c>
      <c r="B151" s="12" t="s">
        <v>1</v>
      </c>
      <c r="C151" s="12" t="s">
        <v>47</v>
      </c>
      <c r="D151" s="12" t="s">
        <v>76</v>
      </c>
      <c r="E151" s="89">
        <f t="shared" ca="1" si="16"/>
        <v>40951</v>
      </c>
      <c r="F151" s="11">
        <f>DATE(73,12,31)</f>
        <v>27029</v>
      </c>
      <c r="G151" s="12">
        <f t="shared" ca="1" si="12"/>
        <v>39</v>
      </c>
      <c r="H151" s="12">
        <f t="shared" ca="1" si="13"/>
        <v>-10</v>
      </c>
      <c r="I151" s="13">
        <f t="shared" ca="1" si="14"/>
        <v>-19</v>
      </c>
      <c r="J151" s="14">
        <f t="shared" ca="1" si="17"/>
        <v>38</v>
      </c>
      <c r="K151" s="12" t="s">
        <v>41</v>
      </c>
      <c r="L151" s="12">
        <v>13</v>
      </c>
      <c r="M151" s="12" t="s">
        <v>40</v>
      </c>
      <c r="N151" s="12">
        <v>37</v>
      </c>
    </row>
    <row r="152" spans="1:15">
      <c r="A152" s="12">
        <f t="shared" si="15"/>
        <v>151</v>
      </c>
      <c r="B152" s="12" t="s">
        <v>1</v>
      </c>
      <c r="C152" s="12" t="s">
        <v>80</v>
      </c>
      <c r="D152" s="12" t="s">
        <v>76</v>
      </c>
      <c r="E152" s="89">
        <f t="shared" ca="1" si="16"/>
        <v>40951</v>
      </c>
      <c r="F152" s="11">
        <f>DATE(98,6,27)</f>
        <v>35973</v>
      </c>
      <c r="G152" s="12">
        <f t="shared" ca="1" si="12"/>
        <v>14</v>
      </c>
      <c r="H152" s="12">
        <f t="shared" ca="1" si="13"/>
        <v>-4</v>
      </c>
      <c r="I152" s="13">
        <f t="shared" ca="1" si="14"/>
        <v>-15</v>
      </c>
      <c r="J152" s="14">
        <f t="shared" ca="1" si="17"/>
        <v>13</v>
      </c>
      <c r="K152" s="12" t="s">
        <v>40</v>
      </c>
      <c r="L152" s="12">
        <v>13</v>
      </c>
      <c r="M152" s="12" t="s">
        <v>44</v>
      </c>
      <c r="N152" s="12">
        <v>37</v>
      </c>
    </row>
    <row r="153" spans="1:15">
      <c r="A153" s="12">
        <f t="shared" si="15"/>
        <v>152</v>
      </c>
      <c r="B153" s="12" t="s">
        <v>1</v>
      </c>
      <c r="C153" s="12" t="s">
        <v>81</v>
      </c>
      <c r="D153" s="12" t="s">
        <v>82</v>
      </c>
      <c r="E153" s="89">
        <f t="shared" ca="1" si="16"/>
        <v>40951</v>
      </c>
      <c r="F153" s="11">
        <f>DATE(45,7,25)</f>
        <v>16643</v>
      </c>
      <c r="G153" s="12">
        <f t="shared" ref="G153:G216" ca="1" si="18">YEAR(E153)-YEAR(F153)</f>
        <v>67</v>
      </c>
      <c r="H153" s="12">
        <f t="shared" ref="H153:H216" ca="1" si="19">MONTH(E153)-MONTH(F153)</f>
        <v>-5</v>
      </c>
      <c r="I153" s="13">
        <f t="shared" ref="I153:I216" ca="1" si="20">DAY(E153)-DAY(F153)</f>
        <v>-13</v>
      </c>
      <c r="J153" s="14">
        <f t="shared" ca="1" si="17"/>
        <v>66</v>
      </c>
      <c r="K153" s="12" t="s">
        <v>41</v>
      </c>
      <c r="L153" s="12">
        <v>13</v>
      </c>
      <c r="M153" s="12" t="s">
        <v>44</v>
      </c>
      <c r="N153" s="12">
        <v>38</v>
      </c>
      <c r="O153" s="90" t="s">
        <v>2748</v>
      </c>
    </row>
    <row r="154" spans="1:15">
      <c r="A154" s="12">
        <f t="shared" si="15"/>
        <v>153</v>
      </c>
      <c r="B154" s="12" t="s">
        <v>1</v>
      </c>
      <c r="C154" s="12" t="s">
        <v>83</v>
      </c>
      <c r="D154" s="12" t="s">
        <v>82</v>
      </c>
      <c r="E154" s="89">
        <f t="shared" ca="1" si="16"/>
        <v>40951</v>
      </c>
      <c r="F154" s="11">
        <f>DATE(52,9,26)</f>
        <v>19263</v>
      </c>
      <c r="G154" s="12">
        <f t="shared" ca="1" si="18"/>
        <v>60</v>
      </c>
      <c r="H154" s="12">
        <f t="shared" ca="1" si="19"/>
        <v>-7</v>
      </c>
      <c r="I154" s="13">
        <f t="shared" ca="1" si="20"/>
        <v>-14</v>
      </c>
      <c r="J154" s="14">
        <f t="shared" ca="1" si="17"/>
        <v>59</v>
      </c>
      <c r="K154" s="12" t="s">
        <v>41</v>
      </c>
      <c r="L154" s="12">
        <v>13</v>
      </c>
      <c r="M154" s="12" t="s">
        <v>44</v>
      </c>
      <c r="N154" s="12">
        <v>38</v>
      </c>
    </row>
    <row r="155" spans="1:15">
      <c r="A155" s="12">
        <f t="shared" si="15"/>
        <v>154</v>
      </c>
      <c r="B155" s="12" t="s">
        <v>1</v>
      </c>
      <c r="C155" s="12" t="s">
        <v>84</v>
      </c>
      <c r="D155" s="12" t="s">
        <v>82</v>
      </c>
      <c r="E155" s="89">
        <f t="shared" ca="1" si="16"/>
        <v>40951</v>
      </c>
      <c r="F155" s="11">
        <f>DATE(47,7,28)</f>
        <v>17376</v>
      </c>
      <c r="G155" s="12">
        <f t="shared" ca="1" si="18"/>
        <v>65</v>
      </c>
      <c r="H155" s="12">
        <f t="shared" ca="1" si="19"/>
        <v>-5</v>
      </c>
      <c r="I155" s="13">
        <f t="shared" ca="1" si="20"/>
        <v>-16</v>
      </c>
      <c r="J155" s="14">
        <f t="shared" ca="1" si="17"/>
        <v>64</v>
      </c>
      <c r="K155" s="12" t="s">
        <v>41</v>
      </c>
      <c r="L155" s="12">
        <v>13</v>
      </c>
      <c r="M155" s="12" t="s">
        <v>44</v>
      </c>
      <c r="N155" s="12">
        <v>38</v>
      </c>
    </row>
    <row r="156" spans="1:15">
      <c r="A156" s="12">
        <f t="shared" si="15"/>
        <v>155</v>
      </c>
      <c r="B156" s="12" t="s">
        <v>1</v>
      </c>
      <c r="C156" s="12" t="s">
        <v>85</v>
      </c>
      <c r="D156" s="12" t="s">
        <v>82</v>
      </c>
      <c r="E156" s="89">
        <f t="shared" ca="1" si="16"/>
        <v>40951</v>
      </c>
      <c r="F156" s="11">
        <f>DATE(58,6,12)</f>
        <v>21348</v>
      </c>
      <c r="G156" s="12">
        <f t="shared" ca="1" si="18"/>
        <v>54</v>
      </c>
      <c r="H156" s="12">
        <f t="shared" ca="1" si="19"/>
        <v>-4</v>
      </c>
      <c r="I156" s="13">
        <f t="shared" ca="1" si="20"/>
        <v>0</v>
      </c>
      <c r="J156" s="14">
        <f t="shared" ca="1" si="17"/>
        <v>53</v>
      </c>
      <c r="K156" s="12" t="s">
        <v>40</v>
      </c>
      <c r="L156" s="12">
        <v>13</v>
      </c>
      <c r="M156" s="12" t="s">
        <v>44</v>
      </c>
      <c r="N156" s="12">
        <v>38</v>
      </c>
    </row>
    <row r="157" spans="1:15">
      <c r="A157" s="12">
        <f t="shared" si="15"/>
        <v>156</v>
      </c>
      <c r="B157" s="12" t="s">
        <v>1</v>
      </c>
      <c r="C157" s="12" t="s">
        <v>86</v>
      </c>
      <c r="D157" s="12" t="s">
        <v>77</v>
      </c>
      <c r="E157" s="89">
        <f t="shared" ca="1" si="16"/>
        <v>40951</v>
      </c>
      <c r="F157" s="11">
        <f>DATE(47,10,12)</f>
        <v>17452</v>
      </c>
      <c r="G157" s="12">
        <f t="shared" ca="1" si="18"/>
        <v>65</v>
      </c>
      <c r="H157" s="12">
        <f t="shared" ca="1" si="19"/>
        <v>-8</v>
      </c>
      <c r="I157" s="13">
        <f t="shared" ca="1" si="20"/>
        <v>0</v>
      </c>
      <c r="J157" s="14">
        <f t="shared" ca="1" si="17"/>
        <v>64</v>
      </c>
      <c r="K157" s="12" t="s">
        <v>40</v>
      </c>
      <c r="L157" s="12">
        <v>13</v>
      </c>
      <c r="M157" s="12" t="s">
        <v>40</v>
      </c>
      <c r="N157" s="12">
        <v>39</v>
      </c>
      <c r="O157" s="90" t="s">
        <v>2748</v>
      </c>
    </row>
    <row r="158" spans="1:15">
      <c r="A158" s="12">
        <f t="shared" ref="A158:A221" si="21">A157+1</f>
        <v>157</v>
      </c>
      <c r="B158" s="12" t="s">
        <v>1</v>
      </c>
      <c r="C158" s="12" t="s">
        <v>87</v>
      </c>
      <c r="D158" s="12" t="s">
        <v>86</v>
      </c>
      <c r="E158" s="89">
        <f t="shared" ca="1" si="16"/>
        <v>40951</v>
      </c>
      <c r="F158" s="11">
        <f>DATE(48,7,7)</f>
        <v>17721</v>
      </c>
      <c r="G158" s="12">
        <f t="shared" ca="1" si="18"/>
        <v>64</v>
      </c>
      <c r="H158" s="12">
        <f t="shared" ca="1" si="19"/>
        <v>-5</v>
      </c>
      <c r="I158" s="13">
        <f t="shared" ca="1" si="20"/>
        <v>5</v>
      </c>
      <c r="J158" s="14">
        <f t="shared" ca="1" si="17"/>
        <v>63</v>
      </c>
      <c r="K158" s="12" t="s">
        <v>41</v>
      </c>
      <c r="L158" s="12">
        <v>13</v>
      </c>
      <c r="M158" s="12" t="s">
        <v>40</v>
      </c>
      <c r="N158" s="12">
        <v>39</v>
      </c>
    </row>
    <row r="159" spans="1:15">
      <c r="A159" s="12">
        <f t="shared" si="21"/>
        <v>158</v>
      </c>
      <c r="B159" s="12" t="s">
        <v>1</v>
      </c>
      <c r="C159" s="12" t="s">
        <v>88</v>
      </c>
      <c r="D159" s="12" t="s">
        <v>86</v>
      </c>
      <c r="E159" s="89">
        <f t="shared" ca="1" si="16"/>
        <v>40951</v>
      </c>
      <c r="F159" s="11">
        <f>DATE(72,3,31)</f>
        <v>26389</v>
      </c>
      <c r="G159" s="12">
        <f t="shared" ca="1" si="18"/>
        <v>40</v>
      </c>
      <c r="H159" s="12">
        <f t="shared" ca="1" si="19"/>
        <v>-1</v>
      </c>
      <c r="I159" s="13">
        <f t="shared" ca="1" si="20"/>
        <v>-19</v>
      </c>
      <c r="J159" s="14">
        <f t="shared" ca="1" si="17"/>
        <v>39</v>
      </c>
      <c r="K159" s="12" t="s">
        <v>40</v>
      </c>
      <c r="L159" s="12">
        <v>14</v>
      </c>
      <c r="M159" s="12" t="s">
        <v>40</v>
      </c>
      <c r="N159" s="12">
        <v>40</v>
      </c>
      <c r="O159" s="90" t="s">
        <v>2748</v>
      </c>
    </row>
    <row r="160" spans="1:15">
      <c r="A160" s="12">
        <f t="shared" si="21"/>
        <v>159</v>
      </c>
      <c r="B160" s="12" t="s">
        <v>1</v>
      </c>
      <c r="C160" s="12" t="s">
        <v>89</v>
      </c>
      <c r="D160" s="12" t="s">
        <v>88</v>
      </c>
      <c r="E160" s="89">
        <f t="shared" ref="E160:E223" ca="1" si="22">TODAY()</f>
        <v>40951</v>
      </c>
      <c r="F160" s="11">
        <f>DATE(75,10,7)</f>
        <v>27674</v>
      </c>
      <c r="G160" s="12">
        <f t="shared" ca="1" si="18"/>
        <v>37</v>
      </c>
      <c r="H160" s="12">
        <f t="shared" ca="1" si="19"/>
        <v>-8</v>
      </c>
      <c r="I160" s="13">
        <f t="shared" ca="1" si="20"/>
        <v>5</v>
      </c>
      <c r="J160" s="14">
        <f t="shared" ca="1" si="17"/>
        <v>36</v>
      </c>
      <c r="K160" s="12" t="s">
        <v>41</v>
      </c>
      <c r="L160" s="12">
        <v>14</v>
      </c>
      <c r="M160" s="12" t="s">
        <v>40</v>
      </c>
      <c r="N160" s="12">
        <v>40</v>
      </c>
    </row>
    <row r="161" spans="1:15">
      <c r="A161" s="12">
        <f t="shared" si="21"/>
        <v>160</v>
      </c>
      <c r="B161" s="12" t="s">
        <v>1</v>
      </c>
      <c r="C161" s="12" t="s">
        <v>90</v>
      </c>
      <c r="D161" s="12" t="s">
        <v>91</v>
      </c>
      <c r="E161" s="89">
        <f t="shared" ca="1" si="22"/>
        <v>40951</v>
      </c>
      <c r="F161" s="11">
        <f>DATE(53,3,11)</f>
        <v>19429</v>
      </c>
      <c r="G161" s="12">
        <f t="shared" ca="1" si="18"/>
        <v>59</v>
      </c>
      <c r="H161" s="12">
        <f t="shared" ca="1" si="19"/>
        <v>-1</v>
      </c>
      <c r="I161" s="13">
        <f t="shared" ca="1" si="20"/>
        <v>1</v>
      </c>
      <c r="J161" s="14">
        <f t="shared" ca="1" si="17"/>
        <v>58</v>
      </c>
      <c r="K161" s="12" t="s">
        <v>40</v>
      </c>
      <c r="L161" s="12">
        <v>14</v>
      </c>
      <c r="M161" s="12" t="s">
        <v>40</v>
      </c>
      <c r="N161" s="12">
        <v>41</v>
      </c>
      <c r="O161" s="90" t="s">
        <v>2748</v>
      </c>
    </row>
    <row r="162" spans="1:15">
      <c r="A162" s="12">
        <f t="shared" si="21"/>
        <v>161</v>
      </c>
      <c r="B162" s="12" t="s">
        <v>1</v>
      </c>
      <c r="C162" s="12" t="s">
        <v>48</v>
      </c>
      <c r="D162" s="12" t="s">
        <v>90</v>
      </c>
      <c r="E162" s="89">
        <f t="shared" ca="1" si="22"/>
        <v>40951</v>
      </c>
      <c r="F162" s="11">
        <f>DATE(58,1,2)</f>
        <v>21187</v>
      </c>
      <c r="G162" s="12">
        <f t="shared" ca="1" si="18"/>
        <v>54</v>
      </c>
      <c r="H162" s="12">
        <f t="shared" ca="1" si="19"/>
        <v>1</v>
      </c>
      <c r="I162" s="13">
        <f t="shared" ca="1" si="20"/>
        <v>10</v>
      </c>
      <c r="J162" s="14">
        <f t="shared" ca="1" si="17"/>
        <v>54</v>
      </c>
      <c r="K162" s="12" t="s">
        <v>41</v>
      </c>
      <c r="L162" s="12">
        <v>14</v>
      </c>
      <c r="M162" s="12" t="s">
        <v>40</v>
      </c>
      <c r="N162" s="12">
        <v>41</v>
      </c>
    </row>
    <row r="163" spans="1:15">
      <c r="A163" s="12">
        <f t="shared" si="21"/>
        <v>162</v>
      </c>
      <c r="B163" s="12" t="s">
        <v>1</v>
      </c>
      <c r="C163" s="12" t="s">
        <v>92</v>
      </c>
      <c r="D163" s="12" t="s">
        <v>90</v>
      </c>
      <c r="E163" s="89">
        <f t="shared" ca="1" si="22"/>
        <v>40951</v>
      </c>
      <c r="F163" s="11">
        <f>DATE(81,2,4)</f>
        <v>29621</v>
      </c>
      <c r="G163" s="12">
        <f t="shared" ca="1" si="18"/>
        <v>31</v>
      </c>
      <c r="H163" s="12">
        <f t="shared" ca="1" si="19"/>
        <v>0</v>
      </c>
      <c r="I163" s="13">
        <f t="shared" ca="1" si="20"/>
        <v>8</v>
      </c>
      <c r="J163" s="14">
        <f t="shared" ca="1" si="17"/>
        <v>31</v>
      </c>
      <c r="K163" s="12" t="s">
        <v>40</v>
      </c>
      <c r="L163" s="12">
        <v>14</v>
      </c>
      <c r="M163" s="12" t="s">
        <v>44</v>
      </c>
      <c r="N163" s="12">
        <v>41</v>
      </c>
    </row>
    <row r="164" spans="1:15">
      <c r="A164" s="12">
        <f t="shared" si="21"/>
        <v>163</v>
      </c>
      <c r="B164" s="12" t="s">
        <v>1</v>
      </c>
      <c r="C164" s="12" t="s">
        <v>93</v>
      </c>
      <c r="D164" s="12" t="s">
        <v>94</v>
      </c>
      <c r="E164" s="89">
        <f t="shared" ca="1" si="22"/>
        <v>40951</v>
      </c>
      <c r="F164" s="11">
        <f>DATE(66,1,16)</f>
        <v>24123</v>
      </c>
      <c r="G164" s="12">
        <f t="shared" ca="1" si="18"/>
        <v>46</v>
      </c>
      <c r="H164" s="12">
        <f t="shared" ca="1" si="19"/>
        <v>1</v>
      </c>
      <c r="I164" s="13">
        <f t="shared" ca="1" si="20"/>
        <v>-4</v>
      </c>
      <c r="J164" s="14">
        <f t="shared" ca="1" si="17"/>
        <v>46</v>
      </c>
      <c r="K164" s="12" t="s">
        <v>40</v>
      </c>
      <c r="L164" s="12">
        <v>14</v>
      </c>
      <c r="M164" s="12" t="s">
        <v>40</v>
      </c>
      <c r="N164" s="12">
        <v>42</v>
      </c>
      <c r="O164" s="90" t="s">
        <v>2748</v>
      </c>
    </row>
    <row r="165" spans="1:15">
      <c r="A165" s="12">
        <f t="shared" si="21"/>
        <v>164</v>
      </c>
      <c r="B165" s="12" t="s">
        <v>1</v>
      </c>
      <c r="C165" s="12" t="s">
        <v>95</v>
      </c>
      <c r="D165" s="12" t="s">
        <v>96</v>
      </c>
      <c r="E165" s="89">
        <f t="shared" ca="1" si="22"/>
        <v>40951</v>
      </c>
      <c r="F165" s="11">
        <f>DATE(67,11,18)</f>
        <v>24794</v>
      </c>
      <c r="G165" s="12">
        <f t="shared" ca="1" si="18"/>
        <v>45</v>
      </c>
      <c r="H165" s="12">
        <f t="shared" ca="1" si="19"/>
        <v>-9</v>
      </c>
      <c r="I165" s="13">
        <f t="shared" ca="1" si="20"/>
        <v>-6</v>
      </c>
      <c r="J165" s="14">
        <f t="shared" ca="1" si="17"/>
        <v>44</v>
      </c>
      <c r="K165" s="12" t="s">
        <v>41</v>
      </c>
      <c r="L165" s="12">
        <v>14</v>
      </c>
      <c r="M165" s="12" t="s">
        <v>40</v>
      </c>
      <c r="N165" s="12">
        <v>42</v>
      </c>
    </row>
    <row r="166" spans="1:15">
      <c r="A166" s="12">
        <f t="shared" si="21"/>
        <v>165</v>
      </c>
      <c r="B166" s="12" t="s">
        <v>1</v>
      </c>
      <c r="C166" s="12" t="s">
        <v>97</v>
      </c>
      <c r="D166" s="12" t="s">
        <v>96</v>
      </c>
      <c r="E166" s="89">
        <f t="shared" ca="1" si="22"/>
        <v>40951</v>
      </c>
      <c r="F166" s="11">
        <f>DATE(95,3,18)</f>
        <v>34776</v>
      </c>
      <c r="G166" s="12">
        <f t="shared" ca="1" si="18"/>
        <v>17</v>
      </c>
      <c r="H166" s="12">
        <f t="shared" ca="1" si="19"/>
        <v>-1</v>
      </c>
      <c r="I166" s="13">
        <f t="shared" ca="1" si="20"/>
        <v>-6</v>
      </c>
      <c r="J166" s="14">
        <f t="shared" ca="1" si="17"/>
        <v>16</v>
      </c>
      <c r="K166" s="12" t="s">
        <v>41</v>
      </c>
      <c r="L166" s="12">
        <v>14</v>
      </c>
      <c r="M166" s="12" t="s">
        <v>44</v>
      </c>
      <c r="N166" s="12">
        <v>42</v>
      </c>
    </row>
    <row r="167" spans="1:15">
      <c r="A167" s="12">
        <f t="shared" si="21"/>
        <v>166</v>
      </c>
      <c r="B167" s="12" t="s">
        <v>1</v>
      </c>
      <c r="C167" s="12" t="s">
        <v>98</v>
      </c>
      <c r="D167" s="12" t="s">
        <v>99</v>
      </c>
      <c r="E167" s="89">
        <f t="shared" ca="1" si="22"/>
        <v>40951</v>
      </c>
      <c r="F167" s="11">
        <f>DATE(76,1,23)</f>
        <v>27782</v>
      </c>
      <c r="G167" s="12">
        <f t="shared" ca="1" si="18"/>
        <v>36</v>
      </c>
      <c r="H167" s="12">
        <f t="shared" ca="1" si="19"/>
        <v>1</v>
      </c>
      <c r="I167" s="13">
        <f t="shared" ca="1" si="20"/>
        <v>-11</v>
      </c>
      <c r="J167" s="14">
        <f t="shared" ca="1" si="17"/>
        <v>36</v>
      </c>
      <c r="K167" s="12" t="s">
        <v>40</v>
      </c>
      <c r="L167" s="12">
        <v>14</v>
      </c>
      <c r="M167" s="12" t="s">
        <v>40</v>
      </c>
      <c r="N167" s="12">
        <v>43</v>
      </c>
      <c r="O167" s="90" t="s">
        <v>2748</v>
      </c>
    </row>
    <row r="168" spans="1:15">
      <c r="A168" s="12">
        <f t="shared" si="21"/>
        <v>167</v>
      </c>
      <c r="B168" s="12" t="s">
        <v>1</v>
      </c>
      <c r="C168" s="12" t="s">
        <v>100</v>
      </c>
      <c r="D168" s="12" t="s">
        <v>98</v>
      </c>
      <c r="E168" s="89">
        <f t="shared" ca="1" si="22"/>
        <v>40951</v>
      </c>
      <c r="F168" s="11">
        <f>DATE(76,3,12)</f>
        <v>27831</v>
      </c>
      <c r="G168" s="12">
        <f t="shared" ca="1" si="18"/>
        <v>36</v>
      </c>
      <c r="H168" s="12">
        <f t="shared" ca="1" si="19"/>
        <v>-1</v>
      </c>
      <c r="I168" s="13">
        <f t="shared" ca="1" si="20"/>
        <v>0</v>
      </c>
      <c r="J168" s="14">
        <f t="shared" ca="1" si="17"/>
        <v>35</v>
      </c>
      <c r="K168" s="12" t="s">
        <v>41</v>
      </c>
      <c r="L168" s="12">
        <v>14</v>
      </c>
      <c r="M168" s="12" t="s">
        <v>40</v>
      </c>
      <c r="N168" s="12">
        <v>43</v>
      </c>
    </row>
    <row r="169" spans="1:15">
      <c r="A169" s="12">
        <f t="shared" si="21"/>
        <v>168</v>
      </c>
      <c r="B169" s="12" t="s">
        <v>1</v>
      </c>
      <c r="C169" s="12" t="s">
        <v>101</v>
      </c>
      <c r="D169" s="12" t="s">
        <v>98</v>
      </c>
      <c r="E169" s="89">
        <f t="shared" ca="1" si="22"/>
        <v>40951</v>
      </c>
      <c r="F169" s="11">
        <f>DATE(2002,8,17)</f>
        <v>37485</v>
      </c>
      <c r="G169" s="12">
        <f t="shared" ca="1" si="18"/>
        <v>10</v>
      </c>
      <c r="H169" s="12">
        <f t="shared" ca="1" si="19"/>
        <v>-6</v>
      </c>
      <c r="I169" s="13">
        <f t="shared" ca="1" si="20"/>
        <v>-5</v>
      </c>
      <c r="J169" s="14">
        <f t="shared" ca="1" si="17"/>
        <v>9</v>
      </c>
      <c r="K169" s="12" t="s">
        <v>40</v>
      </c>
      <c r="L169" s="12">
        <v>14</v>
      </c>
      <c r="M169" s="12" t="s">
        <v>44</v>
      </c>
      <c r="N169" s="12">
        <v>43</v>
      </c>
    </row>
    <row r="170" spans="1:15">
      <c r="A170" s="12">
        <f t="shared" si="21"/>
        <v>169</v>
      </c>
      <c r="B170" s="12" t="s">
        <v>1</v>
      </c>
      <c r="C170" s="12" t="s">
        <v>102</v>
      </c>
      <c r="D170" s="12" t="s">
        <v>103</v>
      </c>
      <c r="E170" s="89">
        <f t="shared" ca="1" si="22"/>
        <v>40951</v>
      </c>
      <c r="F170" s="80"/>
      <c r="G170" s="12">
        <f t="shared" ca="1" si="18"/>
        <v>112</v>
      </c>
      <c r="H170" s="12">
        <f t="shared" ca="1" si="19"/>
        <v>1</v>
      </c>
      <c r="I170" s="13">
        <f t="shared" ca="1" si="20"/>
        <v>12</v>
      </c>
      <c r="J170" s="14">
        <f t="shared" ca="1" si="17"/>
        <v>112</v>
      </c>
      <c r="K170" s="12" t="s">
        <v>41</v>
      </c>
      <c r="L170" s="12">
        <v>15</v>
      </c>
      <c r="M170" s="12" t="s">
        <v>40</v>
      </c>
      <c r="N170" s="12">
        <v>44</v>
      </c>
      <c r="O170" s="90" t="s">
        <v>2748</v>
      </c>
    </row>
    <row r="171" spans="1:15">
      <c r="A171" s="12">
        <f t="shared" si="21"/>
        <v>170</v>
      </c>
      <c r="B171" s="12" t="s">
        <v>1</v>
      </c>
      <c r="C171" s="12" t="s">
        <v>104</v>
      </c>
      <c r="D171" s="12" t="s">
        <v>103</v>
      </c>
      <c r="E171" s="89">
        <f t="shared" ca="1" si="22"/>
        <v>40951</v>
      </c>
      <c r="F171" s="11">
        <f>DATE(70,3,19)</f>
        <v>25646</v>
      </c>
      <c r="G171" s="12">
        <f t="shared" ca="1" si="18"/>
        <v>42</v>
      </c>
      <c r="H171" s="12">
        <f t="shared" ca="1" si="19"/>
        <v>-1</v>
      </c>
      <c r="I171" s="13">
        <f t="shared" ca="1" si="20"/>
        <v>-7</v>
      </c>
      <c r="J171" s="14">
        <f t="shared" ca="1" si="17"/>
        <v>41</v>
      </c>
      <c r="K171" s="12" t="s">
        <v>40</v>
      </c>
      <c r="L171" s="12">
        <v>15</v>
      </c>
      <c r="M171" s="12" t="s">
        <v>40</v>
      </c>
      <c r="N171" s="12">
        <v>44</v>
      </c>
    </row>
    <row r="172" spans="1:15">
      <c r="A172" s="12">
        <f t="shared" si="21"/>
        <v>171</v>
      </c>
      <c r="B172" s="12" t="s">
        <v>1</v>
      </c>
      <c r="C172" s="12" t="s">
        <v>105</v>
      </c>
      <c r="D172" s="12" t="s">
        <v>104</v>
      </c>
      <c r="E172" s="89">
        <f t="shared" ca="1" si="22"/>
        <v>40951</v>
      </c>
      <c r="F172" s="11">
        <f>DATE(75,2,7)</f>
        <v>27432</v>
      </c>
      <c r="G172" s="12">
        <f t="shared" ca="1" si="18"/>
        <v>37</v>
      </c>
      <c r="H172" s="12">
        <f t="shared" ca="1" si="19"/>
        <v>0</v>
      </c>
      <c r="I172" s="13">
        <f t="shared" ca="1" si="20"/>
        <v>5</v>
      </c>
      <c r="J172" s="14">
        <f t="shared" ca="1" si="17"/>
        <v>37</v>
      </c>
      <c r="K172" s="12" t="s">
        <v>41</v>
      </c>
      <c r="L172" s="12">
        <v>15</v>
      </c>
      <c r="M172" s="12" t="s">
        <v>40</v>
      </c>
      <c r="N172" s="12">
        <v>44</v>
      </c>
    </row>
    <row r="173" spans="1:15">
      <c r="A173" s="12">
        <f t="shared" si="21"/>
        <v>172</v>
      </c>
      <c r="B173" s="12" t="s">
        <v>1</v>
      </c>
      <c r="C173" s="12" t="s">
        <v>106</v>
      </c>
      <c r="D173" s="12" t="s">
        <v>104</v>
      </c>
      <c r="E173" s="89">
        <f t="shared" ca="1" si="22"/>
        <v>40951</v>
      </c>
      <c r="F173" s="11">
        <f>DATE(2001,4,2)</f>
        <v>36983</v>
      </c>
      <c r="G173" s="12">
        <f t="shared" ca="1" si="18"/>
        <v>11</v>
      </c>
      <c r="H173" s="12">
        <f t="shared" ca="1" si="19"/>
        <v>-2</v>
      </c>
      <c r="I173" s="13">
        <f t="shared" ca="1" si="20"/>
        <v>10</v>
      </c>
      <c r="J173" s="14">
        <f t="shared" ca="1" si="17"/>
        <v>10</v>
      </c>
      <c r="K173" s="12" t="s">
        <v>40</v>
      </c>
      <c r="L173" s="12">
        <v>15</v>
      </c>
      <c r="M173" s="12" t="s">
        <v>44</v>
      </c>
      <c r="N173" s="12">
        <v>44</v>
      </c>
    </row>
    <row r="174" spans="1:15">
      <c r="A174" s="12">
        <f t="shared" si="21"/>
        <v>173</v>
      </c>
      <c r="B174" s="12" t="s">
        <v>1</v>
      </c>
      <c r="C174" s="12" t="s">
        <v>107</v>
      </c>
      <c r="D174" s="12" t="s">
        <v>104</v>
      </c>
      <c r="E174" s="89">
        <f t="shared" ca="1" si="22"/>
        <v>40951</v>
      </c>
      <c r="F174" s="11">
        <f>DATE(2006,5,21)</f>
        <v>38858</v>
      </c>
      <c r="G174" s="12">
        <f t="shared" ca="1" si="18"/>
        <v>6</v>
      </c>
      <c r="H174" s="12">
        <f t="shared" ca="1" si="19"/>
        <v>-3</v>
      </c>
      <c r="I174" s="13">
        <f t="shared" ca="1" si="20"/>
        <v>-9</v>
      </c>
      <c r="J174" s="14">
        <f t="shared" ca="1" si="17"/>
        <v>5</v>
      </c>
      <c r="K174" s="12" t="s">
        <v>41</v>
      </c>
      <c r="L174" s="12">
        <v>15</v>
      </c>
      <c r="M174" s="12" t="s">
        <v>44</v>
      </c>
      <c r="N174" s="12">
        <v>44</v>
      </c>
    </row>
    <row r="175" spans="1:15">
      <c r="A175" s="12">
        <f t="shared" si="21"/>
        <v>174</v>
      </c>
      <c r="B175" s="12" t="s">
        <v>1</v>
      </c>
      <c r="C175" s="12" t="s">
        <v>108</v>
      </c>
      <c r="D175" s="12" t="s">
        <v>104</v>
      </c>
      <c r="E175" s="89">
        <f t="shared" ca="1" si="22"/>
        <v>40951</v>
      </c>
      <c r="F175" s="11">
        <f>DATE(2006,5,21)</f>
        <v>38858</v>
      </c>
      <c r="G175" s="12">
        <f t="shared" ca="1" si="18"/>
        <v>6</v>
      </c>
      <c r="H175" s="12">
        <f t="shared" ca="1" si="19"/>
        <v>-3</v>
      </c>
      <c r="I175" s="13">
        <f t="shared" ca="1" si="20"/>
        <v>-9</v>
      </c>
      <c r="J175" s="14">
        <f t="shared" ca="1" si="17"/>
        <v>5</v>
      </c>
      <c r="K175" s="12" t="s">
        <v>40</v>
      </c>
      <c r="L175" s="12">
        <v>15</v>
      </c>
      <c r="M175" s="12" t="s">
        <v>44</v>
      </c>
      <c r="N175" s="12">
        <v>44</v>
      </c>
    </row>
    <row r="176" spans="1:15">
      <c r="A176" s="12">
        <f t="shared" si="21"/>
        <v>175</v>
      </c>
      <c r="B176" s="12" t="s">
        <v>1</v>
      </c>
      <c r="C176" s="12" t="s">
        <v>109</v>
      </c>
      <c r="D176" s="12" t="s">
        <v>110</v>
      </c>
      <c r="E176" s="89">
        <f t="shared" ca="1" si="22"/>
        <v>40951</v>
      </c>
      <c r="F176" s="11">
        <f>DATE(44,3,19)</f>
        <v>16150</v>
      </c>
      <c r="G176" s="12">
        <f t="shared" ca="1" si="18"/>
        <v>68</v>
      </c>
      <c r="H176" s="12">
        <f t="shared" ca="1" si="19"/>
        <v>-1</v>
      </c>
      <c r="I176" s="13">
        <f t="shared" ca="1" si="20"/>
        <v>-7</v>
      </c>
      <c r="J176" s="14">
        <f t="shared" ca="1" si="17"/>
        <v>67</v>
      </c>
      <c r="K176" s="12" t="s">
        <v>40</v>
      </c>
      <c r="L176" s="12">
        <v>15</v>
      </c>
      <c r="M176" s="12" t="s">
        <v>40</v>
      </c>
      <c r="N176" s="12">
        <v>45</v>
      </c>
      <c r="O176" s="90" t="s">
        <v>2748</v>
      </c>
    </row>
    <row r="177" spans="1:15">
      <c r="A177" s="12">
        <f t="shared" si="21"/>
        <v>176</v>
      </c>
      <c r="B177" s="12" t="s">
        <v>1</v>
      </c>
      <c r="C177" s="12" t="s">
        <v>111</v>
      </c>
      <c r="D177" s="12" t="s">
        <v>109</v>
      </c>
      <c r="E177" s="89">
        <f t="shared" ca="1" si="22"/>
        <v>40951</v>
      </c>
      <c r="F177" s="11">
        <f>DATE(47,2,9)</f>
        <v>17207</v>
      </c>
      <c r="G177" s="12">
        <f t="shared" ca="1" si="18"/>
        <v>65</v>
      </c>
      <c r="H177" s="12">
        <f t="shared" ca="1" si="19"/>
        <v>0</v>
      </c>
      <c r="I177" s="13">
        <f t="shared" ca="1" si="20"/>
        <v>3</v>
      </c>
      <c r="J177" s="14">
        <f t="shared" ca="1" si="17"/>
        <v>65</v>
      </c>
      <c r="K177" s="12" t="s">
        <v>41</v>
      </c>
      <c r="L177" s="12">
        <v>15</v>
      </c>
      <c r="M177" s="12" t="s">
        <v>40</v>
      </c>
      <c r="N177" s="12">
        <v>45</v>
      </c>
    </row>
    <row r="178" spans="1:15">
      <c r="A178" s="12">
        <f t="shared" si="21"/>
        <v>177</v>
      </c>
      <c r="B178" s="12" t="s">
        <v>1</v>
      </c>
      <c r="C178" s="12" t="s">
        <v>112</v>
      </c>
      <c r="D178" s="12" t="s">
        <v>109</v>
      </c>
      <c r="E178" s="89">
        <f t="shared" ca="1" si="22"/>
        <v>40951</v>
      </c>
      <c r="F178" s="11">
        <f>DATE(69,2,9)</f>
        <v>25243</v>
      </c>
      <c r="G178" s="12">
        <f t="shared" ca="1" si="18"/>
        <v>43</v>
      </c>
      <c r="H178" s="12">
        <f t="shared" ca="1" si="19"/>
        <v>0</v>
      </c>
      <c r="I178" s="13">
        <f t="shared" ca="1" si="20"/>
        <v>3</v>
      </c>
      <c r="J178" s="14">
        <f t="shared" ca="1" si="17"/>
        <v>43</v>
      </c>
      <c r="K178" s="12" t="s">
        <v>40</v>
      </c>
      <c r="L178" s="12">
        <v>15</v>
      </c>
      <c r="M178" s="12" t="s">
        <v>40</v>
      </c>
      <c r="N178" s="12">
        <v>45</v>
      </c>
    </row>
    <row r="179" spans="1:15">
      <c r="A179" s="12">
        <f t="shared" si="21"/>
        <v>178</v>
      </c>
      <c r="B179" s="12" t="s">
        <v>1</v>
      </c>
      <c r="C179" s="12" t="s">
        <v>113</v>
      </c>
      <c r="D179" s="12" t="s">
        <v>112</v>
      </c>
      <c r="E179" s="89">
        <f t="shared" ca="1" si="22"/>
        <v>40951</v>
      </c>
      <c r="F179" s="11">
        <f>DATE(74,1,23)</f>
        <v>27052</v>
      </c>
      <c r="G179" s="12">
        <f t="shared" ca="1" si="18"/>
        <v>38</v>
      </c>
      <c r="H179" s="12">
        <f t="shared" ca="1" si="19"/>
        <v>1</v>
      </c>
      <c r="I179" s="13">
        <f t="shared" ca="1" si="20"/>
        <v>-11</v>
      </c>
      <c r="J179" s="14">
        <f t="shared" ca="1" si="17"/>
        <v>38</v>
      </c>
      <c r="K179" s="12" t="s">
        <v>41</v>
      </c>
      <c r="L179" s="12">
        <v>15</v>
      </c>
      <c r="M179" s="12" t="s">
        <v>40</v>
      </c>
      <c r="N179" s="12">
        <v>45</v>
      </c>
    </row>
    <row r="180" spans="1:15">
      <c r="A180" s="12">
        <f t="shared" si="21"/>
        <v>179</v>
      </c>
      <c r="B180" s="12" t="s">
        <v>1</v>
      </c>
      <c r="C180" s="12" t="s">
        <v>63</v>
      </c>
      <c r="D180" s="12" t="s">
        <v>112</v>
      </c>
      <c r="E180" s="89">
        <f t="shared" ca="1" si="22"/>
        <v>40951</v>
      </c>
      <c r="F180" s="11">
        <f>DATE(2000,12,7)</f>
        <v>36867</v>
      </c>
      <c r="G180" s="12">
        <f t="shared" ca="1" si="18"/>
        <v>12</v>
      </c>
      <c r="H180" s="12">
        <f t="shared" ca="1" si="19"/>
        <v>-10</v>
      </c>
      <c r="I180" s="13">
        <f t="shared" ca="1" si="20"/>
        <v>5</v>
      </c>
      <c r="J180" s="14">
        <f t="shared" ca="1" si="17"/>
        <v>11</v>
      </c>
      <c r="K180" s="12" t="s">
        <v>40</v>
      </c>
      <c r="L180" s="12">
        <v>15</v>
      </c>
      <c r="M180" s="12" t="s">
        <v>44</v>
      </c>
      <c r="N180" s="12">
        <v>45</v>
      </c>
    </row>
    <row r="181" spans="1:15">
      <c r="A181" s="12">
        <f t="shared" si="21"/>
        <v>180</v>
      </c>
      <c r="B181" s="12" t="s">
        <v>1</v>
      </c>
      <c r="C181" s="12" t="s">
        <v>114</v>
      </c>
      <c r="D181" s="12" t="s">
        <v>109</v>
      </c>
      <c r="E181" s="89">
        <f t="shared" ca="1" si="22"/>
        <v>40951</v>
      </c>
      <c r="F181" s="11">
        <f>DATE(71,6,26)</f>
        <v>26110</v>
      </c>
      <c r="G181" s="12">
        <f t="shared" ca="1" si="18"/>
        <v>41</v>
      </c>
      <c r="H181" s="12">
        <f t="shared" ca="1" si="19"/>
        <v>-4</v>
      </c>
      <c r="I181" s="13">
        <f t="shared" ca="1" si="20"/>
        <v>-14</v>
      </c>
      <c r="J181" s="14">
        <f t="shared" ca="1" si="17"/>
        <v>40</v>
      </c>
      <c r="K181" s="12" t="s">
        <v>40</v>
      </c>
      <c r="L181" s="12">
        <v>15</v>
      </c>
      <c r="M181" s="12" t="s">
        <v>40</v>
      </c>
      <c r="N181" s="12">
        <v>45</v>
      </c>
    </row>
    <row r="182" spans="1:15">
      <c r="A182" s="12">
        <f t="shared" si="21"/>
        <v>181</v>
      </c>
      <c r="B182" s="12" t="s">
        <v>1</v>
      </c>
      <c r="C182" s="12" t="s">
        <v>115</v>
      </c>
      <c r="D182" s="12" t="s">
        <v>114</v>
      </c>
      <c r="E182" s="89">
        <f t="shared" ca="1" si="22"/>
        <v>40951</v>
      </c>
      <c r="F182" s="11">
        <f>DATE(75,8,2)</f>
        <v>27608</v>
      </c>
      <c r="G182" s="12">
        <f t="shared" ca="1" si="18"/>
        <v>37</v>
      </c>
      <c r="H182" s="12">
        <f t="shared" ca="1" si="19"/>
        <v>-6</v>
      </c>
      <c r="I182" s="13">
        <f t="shared" ca="1" si="20"/>
        <v>10</v>
      </c>
      <c r="J182" s="14">
        <f t="shared" ca="1" si="17"/>
        <v>36</v>
      </c>
      <c r="K182" s="12" t="s">
        <v>41</v>
      </c>
      <c r="L182" s="12">
        <v>15</v>
      </c>
      <c r="M182" s="12" t="s">
        <v>40</v>
      </c>
      <c r="N182" s="12">
        <v>45</v>
      </c>
    </row>
    <row r="183" spans="1:15">
      <c r="A183" s="12">
        <f t="shared" si="21"/>
        <v>182</v>
      </c>
      <c r="B183" s="12" t="s">
        <v>1</v>
      </c>
      <c r="C183" s="12" t="s">
        <v>116</v>
      </c>
      <c r="D183" s="12" t="s">
        <v>114</v>
      </c>
      <c r="E183" s="89">
        <f t="shared" ca="1" si="22"/>
        <v>40951</v>
      </c>
      <c r="F183" s="11">
        <f>DATE(2002,6,21)</f>
        <v>37428</v>
      </c>
      <c r="G183" s="12">
        <f t="shared" ca="1" si="18"/>
        <v>10</v>
      </c>
      <c r="H183" s="12">
        <f t="shared" ca="1" si="19"/>
        <v>-4</v>
      </c>
      <c r="I183" s="13">
        <f t="shared" ca="1" si="20"/>
        <v>-9</v>
      </c>
      <c r="J183" s="14">
        <f t="shared" ca="1" si="17"/>
        <v>9</v>
      </c>
      <c r="K183" s="12" t="s">
        <v>40</v>
      </c>
      <c r="L183" s="12">
        <v>15</v>
      </c>
      <c r="M183" s="12" t="s">
        <v>44</v>
      </c>
      <c r="N183" s="12">
        <v>45</v>
      </c>
    </row>
    <row r="184" spans="1:15">
      <c r="A184" s="12">
        <f t="shared" si="21"/>
        <v>183</v>
      </c>
      <c r="B184" s="12" t="s">
        <v>1</v>
      </c>
      <c r="C184" s="12" t="s">
        <v>117</v>
      </c>
      <c r="D184" s="12" t="s">
        <v>114</v>
      </c>
      <c r="E184" s="89">
        <f t="shared" ca="1" si="22"/>
        <v>40951</v>
      </c>
      <c r="F184" s="11">
        <f>DATE(2004,6,21)</f>
        <v>38159</v>
      </c>
      <c r="G184" s="12">
        <f t="shared" ca="1" si="18"/>
        <v>8</v>
      </c>
      <c r="H184" s="12">
        <f t="shared" ca="1" si="19"/>
        <v>-4</v>
      </c>
      <c r="I184" s="13">
        <f t="shared" ca="1" si="20"/>
        <v>-9</v>
      </c>
      <c r="J184" s="14">
        <f t="shared" ca="1" si="17"/>
        <v>7</v>
      </c>
      <c r="K184" s="12" t="s">
        <v>40</v>
      </c>
      <c r="L184" s="12">
        <v>15</v>
      </c>
      <c r="M184" s="12" t="s">
        <v>44</v>
      </c>
      <c r="N184" s="12">
        <v>45</v>
      </c>
    </row>
    <row r="185" spans="1:15">
      <c r="A185" s="12">
        <f t="shared" si="21"/>
        <v>184</v>
      </c>
      <c r="B185" s="12" t="s">
        <v>1</v>
      </c>
      <c r="C185" s="12" t="s">
        <v>118</v>
      </c>
      <c r="D185" s="12" t="s">
        <v>109</v>
      </c>
      <c r="E185" s="89">
        <f t="shared" ca="1" si="22"/>
        <v>40951</v>
      </c>
      <c r="F185" s="11">
        <f>DATE(73,9,25)</f>
        <v>26932</v>
      </c>
      <c r="G185" s="12">
        <f t="shared" ca="1" si="18"/>
        <v>39</v>
      </c>
      <c r="H185" s="12">
        <f t="shared" ca="1" si="19"/>
        <v>-7</v>
      </c>
      <c r="I185" s="13">
        <f t="shared" ca="1" si="20"/>
        <v>-13</v>
      </c>
      <c r="J185" s="14">
        <f t="shared" ca="1" si="17"/>
        <v>38</v>
      </c>
      <c r="K185" s="12" t="s">
        <v>40</v>
      </c>
      <c r="L185" s="12">
        <v>15</v>
      </c>
      <c r="M185" s="12" t="s">
        <v>40</v>
      </c>
      <c r="N185" s="12">
        <v>45</v>
      </c>
    </row>
    <row r="186" spans="1:15">
      <c r="A186" s="12">
        <f t="shared" si="21"/>
        <v>185</v>
      </c>
      <c r="B186" s="12" t="s">
        <v>1</v>
      </c>
      <c r="C186" s="12" t="s">
        <v>119</v>
      </c>
      <c r="D186" s="12" t="s">
        <v>118</v>
      </c>
      <c r="E186" s="89">
        <f t="shared" ca="1" si="22"/>
        <v>40951</v>
      </c>
      <c r="F186" s="11">
        <f>DATE(74,12,14)</f>
        <v>27377</v>
      </c>
      <c r="G186" s="12">
        <f t="shared" ca="1" si="18"/>
        <v>38</v>
      </c>
      <c r="H186" s="12">
        <f t="shared" ca="1" si="19"/>
        <v>-10</v>
      </c>
      <c r="I186" s="13">
        <f t="shared" ca="1" si="20"/>
        <v>-2</v>
      </c>
      <c r="J186" s="14">
        <f t="shared" ca="1" si="17"/>
        <v>37</v>
      </c>
      <c r="K186" s="12" t="s">
        <v>41</v>
      </c>
      <c r="L186" s="12">
        <v>15</v>
      </c>
      <c r="M186" s="12" t="s">
        <v>40</v>
      </c>
      <c r="N186" s="12">
        <v>45</v>
      </c>
    </row>
    <row r="187" spans="1:15">
      <c r="A187" s="12">
        <f t="shared" si="21"/>
        <v>186</v>
      </c>
      <c r="B187" s="12" t="s">
        <v>1</v>
      </c>
      <c r="C187" s="12" t="s">
        <v>120</v>
      </c>
      <c r="D187" s="12" t="s">
        <v>118</v>
      </c>
      <c r="E187" s="89">
        <f t="shared" ca="1" si="22"/>
        <v>40951</v>
      </c>
      <c r="F187" s="11">
        <f>DATE(2005,11,21)</f>
        <v>38677</v>
      </c>
      <c r="G187" s="12">
        <f t="shared" ca="1" si="18"/>
        <v>7</v>
      </c>
      <c r="H187" s="12">
        <f t="shared" ca="1" si="19"/>
        <v>-9</v>
      </c>
      <c r="I187" s="13">
        <f t="shared" ca="1" si="20"/>
        <v>-9</v>
      </c>
      <c r="J187" s="14">
        <f t="shared" ca="1" si="17"/>
        <v>6</v>
      </c>
      <c r="K187" s="12" t="s">
        <v>40</v>
      </c>
      <c r="L187" s="12">
        <v>15</v>
      </c>
      <c r="M187" s="12" t="s">
        <v>44</v>
      </c>
      <c r="N187" s="12">
        <v>45</v>
      </c>
    </row>
    <row r="188" spans="1:15">
      <c r="A188" s="12">
        <f t="shared" si="21"/>
        <v>187</v>
      </c>
      <c r="B188" s="12" t="s">
        <v>1</v>
      </c>
      <c r="C188" s="12" t="s">
        <v>121</v>
      </c>
      <c r="D188" s="12" t="s">
        <v>109</v>
      </c>
      <c r="E188" s="89">
        <f t="shared" ca="1" si="22"/>
        <v>40951</v>
      </c>
      <c r="F188" s="11">
        <f>DATE(76,7,10)</f>
        <v>27951</v>
      </c>
      <c r="G188" s="12">
        <f t="shared" ca="1" si="18"/>
        <v>36</v>
      </c>
      <c r="H188" s="12">
        <f t="shared" ca="1" si="19"/>
        <v>-5</v>
      </c>
      <c r="I188" s="13">
        <f t="shared" ca="1" si="20"/>
        <v>2</v>
      </c>
      <c r="J188" s="14">
        <f t="shared" ca="1" si="17"/>
        <v>35</v>
      </c>
      <c r="K188" s="12" t="s">
        <v>40</v>
      </c>
      <c r="L188" s="12">
        <v>15</v>
      </c>
      <c r="M188" s="12" t="s">
        <v>40</v>
      </c>
      <c r="N188" s="12">
        <v>45</v>
      </c>
    </row>
    <row r="189" spans="1:15">
      <c r="A189" s="12">
        <f t="shared" si="21"/>
        <v>188</v>
      </c>
      <c r="B189" s="12" t="s">
        <v>1</v>
      </c>
      <c r="C189" s="12" t="s">
        <v>122</v>
      </c>
      <c r="D189" s="12" t="s">
        <v>121</v>
      </c>
      <c r="E189" s="89">
        <f t="shared" ca="1" si="22"/>
        <v>40951</v>
      </c>
      <c r="F189" s="11">
        <f>DATE(82,4,20)</f>
        <v>30061</v>
      </c>
      <c r="G189" s="12">
        <f t="shared" ca="1" si="18"/>
        <v>30</v>
      </c>
      <c r="H189" s="12">
        <f t="shared" ca="1" si="19"/>
        <v>-2</v>
      </c>
      <c r="I189" s="13">
        <f t="shared" ca="1" si="20"/>
        <v>-8</v>
      </c>
      <c r="J189" s="14">
        <f t="shared" ca="1" si="17"/>
        <v>29</v>
      </c>
      <c r="K189" s="12" t="s">
        <v>41</v>
      </c>
      <c r="L189" s="12">
        <v>15</v>
      </c>
      <c r="M189" s="12" t="s">
        <v>40</v>
      </c>
      <c r="N189" s="12">
        <v>45</v>
      </c>
    </row>
    <row r="190" spans="1:15">
      <c r="A190" s="12">
        <f t="shared" si="21"/>
        <v>189</v>
      </c>
      <c r="B190" s="12" t="s">
        <v>1</v>
      </c>
      <c r="C190" s="12" t="s">
        <v>123</v>
      </c>
      <c r="D190" s="12" t="s">
        <v>82</v>
      </c>
      <c r="E190" s="89">
        <f t="shared" ca="1" si="22"/>
        <v>40951</v>
      </c>
      <c r="F190" s="11">
        <f>DATE(55,6,8)</f>
        <v>20248</v>
      </c>
      <c r="G190" s="12">
        <f t="shared" ca="1" si="18"/>
        <v>57</v>
      </c>
      <c r="H190" s="12">
        <f t="shared" ca="1" si="19"/>
        <v>-4</v>
      </c>
      <c r="I190" s="13">
        <f t="shared" ca="1" si="20"/>
        <v>4</v>
      </c>
      <c r="J190" s="14">
        <f t="shared" ca="1" si="17"/>
        <v>56</v>
      </c>
      <c r="K190" s="12" t="s">
        <v>40</v>
      </c>
      <c r="L190" s="12">
        <v>16</v>
      </c>
      <c r="M190" s="12" t="s">
        <v>40</v>
      </c>
      <c r="N190" s="12">
        <v>46</v>
      </c>
      <c r="O190" s="90" t="s">
        <v>2748</v>
      </c>
    </row>
    <row r="191" spans="1:15">
      <c r="A191" s="12">
        <f t="shared" si="21"/>
        <v>190</v>
      </c>
      <c r="B191" s="12" t="s">
        <v>1</v>
      </c>
      <c r="C191" s="12" t="s">
        <v>124</v>
      </c>
      <c r="D191" s="12" t="s">
        <v>123</v>
      </c>
      <c r="E191" s="89">
        <f t="shared" ca="1" si="22"/>
        <v>40951</v>
      </c>
      <c r="F191" s="11">
        <f>DATE(60,2,19)</f>
        <v>21965</v>
      </c>
      <c r="G191" s="12">
        <f t="shared" ca="1" si="18"/>
        <v>52</v>
      </c>
      <c r="H191" s="12">
        <f t="shared" ca="1" si="19"/>
        <v>0</v>
      </c>
      <c r="I191" s="13">
        <f t="shared" ca="1" si="20"/>
        <v>-7</v>
      </c>
      <c r="J191" s="14">
        <f t="shared" ca="1" si="17"/>
        <v>51</v>
      </c>
      <c r="K191" s="12" t="s">
        <v>41</v>
      </c>
      <c r="L191" s="12">
        <v>16</v>
      </c>
      <c r="M191" s="12" t="s">
        <v>40</v>
      </c>
      <c r="N191" s="12">
        <v>46</v>
      </c>
    </row>
    <row r="192" spans="1:15">
      <c r="A192" s="12">
        <f t="shared" si="21"/>
        <v>191</v>
      </c>
      <c r="B192" s="12" t="s">
        <v>1</v>
      </c>
      <c r="C192" s="12" t="s">
        <v>125</v>
      </c>
      <c r="D192" s="12" t="s">
        <v>123</v>
      </c>
      <c r="E192" s="89">
        <f t="shared" ca="1" si="22"/>
        <v>40951</v>
      </c>
      <c r="F192" s="11">
        <f>DATE(81,10,1)</f>
        <v>29860</v>
      </c>
      <c r="G192" s="12">
        <f t="shared" ca="1" si="18"/>
        <v>31</v>
      </c>
      <c r="H192" s="12">
        <f t="shared" ca="1" si="19"/>
        <v>-8</v>
      </c>
      <c r="I192" s="13">
        <f t="shared" ca="1" si="20"/>
        <v>11</v>
      </c>
      <c r="J192" s="14">
        <f t="shared" ca="1" si="17"/>
        <v>30</v>
      </c>
      <c r="K192" s="12" t="s">
        <v>41</v>
      </c>
      <c r="L192" s="12">
        <v>16</v>
      </c>
      <c r="M192" s="12" t="s">
        <v>44</v>
      </c>
      <c r="N192" s="12">
        <v>46</v>
      </c>
    </row>
    <row r="193" spans="1:15">
      <c r="A193" s="12">
        <f t="shared" si="21"/>
        <v>192</v>
      </c>
      <c r="B193" s="12" t="s">
        <v>1</v>
      </c>
      <c r="C193" s="12" t="s">
        <v>126</v>
      </c>
      <c r="D193" s="12" t="s">
        <v>123</v>
      </c>
      <c r="E193" s="89">
        <f t="shared" ca="1" si="22"/>
        <v>40951</v>
      </c>
      <c r="F193" s="11">
        <f>DATE(85,10,11)</f>
        <v>31331</v>
      </c>
      <c r="G193" s="12">
        <f t="shared" ca="1" si="18"/>
        <v>27</v>
      </c>
      <c r="H193" s="12">
        <f t="shared" ca="1" si="19"/>
        <v>-8</v>
      </c>
      <c r="I193" s="13">
        <f t="shared" ca="1" si="20"/>
        <v>1</v>
      </c>
      <c r="J193" s="14">
        <f t="shared" ca="1" si="17"/>
        <v>26</v>
      </c>
      <c r="K193" s="12" t="s">
        <v>40</v>
      </c>
      <c r="L193" s="12">
        <v>16</v>
      </c>
      <c r="M193" s="12" t="s">
        <v>44</v>
      </c>
      <c r="N193" s="12">
        <v>46</v>
      </c>
    </row>
    <row r="194" spans="1:15">
      <c r="A194" s="12">
        <f t="shared" si="21"/>
        <v>193</v>
      </c>
      <c r="B194" s="12" t="s">
        <v>1</v>
      </c>
      <c r="C194" s="12" t="s">
        <v>127</v>
      </c>
      <c r="D194" s="12" t="s">
        <v>128</v>
      </c>
      <c r="E194" s="89">
        <f t="shared" ca="1" si="22"/>
        <v>40951</v>
      </c>
      <c r="F194" s="11">
        <f>DATE(66,7,1)</f>
        <v>24289</v>
      </c>
      <c r="G194" s="12">
        <f t="shared" ca="1" si="18"/>
        <v>46</v>
      </c>
      <c r="H194" s="12">
        <f t="shared" ca="1" si="19"/>
        <v>-5</v>
      </c>
      <c r="I194" s="13">
        <f t="shared" ca="1" si="20"/>
        <v>11</v>
      </c>
      <c r="J194" s="14">
        <f t="shared" ca="1" si="17"/>
        <v>45</v>
      </c>
      <c r="K194" s="12" t="s">
        <v>40</v>
      </c>
      <c r="L194" s="12">
        <v>16</v>
      </c>
      <c r="M194" s="12" t="s">
        <v>40</v>
      </c>
      <c r="N194" s="12">
        <v>47</v>
      </c>
      <c r="O194" s="90" t="s">
        <v>2748</v>
      </c>
    </row>
    <row r="195" spans="1:15">
      <c r="A195" s="12">
        <f t="shared" si="21"/>
        <v>194</v>
      </c>
      <c r="B195" s="12" t="s">
        <v>1</v>
      </c>
      <c r="C195" s="12" t="s">
        <v>129</v>
      </c>
      <c r="D195" s="12" t="s">
        <v>127</v>
      </c>
      <c r="E195" s="89">
        <f t="shared" ca="1" si="22"/>
        <v>40951</v>
      </c>
      <c r="F195" s="11">
        <f>DATE(66,4,1)</f>
        <v>24198</v>
      </c>
      <c r="G195" s="12">
        <f t="shared" ca="1" si="18"/>
        <v>46</v>
      </c>
      <c r="H195" s="12">
        <f t="shared" ca="1" si="19"/>
        <v>-2</v>
      </c>
      <c r="I195" s="13">
        <f t="shared" ca="1" si="20"/>
        <v>11</v>
      </c>
      <c r="J195" s="14">
        <f t="shared" ref="J195:J258" ca="1" si="23">IF(H195&lt;0,G195-1,IF(H195&gt;0,G195,IF(I195&lt;0,G195-1,G195)))</f>
        <v>45</v>
      </c>
      <c r="K195" s="12" t="s">
        <v>41</v>
      </c>
      <c r="L195" s="12">
        <v>16</v>
      </c>
      <c r="M195" s="12" t="s">
        <v>40</v>
      </c>
      <c r="N195" s="12">
        <v>47</v>
      </c>
    </row>
    <row r="196" spans="1:15">
      <c r="A196" s="12">
        <f t="shared" si="21"/>
        <v>195</v>
      </c>
      <c r="B196" s="12" t="s">
        <v>1</v>
      </c>
      <c r="C196" s="12" t="s">
        <v>130</v>
      </c>
      <c r="D196" s="12" t="s">
        <v>127</v>
      </c>
      <c r="E196" s="89">
        <f t="shared" ca="1" si="22"/>
        <v>40951</v>
      </c>
      <c r="F196" s="11">
        <f>DATE(94,12,1)</f>
        <v>34669</v>
      </c>
      <c r="G196" s="12">
        <f t="shared" ca="1" si="18"/>
        <v>18</v>
      </c>
      <c r="H196" s="12">
        <f t="shared" ca="1" si="19"/>
        <v>-10</v>
      </c>
      <c r="I196" s="13">
        <f t="shared" ca="1" si="20"/>
        <v>11</v>
      </c>
      <c r="J196" s="14">
        <f t="shared" ca="1" si="23"/>
        <v>17</v>
      </c>
      <c r="K196" s="12" t="s">
        <v>40</v>
      </c>
      <c r="L196" s="12">
        <v>16</v>
      </c>
      <c r="M196" s="12" t="s">
        <v>44</v>
      </c>
      <c r="N196" s="12">
        <v>47</v>
      </c>
    </row>
    <row r="197" spans="1:15">
      <c r="A197" s="12">
        <f t="shared" si="21"/>
        <v>196</v>
      </c>
      <c r="B197" s="12" t="s">
        <v>1</v>
      </c>
      <c r="C197" s="12" t="s">
        <v>131</v>
      </c>
      <c r="D197" s="12" t="s">
        <v>127</v>
      </c>
      <c r="E197" s="89">
        <f t="shared" ca="1" si="22"/>
        <v>40951</v>
      </c>
      <c r="F197" s="11">
        <f>DATE(96,6,3)</f>
        <v>35219</v>
      </c>
      <c r="G197" s="12">
        <f t="shared" ca="1" si="18"/>
        <v>16</v>
      </c>
      <c r="H197" s="12">
        <f t="shared" ca="1" si="19"/>
        <v>-4</v>
      </c>
      <c r="I197" s="13">
        <f t="shared" ca="1" si="20"/>
        <v>9</v>
      </c>
      <c r="J197" s="14">
        <f t="shared" ca="1" si="23"/>
        <v>15</v>
      </c>
      <c r="K197" s="12" t="s">
        <v>41</v>
      </c>
      <c r="L197" s="12">
        <v>16</v>
      </c>
      <c r="M197" s="12" t="s">
        <v>44</v>
      </c>
      <c r="N197" s="12">
        <v>47</v>
      </c>
    </row>
    <row r="198" spans="1:15">
      <c r="A198" s="12">
        <f t="shared" si="21"/>
        <v>197</v>
      </c>
      <c r="B198" s="12" t="s">
        <v>1</v>
      </c>
      <c r="C198" s="12" t="s">
        <v>132</v>
      </c>
      <c r="D198" s="12" t="s">
        <v>127</v>
      </c>
      <c r="E198" s="89">
        <f t="shared" ca="1" si="22"/>
        <v>40951</v>
      </c>
      <c r="F198" s="11">
        <f>DATE(43,6,20)</f>
        <v>15877</v>
      </c>
      <c r="G198" s="12">
        <f t="shared" ca="1" si="18"/>
        <v>69</v>
      </c>
      <c r="H198" s="12">
        <f t="shared" ca="1" si="19"/>
        <v>-4</v>
      </c>
      <c r="I198" s="13">
        <f t="shared" ca="1" si="20"/>
        <v>-8</v>
      </c>
      <c r="J198" s="14">
        <f t="shared" ca="1" si="23"/>
        <v>68</v>
      </c>
      <c r="K198" s="12" t="s">
        <v>40</v>
      </c>
      <c r="L198" s="12">
        <v>16</v>
      </c>
      <c r="M198" s="12" t="s">
        <v>40</v>
      </c>
      <c r="N198" s="12">
        <v>47</v>
      </c>
    </row>
    <row r="199" spans="1:15">
      <c r="A199" s="12">
        <f t="shared" si="21"/>
        <v>198</v>
      </c>
      <c r="B199" s="12" t="s">
        <v>1</v>
      </c>
      <c r="C199" s="12" t="s">
        <v>133</v>
      </c>
      <c r="D199" s="12" t="s">
        <v>132</v>
      </c>
      <c r="E199" s="89">
        <f t="shared" ca="1" si="22"/>
        <v>40951</v>
      </c>
      <c r="F199" s="32"/>
      <c r="G199" s="12">
        <f t="shared" ca="1" si="18"/>
        <v>112</v>
      </c>
      <c r="H199" s="12">
        <f t="shared" ca="1" si="19"/>
        <v>1</v>
      </c>
      <c r="I199" s="13">
        <f t="shared" ca="1" si="20"/>
        <v>12</v>
      </c>
      <c r="J199" s="14">
        <f t="shared" ca="1" si="23"/>
        <v>112</v>
      </c>
      <c r="K199" s="12" t="s">
        <v>41</v>
      </c>
      <c r="L199" s="12">
        <v>16</v>
      </c>
      <c r="M199" s="12" t="s">
        <v>40</v>
      </c>
      <c r="N199" s="12">
        <v>47</v>
      </c>
    </row>
    <row r="200" spans="1:15">
      <c r="A200" s="12">
        <f t="shared" si="21"/>
        <v>199</v>
      </c>
      <c r="B200" s="12" t="s">
        <v>1</v>
      </c>
      <c r="C200" s="12" t="s">
        <v>111</v>
      </c>
      <c r="D200" s="12" t="s">
        <v>134</v>
      </c>
      <c r="E200" s="89">
        <f t="shared" ca="1" si="22"/>
        <v>40951</v>
      </c>
      <c r="F200" s="32"/>
      <c r="G200" s="12">
        <f t="shared" ca="1" si="18"/>
        <v>112</v>
      </c>
      <c r="H200" s="12">
        <f t="shared" ca="1" si="19"/>
        <v>1</v>
      </c>
      <c r="I200" s="13">
        <f t="shared" ca="1" si="20"/>
        <v>12</v>
      </c>
      <c r="J200" s="14">
        <f t="shared" ca="1" si="23"/>
        <v>112</v>
      </c>
      <c r="K200" s="12" t="s">
        <v>41</v>
      </c>
      <c r="L200" s="12">
        <v>17</v>
      </c>
      <c r="M200" s="12" t="s">
        <v>40</v>
      </c>
      <c r="N200" s="12">
        <v>48</v>
      </c>
      <c r="O200" s="90" t="s">
        <v>2748</v>
      </c>
    </row>
    <row r="201" spans="1:15">
      <c r="A201" s="12">
        <f t="shared" si="21"/>
        <v>200</v>
      </c>
      <c r="B201" s="12" t="s">
        <v>1</v>
      </c>
      <c r="C201" s="12" t="s">
        <v>135</v>
      </c>
      <c r="D201" s="12" t="s">
        <v>136</v>
      </c>
      <c r="E201" s="89">
        <f t="shared" ca="1" si="22"/>
        <v>40951</v>
      </c>
      <c r="F201" s="11">
        <f>DATE(71,5,5)</f>
        <v>26058</v>
      </c>
      <c r="G201" s="12">
        <f t="shared" ca="1" si="18"/>
        <v>41</v>
      </c>
      <c r="H201" s="12">
        <f t="shared" ca="1" si="19"/>
        <v>-3</v>
      </c>
      <c r="I201" s="13">
        <f t="shared" ca="1" si="20"/>
        <v>7</v>
      </c>
      <c r="J201" s="14">
        <f t="shared" ca="1" si="23"/>
        <v>40</v>
      </c>
      <c r="K201" s="12" t="s">
        <v>40</v>
      </c>
      <c r="L201" s="12">
        <v>17</v>
      </c>
      <c r="M201" s="12" t="s">
        <v>40</v>
      </c>
      <c r="N201" s="12">
        <v>48</v>
      </c>
    </row>
    <row r="202" spans="1:15">
      <c r="A202" s="12">
        <f t="shared" si="21"/>
        <v>201</v>
      </c>
      <c r="B202" s="12" t="s">
        <v>1</v>
      </c>
      <c r="C202" s="12" t="s">
        <v>137</v>
      </c>
      <c r="D202" s="12" t="s">
        <v>135</v>
      </c>
      <c r="E202" s="89">
        <f t="shared" ca="1" si="22"/>
        <v>40951</v>
      </c>
      <c r="F202" s="11">
        <f>DATE(72,6,25)</f>
        <v>26475</v>
      </c>
      <c r="G202" s="12">
        <f t="shared" ca="1" si="18"/>
        <v>40</v>
      </c>
      <c r="H202" s="12">
        <f t="shared" ca="1" si="19"/>
        <v>-4</v>
      </c>
      <c r="I202" s="13">
        <f t="shared" ca="1" si="20"/>
        <v>-13</v>
      </c>
      <c r="J202" s="14">
        <f t="shared" ca="1" si="23"/>
        <v>39</v>
      </c>
      <c r="K202" s="12" t="s">
        <v>41</v>
      </c>
      <c r="L202" s="12">
        <v>17</v>
      </c>
      <c r="M202" s="12" t="s">
        <v>40</v>
      </c>
      <c r="N202" s="12">
        <v>48</v>
      </c>
    </row>
    <row r="203" spans="1:15">
      <c r="A203" s="12">
        <f t="shared" si="21"/>
        <v>202</v>
      </c>
      <c r="B203" s="12" t="s">
        <v>1</v>
      </c>
      <c r="C203" s="12" t="s">
        <v>138</v>
      </c>
      <c r="D203" s="12" t="s">
        <v>136</v>
      </c>
      <c r="E203" s="89">
        <f t="shared" ca="1" si="22"/>
        <v>40951</v>
      </c>
      <c r="F203" s="11">
        <f>DATE(72,9,2)</f>
        <v>26544</v>
      </c>
      <c r="G203" s="12">
        <f t="shared" ca="1" si="18"/>
        <v>40</v>
      </c>
      <c r="H203" s="12">
        <f t="shared" ca="1" si="19"/>
        <v>-7</v>
      </c>
      <c r="I203" s="13">
        <f t="shared" ca="1" si="20"/>
        <v>10</v>
      </c>
      <c r="J203" s="14">
        <f t="shared" ca="1" si="23"/>
        <v>39</v>
      </c>
      <c r="K203" s="12" t="s">
        <v>40</v>
      </c>
      <c r="L203" s="12">
        <v>17</v>
      </c>
      <c r="M203" s="12" t="s">
        <v>40</v>
      </c>
      <c r="N203" s="12">
        <v>48</v>
      </c>
    </row>
    <row r="204" spans="1:15">
      <c r="A204" s="12">
        <f t="shared" si="21"/>
        <v>203</v>
      </c>
      <c r="B204" s="12" t="s">
        <v>1</v>
      </c>
      <c r="C204" s="12" t="s">
        <v>139</v>
      </c>
      <c r="D204" s="12" t="s">
        <v>138</v>
      </c>
      <c r="E204" s="89">
        <f t="shared" ca="1" si="22"/>
        <v>40951</v>
      </c>
      <c r="F204" s="11">
        <f>DATE(76,1,25)</f>
        <v>27784</v>
      </c>
      <c r="G204" s="12">
        <f t="shared" ca="1" si="18"/>
        <v>36</v>
      </c>
      <c r="H204" s="12">
        <f t="shared" ca="1" si="19"/>
        <v>1</v>
      </c>
      <c r="I204" s="13">
        <f t="shared" ca="1" si="20"/>
        <v>-13</v>
      </c>
      <c r="J204" s="14">
        <f t="shared" ca="1" si="23"/>
        <v>36</v>
      </c>
      <c r="K204" s="12" t="s">
        <v>41</v>
      </c>
      <c r="L204" s="12">
        <v>17</v>
      </c>
      <c r="M204" s="12" t="s">
        <v>40</v>
      </c>
      <c r="N204" s="12">
        <v>48</v>
      </c>
    </row>
    <row r="205" spans="1:15">
      <c r="A205" s="12">
        <f t="shared" si="21"/>
        <v>204</v>
      </c>
      <c r="B205" s="12" t="s">
        <v>1</v>
      </c>
      <c r="C205" s="12" t="s">
        <v>140</v>
      </c>
      <c r="D205" s="12" t="s">
        <v>138</v>
      </c>
      <c r="E205" s="89">
        <f t="shared" ca="1" si="22"/>
        <v>40951</v>
      </c>
      <c r="F205" s="11">
        <f>DATE(2002,2,25)</f>
        <v>37312</v>
      </c>
      <c r="G205" s="12">
        <f t="shared" ca="1" si="18"/>
        <v>10</v>
      </c>
      <c r="H205" s="12">
        <f t="shared" ca="1" si="19"/>
        <v>0</v>
      </c>
      <c r="I205" s="13">
        <f t="shared" ca="1" si="20"/>
        <v>-13</v>
      </c>
      <c r="J205" s="14">
        <f t="shared" ca="1" si="23"/>
        <v>9</v>
      </c>
      <c r="K205" s="12" t="s">
        <v>40</v>
      </c>
      <c r="L205" s="12">
        <v>17</v>
      </c>
      <c r="M205" s="12" t="s">
        <v>44</v>
      </c>
      <c r="N205" s="12">
        <v>48</v>
      </c>
    </row>
    <row r="206" spans="1:15">
      <c r="A206" s="12">
        <f t="shared" si="21"/>
        <v>205</v>
      </c>
      <c r="B206" s="12" t="s">
        <v>1</v>
      </c>
      <c r="C206" s="12" t="s">
        <v>141</v>
      </c>
      <c r="D206" s="12" t="s">
        <v>138</v>
      </c>
      <c r="E206" s="89">
        <f t="shared" ca="1" si="22"/>
        <v>40951</v>
      </c>
      <c r="F206" s="11">
        <f>DATE(2005,1,3)</f>
        <v>38355</v>
      </c>
      <c r="G206" s="12">
        <f t="shared" ca="1" si="18"/>
        <v>7</v>
      </c>
      <c r="H206" s="12">
        <f t="shared" ca="1" si="19"/>
        <v>1</v>
      </c>
      <c r="I206" s="13">
        <f t="shared" ca="1" si="20"/>
        <v>9</v>
      </c>
      <c r="J206" s="14">
        <f t="shared" ca="1" si="23"/>
        <v>7</v>
      </c>
      <c r="K206" s="12" t="s">
        <v>40</v>
      </c>
      <c r="L206" s="12">
        <v>17</v>
      </c>
      <c r="M206" s="12" t="s">
        <v>44</v>
      </c>
      <c r="N206" s="12">
        <v>48</v>
      </c>
    </row>
    <row r="207" spans="1:15">
      <c r="A207" s="12">
        <f t="shared" si="21"/>
        <v>206</v>
      </c>
      <c r="B207" s="12" t="s">
        <v>1</v>
      </c>
      <c r="C207" s="12" t="s">
        <v>142</v>
      </c>
      <c r="D207" s="12" t="s">
        <v>91</v>
      </c>
      <c r="E207" s="89">
        <f t="shared" ca="1" si="22"/>
        <v>40951</v>
      </c>
      <c r="F207" s="11">
        <f>DATE(58,7,10)</f>
        <v>21376</v>
      </c>
      <c r="G207" s="12">
        <f t="shared" ca="1" si="18"/>
        <v>54</v>
      </c>
      <c r="H207" s="12">
        <f t="shared" ca="1" si="19"/>
        <v>-5</v>
      </c>
      <c r="I207" s="13">
        <f t="shared" ca="1" si="20"/>
        <v>2</v>
      </c>
      <c r="J207" s="14">
        <f t="shared" ca="1" si="23"/>
        <v>53</v>
      </c>
      <c r="K207" s="12" t="s">
        <v>40</v>
      </c>
      <c r="L207" s="12">
        <v>17</v>
      </c>
      <c r="M207" s="12" t="s">
        <v>40</v>
      </c>
      <c r="N207" s="12">
        <v>49</v>
      </c>
      <c r="O207" s="90" t="s">
        <v>2748</v>
      </c>
    </row>
    <row r="208" spans="1:15">
      <c r="A208" s="12">
        <f t="shared" si="21"/>
        <v>207</v>
      </c>
      <c r="B208" s="12" t="s">
        <v>1</v>
      </c>
      <c r="C208" s="12" t="s">
        <v>143</v>
      </c>
      <c r="D208" s="12" t="s">
        <v>144</v>
      </c>
      <c r="E208" s="89">
        <f t="shared" ca="1" si="22"/>
        <v>40951</v>
      </c>
      <c r="F208" s="11">
        <f>DATE(68,8,3)</f>
        <v>25053</v>
      </c>
      <c r="G208" s="12">
        <f t="shared" ca="1" si="18"/>
        <v>44</v>
      </c>
      <c r="H208" s="12">
        <f t="shared" ca="1" si="19"/>
        <v>-6</v>
      </c>
      <c r="I208" s="13">
        <f t="shared" ca="1" si="20"/>
        <v>9</v>
      </c>
      <c r="J208" s="14">
        <f t="shared" ca="1" si="23"/>
        <v>43</v>
      </c>
      <c r="K208" s="12" t="s">
        <v>41</v>
      </c>
      <c r="L208" s="12">
        <v>17</v>
      </c>
      <c r="M208" s="12" t="s">
        <v>40</v>
      </c>
      <c r="N208" s="12">
        <v>49</v>
      </c>
    </row>
    <row r="209" spans="1:15">
      <c r="A209" s="12">
        <f t="shared" si="21"/>
        <v>208</v>
      </c>
      <c r="B209" s="12" t="s">
        <v>1</v>
      </c>
      <c r="C209" s="12" t="s">
        <v>145</v>
      </c>
      <c r="D209" s="12" t="s">
        <v>144</v>
      </c>
      <c r="E209" s="89">
        <f t="shared" ca="1" si="22"/>
        <v>40951</v>
      </c>
      <c r="F209" s="11">
        <f>DATE(88,6,21)</f>
        <v>32315</v>
      </c>
      <c r="G209" s="12">
        <f t="shared" ca="1" si="18"/>
        <v>24</v>
      </c>
      <c r="H209" s="12">
        <f t="shared" ca="1" si="19"/>
        <v>-4</v>
      </c>
      <c r="I209" s="13">
        <f t="shared" ca="1" si="20"/>
        <v>-9</v>
      </c>
      <c r="J209" s="14">
        <f t="shared" ca="1" si="23"/>
        <v>23</v>
      </c>
      <c r="K209" s="12" t="s">
        <v>41</v>
      </c>
      <c r="L209" s="12">
        <v>17</v>
      </c>
      <c r="M209" s="12" t="s">
        <v>44</v>
      </c>
      <c r="N209" s="12">
        <v>49</v>
      </c>
    </row>
    <row r="210" spans="1:15">
      <c r="A210" s="12">
        <f t="shared" si="21"/>
        <v>209</v>
      </c>
      <c r="B210" s="12" t="s">
        <v>1</v>
      </c>
      <c r="C210" s="12" t="s">
        <v>126</v>
      </c>
      <c r="D210" s="12" t="s">
        <v>144</v>
      </c>
      <c r="E210" s="89">
        <f t="shared" ca="1" si="22"/>
        <v>40951</v>
      </c>
      <c r="F210" s="11">
        <f>DATE(89,7,13)</f>
        <v>32702</v>
      </c>
      <c r="G210" s="12">
        <f t="shared" ca="1" si="18"/>
        <v>23</v>
      </c>
      <c r="H210" s="12">
        <f t="shared" ca="1" si="19"/>
        <v>-5</v>
      </c>
      <c r="I210" s="13">
        <f t="shared" ca="1" si="20"/>
        <v>-1</v>
      </c>
      <c r="J210" s="14">
        <f t="shared" ca="1" si="23"/>
        <v>22</v>
      </c>
      <c r="K210" s="12" t="s">
        <v>40</v>
      </c>
      <c r="L210" s="12">
        <v>17</v>
      </c>
      <c r="M210" s="12" t="s">
        <v>44</v>
      </c>
      <c r="N210" s="12">
        <v>49</v>
      </c>
    </row>
    <row r="211" spans="1:15">
      <c r="A211" s="12">
        <f t="shared" si="21"/>
        <v>210</v>
      </c>
      <c r="B211" s="12" t="s">
        <v>1</v>
      </c>
      <c r="C211" s="12" t="s">
        <v>146</v>
      </c>
      <c r="D211" s="12" t="s">
        <v>77</v>
      </c>
      <c r="E211" s="89">
        <f t="shared" ca="1" si="22"/>
        <v>40951</v>
      </c>
      <c r="F211" s="11">
        <f>DATE(56,4,15)</f>
        <v>20560</v>
      </c>
      <c r="G211" s="12">
        <f t="shared" ca="1" si="18"/>
        <v>56</v>
      </c>
      <c r="H211" s="12">
        <f t="shared" ca="1" si="19"/>
        <v>-2</v>
      </c>
      <c r="I211" s="13">
        <f t="shared" ca="1" si="20"/>
        <v>-3</v>
      </c>
      <c r="J211" s="14">
        <f t="shared" ca="1" si="23"/>
        <v>55</v>
      </c>
      <c r="K211" s="12" t="s">
        <v>40</v>
      </c>
      <c r="L211" s="12">
        <v>17</v>
      </c>
      <c r="M211" s="12" t="s">
        <v>40</v>
      </c>
      <c r="N211" s="12">
        <v>50</v>
      </c>
      <c r="O211" s="90" t="s">
        <v>2748</v>
      </c>
    </row>
    <row r="212" spans="1:15">
      <c r="A212" s="12">
        <f t="shared" si="21"/>
        <v>211</v>
      </c>
      <c r="B212" s="12" t="s">
        <v>1</v>
      </c>
      <c r="C212" s="12" t="s">
        <v>147</v>
      </c>
      <c r="D212" s="12" t="s">
        <v>146</v>
      </c>
      <c r="E212" s="89">
        <f t="shared" ca="1" si="22"/>
        <v>40951</v>
      </c>
      <c r="F212" s="11">
        <f>DATE(62,6,2)</f>
        <v>22799</v>
      </c>
      <c r="G212" s="12">
        <f t="shared" ca="1" si="18"/>
        <v>50</v>
      </c>
      <c r="H212" s="12">
        <f t="shared" ca="1" si="19"/>
        <v>-4</v>
      </c>
      <c r="I212" s="13">
        <f t="shared" ca="1" si="20"/>
        <v>10</v>
      </c>
      <c r="J212" s="14">
        <f t="shared" ca="1" si="23"/>
        <v>49</v>
      </c>
      <c r="K212" s="12" t="s">
        <v>41</v>
      </c>
      <c r="L212" s="12">
        <v>17</v>
      </c>
      <c r="M212" s="12" t="s">
        <v>40</v>
      </c>
      <c r="N212" s="12">
        <v>50</v>
      </c>
    </row>
    <row r="213" spans="1:15">
      <c r="A213" s="12">
        <f t="shared" si="21"/>
        <v>212</v>
      </c>
      <c r="B213" s="12" t="s">
        <v>1</v>
      </c>
      <c r="C213" s="12" t="s">
        <v>148</v>
      </c>
      <c r="D213" s="12" t="s">
        <v>146</v>
      </c>
      <c r="E213" s="89">
        <f t="shared" ca="1" si="22"/>
        <v>40951</v>
      </c>
      <c r="F213" s="11">
        <f>DATE(84,11,18)</f>
        <v>31004</v>
      </c>
      <c r="G213" s="12">
        <f t="shared" ca="1" si="18"/>
        <v>28</v>
      </c>
      <c r="H213" s="12">
        <f t="shared" ca="1" si="19"/>
        <v>-9</v>
      </c>
      <c r="I213" s="13">
        <f t="shared" ca="1" si="20"/>
        <v>-6</v>
      </c>
      <c r="J213" s="14">
        <f t="shared" ca="1" si="23"/>
        <v>27</v>
      </c>
      <c r="K213" s="12" t="s">
        <v>40</v>
      </c>
      <c r="L213" s="12">
        <v>17</v>
      </c>
      <c r="M213" s="12" t="s">
        <v>44</v>
      </c>
      <c r="N213" s="12">
        <v>50</v>
      </c>
    </row>
    <row r="214" spans="1:15">
      <c r="A214" s="12">
        <f t="shared" si="21"/>
        <v>213</v>
      </c>
      <c r="B214" s="12" t="s">
        <v>1</v>
      </c>
      <c r="C214" s="12" t="s">
        <v>149</v>
      </c>
      <c r="D214" s="12" t="s">
        <v>77</v>
      </c>
      <c r="E214" s="89">
        <f t="shared" ca="1" si="22"/>
        <v>40951</v>
      </c>
      <c r="F214" s="32"/>
      <c r="G214" s="12">
        <f t="shared" ca="1" si="18"/>
        <v>112</v>
      </c>
      <c r="H214" s="12">
        <f t="shared" ca="1" si="19"/>
        <v>1</v>
      </c>
      <c r="I214" s="13">
        <f t="shared" ca="1" si="20"/>
        <v>12</v>
      </c>
      <c r="J214" s="14">
        <f t="shared" ca="1" si="23"/>
        <v>112</v>
      </c>
      <c r="K214" s="12" t="s">
        <v>40</v>
      </c>
      <c r="L214" s="12">
        <v>18</v>
      </c>
      <c r="M214" s="12" t="s">
        <v>40</v>
      </c>
      <c r="N214" s="12">
        <v>51</v>
      </c>
      <c r="O214" s="90" t="s">
        <v>2748</v>
      </c>
    </row>
    <row r="215" spans="1:15">
      <c r="A215" s="12">
        <f t="shared" si="21"/>
        <v>214</v>
      </c>
      <c r="B215" s="12" t="s">
        <v>1</v>
      </c>
      <c r="C215" s="12" t="s">
        <v>93</v>
      </c>
      <c r="D215" s="12" t="s">
        <v>149</v>
      </c>
      <c r="E215" s="89">
        <f t="shared" ca="1" si="22"/>
        <v>40951</v>
      </c>
      <c r="F215" s="11">
        <f>DATE(72,11,10)</f>
        <v>26613</v>
      </c>
      <c r="G215" s="12">
        <f t="shared" ca="1" si="18"/>
        <v>40</v>
      </c>
      <c r="H215" s="12">
        <f t="shared" ca="1" si="19"/>
        <v>-9</v>
      </c>
      <c r="I215" s="13">
        <f t="shared" ca="1" si="20"/>
        <v>2</v>
      </c>
      <c r="J215" s="14">
        <f t="shared" ca="1" si="23"/>
        <v>39</v>
      </c>
      <c r="K215" s="12" t="s">
        <v>40</v>
      </c>
      <c r="L215" s="12">
        <v>18</v>
      </c>
      <c r="M215" s="12" t="s">
        <v>40</v>
      </c>
      <c r="N215" s="12">
        <v>51</v>
      </c>
    </row>
    <row r="216" spans="1:15">
      <c r="A216" s="12">
        <f t="shared" si="21"/>
        <v>215</v>
      </c>
      <c r="B216" s="12" t="s">
        <v>1</v>
      </c>
      <c r="C216" s="12" t="s">
        <v>150</v>
      </c>
      <c r="D216" s="12" t="s">
        <v>149</v>
      </c>
      <c r="E216" s="89">
        <f t="shared" ca="1" si="22"/>
        <v>40951</v>
      </c>
      <c r="F216" s="11">
        <f>DATE(82,2,2)</f>
        <v>29984</v>
      </c>
      <c r="G216" s="12">
        <f t="shared" ca="1" si="18"/>
        <v>30</v>
      </c>
      <c r="H216" s="12">
        <f t="shared" ca="1" si="19"/>
        <v>0</v>
      </c>
      <c r="I216" s="13">
        <f t="shared" ca="1" si="20"/>
        <v>10</v>
      </c>
      <c r="J216" s="14">
        <f t="shared" ca="1" si="23"/>
        <v>30</v>
      </c>
      <c r="K216" s="12" t="s">
        <v>41</v>
      </c>
      <c r="L216" s="12">
        <v>18</v>
      </c>
      <c r="M216" s="12" t="s">
        <v>40</v>
      </c>
      <c r="N216" s="12">
        <v>51</v>
      </c>
    </row>
    <row r="217" spans="1:15">
      <c r="A217" s="12">
        <f t="shared" si="21"/>
        <v>216</v>
      </c>
      <c r="B217" s="12" t="s">
        <v>1</v>
      </c>
      <c r="C217" s="12" t="s">
        <v>151</v>
      </c>
      <c r="D217" s="12" t="s">
        <v>149</v>
      </c>
      <c r="E217" s="89">
        <f t="shared" ca="1" si="22"/>
        <v>40951</v>
      </c>
      <c r="F217" s="11">
        <f>DATE(2006,4,14)</f>
        <v>38821</v>
      </c>
      <c r="G217" s="12">
        <f t="shared" ref="G217:G280" ca="1" si="24">YEAR(E217)-YEAR(F217)</f>
        <v>6</v>
      </c>
      <c r="H217" s="12">
        <f t="shared" ref="H217:H280" ca="1" si="25">MONTH(E217)-MONTH(F217)</f>
        <v>-2</v>
      </c>
      <c r="I217" s="13">
        <f t="shared" ref="I217:I280" ca="1" si="26">DAY(E217)-DAY(F217)</f>
        <v>-2</v>
      </c>
      <c r="J217" s="14">
        <f t="shared" ca="1" si="23"/>
        <v>5</v>
      </c>
      <c r="K217" s="12" t="s">
        <v>40</v>
      </c>
      <c r="L217" s="12">
        <v>18</v>
      </c>
      <c r="M217" s="12" t="s">
        <v>44</v>
      </c>
      <c r="N217" s="12">
        <v>51</v>
      </c>
    </row>
    <row r="218" spans="1:15">
      <c r="A218" s="12">
        <f t="shared" si="21"/>
        <v>217</v>
      </c>
      <c r="B218" s="12" t="s">
        <v>1</v>
      </c>
      <c r="C218" s="12" t="s">
        <v>152</v>
      </c>
      <c r="D218" s="12" t="s">
        <v>153</v>
      </c>
      <c r="E218" s="89">
        <f t="shared" ca="1" si="22"/>
        <v>40951</v>
      </c>
      <c r="F218" s="32"/>
      <c r="G218" s="12">
        <f t="shared" ca="1" si="24"/>
        <v>112</v>
      </c>
      <c r="H218" s="12">
        <f t="shared" ca="1" si="25"/>
        <v>1</v>
      </c>
      <c r="I218" s="13">
        <f t="shared" ca="1" si="26"/>
        <v>12</v>
      </c>
      <c r="J218" s="14">
        <f t="shared" ca="1" si="23"/>
        <v>112</v>
      </c>
      <c r="K218" s="12" t="s">
        <v>40</v>
      </c>
      <c r="L218" s="12">
        <v>18</v>
      </c>
      <c r="M218" s="12" t="s">
        <v>40</v>
      </c>
      <c r="N218" s="12">
        <v>52</v>
      </c>
      <c r="O218" s="90" t="s">
        <v>2748</v>
      </c>
    </row>
    <row r="219" spans="1:15">
      <c r="A219" s="12">
        <f t="shared" si="21"/>
        <v>218</v>
      </c>
      <c r="B219" s="12" t="s">
        <v>1</v>
      </c>
      <c r="C219" s="12" t="s">
        <v>154</v>
      </c>
      <c r="D219" s="12" t="s">
        <v>152</v>
      </c>
      <c r="E219" s="89">
        <f t="shared" ca="1" si="22"/>
        <v>40951</v>
      </c>
      <c r="F219" s="32"/>
      <c r="G219" s="12">
        <f t="shared" ca="1" si="24"/>
        <v>112</v>
      </c>
      <c r="H219" s="12">
        <f t="shared" ca="1" si="25"/>
        <v>1</v>
      </c>
      <c r="I219" s="13">
        <f t="shared" ca="1" si="26"/>
        <v>12</v>
      </c>
      <c r="J219" s="14">
        <f t="shared" ca="1" si="23"/>
        <v>112</v>
      </c>
      <c r="K219" s="12" t="s">
        <v>41</v>
      </c>
      <c r="L219" s="12">
        <v>18</v>
      </c>
      <c r="M219" s="12" t="s">
        <v>40</v>
      </c>
      <c r="N219" s="12">
        <v>52</v>
      </c>
    </row>
    <row r="220" spans="1:15">
      <c r="A220" s="12">
        <f t="shared" si="21"/>
        <v>219</v>
      </c>
      <c r="B220" s="12" t="s">
        <v>1</v>
      </c>
      <c r="C220" s="12" t="s">
        <v>155</v>
      </c>
      <c r="D220" s="12" t="s">
        <v>153</v>
      </c>
      <c r="E220" s="89">
        <f t="shared" ca="1" si="22"/>
        <v>40951</v>
      </c>
      <c r="F220" s="32"/>
      <c r="G220" s="12">
        <f t="shared" ca="1" si="24"/>
        <v>112</v>
      </c>
      <c r="H220" s="12">
        <f t="shared" ca="1" si="25"/>
        <v>1</v>
      </c>
      <c r="I220" s="13">
        <f t="shared" ca="1" si="26"/>
        <v>12</v>
      </c>
      <c r="J220" s="14">
        <f t="shared" ca="1" si="23"/>
        <v>112</v>
      </c>
      <c r="K220" s="12" t="s">
        <v>41</v>
      </c>
      <c r="L220" s="12">
        <v>18</v>
      </c>
      <c r="M220" s="12" t="s">
        <v>44</v>
      </c>
      <c r="N220" s="12">
        <v>52</v>
      </c>
    </row>
    <row r="221" spans="1:15">
      <c r="A221" s="12">
        <f t="shared" si="21"/>
        <v>220</v>
      </c>
      <c r="B221" s="12" t="s">
        <v>1</v>
      </c>
      <c r="C221" s="12" t="s">
        <v>73</v>
      </c>
      <c r="D221" s="12" t="s">
        <v>153</v>
      </c>
      <c r="E221" s="89">
        <f t="shared" ca="1" si="22"/>
        <v>40951</v>
      </c>
      <c r="F221" s="32"/>
      <c r="G221" s="12">
        <f t="shared" ca="1" si="24"/>
        <v>112</v>
      </c>
      <c r="H221" s="12">
        <f t="shared" ca="1" si="25"/>
        <v>1</v>
      </c>
      <c r="I221" s="13">
        <f t="shared" ca="1" si="26"/>
        <v>12</v>
      </c>
      <c r="J221" s="14">
        <f t="shared" ca="1" si="23"/>
        <v>112</v>
      </c>
      <c r="K221" s="12" t="s">
        <v>41</v>
      </c>
      <c r="L221" s="12">
        <v>18</v>
      </c>
      <c r="M221" s="12" t="s">
        <v>44</v>
      </c>
      <c r="N221" s="12">
        <v>52</v>
      </c>
    </row>
    <row r="222" spans="1:15">
      <c r="A222" s="12">
        <f t="shared" ref="A222:A285" si="27">A221+1</f>
        <v>221</v>
      </c>
      <c r="B222" s="12" t="s">
        <v>1</v>
      </c>
      <c r="C222" s="12" t="s">
        <v>156</v>
      </c>
      <c r="D222" s="12" t="s">
        <v>152</v>
      </c>
      <c r="E222" s="89">
        <f t="shared" ca="1" si="22"/>
        <v>40951</v>
      </c>
      <c r="F222" s="32"/>
      <c r="G222" s="12">
        <f t="shared" ca="1" si="24"/>
        <v>112</v>
      </c>
      <c r="H222" s="12">
        <f t="shared" ca="1" si="25"/>
        <v>1</v>
      </c>
      <c r="I222" s="13">
        <f t="shared" ca="1" si="26"/>
        <v>12</v>
      </c>
      <c r="J222" s="14">
        <f t="shared" ca="1" si="23"/>
        <v>112</v>
      </c>
      <c r="K222" s="12" t="s">
        <v>41</v>
      </c>
      <c r="L222" s="12">
        <v>18</v>
      </c>
      <c r="M222" s="12" t="s">
        <v>44</v>
      </c>
      <c r="N222" s="12">
        <v>52</v>
      </c>
    </row>
    <row r="223" spans="1:15">
      <c r="A223" s="12">
        <f t="shared" si="27"/>
        <v>222</v>
      </c>
      <c r="B223" s="12" t="s">
        <v>5</v>
      </c>
      <c r="C223" s="12" t="s">
        <v>157</v>
      </c>
      <c r="D223" s="12" t="s">
        <v>158</v>
      </c>
      <c r="E223" s="89">
        <f t="shared" ca="1" si="22"/>
        <v>40951</v>
      </c>
      <c r="F223" s="11">
        <f>DATE(47,6,13)</f>
        <v>17331</v>
      </c>
      <c r="G223" s="12">
        <f t="shared" ca="1" si="24"/>
        <v>65</v>
      </c>
      <c r="H223" s="12">
        <f t="shared" ca="1" si="25"/>
        <v>-4</v>
      </c>
      <c r="I223" s="13">
        <f t="shared" ca="1" si="26"/>
        <v>-1</v>
      </c>
      <c r="J223" s="14">
        <f t="shared" ca="1" si="23"/>
        <v>64</v>
      </c>
      <c r="K223" s="12" t="s">
        <v>40</v>
      </c>
      <c r="L223" s="12">
        <v>19</v>
      </c>
      <c r="M223" s="12" t="s">
        <v>40</v>
      </c>
      <c r="N223" s="12">
        <v>53</v>
      </c>
      <c r="O223" s="90" t="s">
        <v>2748</v>
      </c>
    </row>
    <row r="224" spans="1:15">
      <c r="A224" s="12">
        <f t="shared" si="27"/>
        <v>223</v>
      </c>
      <c r="B224" s="12" t="s">
        <v>5</v>
      </c>
      <c r="C224" s="12" t="s">
        <v>159</v>
      </c>
      <c r="D224" s="12" t="s">
        <v>157</v>
      </c>
      <c r="E224" s="89">
        <f t="shared" ref="E224:E287" ca="1" si="28">TODAY()</f>
        <v>40951</v>
      </c>
      <c r="F224" s="11">
        <f>DATE(53,10,26)</f>
        <v>19658</v>
      </c>
      <c r="G224" s="12">
        <f t="shared" ca="1" si="24"/>
        <v>59</v>
      </c>
      <c r="H224" s="12">
        <f t="shared" ca="1" si="25"/>
        <v>-8</v>
      </c>
      <c r="I224" s="13">
        <f t="shared" ca="1" si="26"/>
        <v>-14</v>
      </c>
      <c r="J224" s="14">
        <f t="shared" ca="1" si="23"/>
        <v>58</v>
      </c>
      <c r="K224" s="12" t="s">
        <v>41</v>
      </c>
      <c r="L224" s="12">
        <v>19</v>
      </c>
      <c r="M224" s="12" t="s">
        <v>40</v>
      </c>
      <c r="N224" s="12">
        <v>53</v>
      </c>
    </row>
    <row r="225" spans="1:15">
      <c r="A225" s="12">
        <f t="shared" si="27"/>
        <v>224</v>
      </c>
      <c r="B225" s="12" t="s">
        <v>5</v>
      </c>
      <c r="C225" s="12" t="s">
        <v>160</v>
      </c>
      <c r="D225" s="12" t="s">
        <v>157</v>
      </c>
      <c r="E225" s="89">
        <f t="shared" ca="1" si="28"/>
        <v>40951</v>
      </c>
      <c r="F225" s="11">
        <f>DATE(80,10,5)</f>
        <v>29499</v>
      </c>
      <c r="G225" s="12">
        <f t="shared" ca="1" si="24"/>
        <v>32</v>
      </c>
      <c r="H225" s="12">
        <f t="shared" ca="1" si="25"/>
        <v>-8</v>
      </c>
      <c r="I225" s="13">
        <f t="shared" ca="1" si="26"/>
        <v>7</v>
      </c>
      <c r="J225" s="14">
        <f t="shared" ca="1" si="23"/>
        <v>31</v>
      </c>
      <c r="K225" s="12" t="s">
        <v>41</v>
      </c>
      <c r="L225" s="12">
        <v>19</v>
      </c>
      <c r="M225" s="12" t="s">
        <v>44</v>
      </c>
      <c r="N225" s="12">
        <v>53</v>
      </c>
    </row>
    <row r="226" spans="1:15">
      <c r="A226" s="12">
        <f t="shared" si="27"/>
        <v>225</v>
      </c>
      <c r="B226" s="12" t="s">
        <v>5</v>
      </c>
      <c r="C226" s="12" t="s">
        <v>161</v>
      </c>
      <c r="D226" s="12" t="s">
        <v>157</v>
      </c>
      <c r="E226" s="89">
        <f t="shared" ca="1" si="28"/>
        <v>40951</v>
      </c>
      <c r="F226" s="11">
        <f>DATE(88,11,18)</f>
        <v>32465</v>
      </c>
      <c r="G226" s="12">
        <f t="shared" ca="1" si="24"/>
        <v>24</v>
      </c>
      <c r="H226" s="12">
        <f t="shared" ca="1" si="25"/>
        <v>-9</v>
      </c>
      <c r="I226" s="13">
        <f t="shared" ca="1" si="26"/>
        <v>-6</v>
      </c>
      <c r="J226" s="14">
        <f t="shared" ca="1" si="23"/>
        <v>23</v>
      </c>
      <c r="K226" s="12" t="s">
        <v>40</v>
      </c>
      <c r="L226" s="12">
        <v>19</v>
      </c>
      <c r="M226" s="12" t="s">
        <v>44</v>
      </c>
      <c r="N226" s="12">
        <v>53</v>
      </c>
    </row>
    <row r="227" spans="1:15">
      <c r="A227" s="12">
        <f t="shared" si="27"/>
        <v>226</v>
      </c>
      <c r="B227" s="12" t="s">
        <v>6</v>
      </c>
      <c r="C227" s="12" t="s">
        <v>162</v>
      </c>
      <c r="D227" s="12" t="s">
        <v>70</v>
      </c>
      <c r="E227" s="89">
        <f t="shared" ca="1" si="28"/>
        <v>40951</v>
      </c>
      <c r="F227" s="11">
        <f>DATE(45,3,20)</f>
        <v>16516</v>
      </c>
      <c r="G227" s="12">
        <f t="shared" ca="1" si="24"/>
        <v>67</v>
      </c>
      <c r="H227" s="12">
        <f t="shared" ca="1" si="25"/>
        <v>-1</v>
      </c>
      <c r="I227" s="13">
        <f t="shared" ca="1" si="26"/>
        <v>-8</v>
      </c>
      <c r="J227" s="14">
        <f t="shared" ca="1" si="23"/>
        <v>66</v>
      </c>
      <c r="K227" s="12" t="s">
        <v>40</v>
      </c>
      <c r="L227" s="12">
        <v>20</v>
      </c>
      <c r="M227" s="12" t="s">
        <v>40</v>
      </c>
      <c r="N227" s="12">
        <v>54</v>
      </c>
      <c r="O227" s="90" t="s">
        <v>2748</v>
      </c>
    </row>
    <row r="228" spans="1:15">
      <c r="A228" s="12">
        <f t="shared" si="27"/>
        <v>227</v>
      </c>
      <c r="B228" s="12" t="s">
        <v>6</v>
      </c>
      <c r="C228" s="12" t="s">
        <v>163</v>
      </c>
      <c r="D228" s="12" t="s">
        <v>162</v>
      </c>
      <c r="E228" s="89">
        <f t="shared" ca="1" si="28"/>
        <v>40951</v>
      </c>
      <c r="F228" s="11">
        <f>DATE(48,10,26)</f>
        <v>17832</v>
      </c>
      <c r="G228" s="12">
        <f t="shared" ca="1" si="24"/>
        <v>64</v>
      </c>
      <c r="H228" s="12">
        <f t="shared" ca="1" si="25"/>
        <v>-8</v>
      </c>
      <c r="I228" s="13">
        <f t="shared" ca="1" si="26"/>
        <v>-14</v>
      </c>
      <c r="J228" s="14">
        <f t="shared" ca="1" si="23"/>
        <v>63</v>
      </c>
      <c r="K228" s="12" t="s">
        <v>41</v>
      </c>
      <c r="L228" s="12">
        <v>20</v>
      </c>
      <c r="M228" s="12" t="s">
        <v>40</v>
      </c>
      <c r="N228" s="12">
        <v>54</v>
      </c>
    </row>
    <row r="229" spans="1:15">
      <c r="A229" s="12">
        <f t="shared" si="27"/>
        <v>228</v>
      </c>
      <c r="B229" s="12" t="s">
        <v>6</v>
      </c>
      <c r="C229" s="12" t="s">
        <v>164</v>
      </c>
      <c r="D229" s="12" t="s">
        <v>162</v>
      </c>
      <c r="E229" s="89">
        <f t="shared" ca="1" si="28"/>
        <v>40951</v>
      </c>
      <c r="F229" s="11">
        <f>DATE(73,8,15)</f>
        <v>26891</v>
      </c>
      <c r="G229" s="12">
        <f t="shared" ca="1" si="24"/>
        <v>39</v>
      </c>
      <c r="H229" s="12">
        <f t="shared" ca="1" si="25"/>
        <v>-6</v>
      </c>
      <c r="I229" s="13">
        <f t="shared" ca="1" si="26"/>
        <v>-3</v>
      </c>
      <c r="J229" s="14">
        <f t="shared" ca="1" si="23"/>
        <v>38</v>
      </c>
      <c r="K229" s="12" t="s">
        <v>40</v>
      </c>
      <c r="L229" s="12">
        <v>20</v>
      </c>
      <c r="M229" s="12" t="s">
        <v>40</v>
      </c>
      <c r="N229" s="12">
        <v>54</v>
      </c>
    </row>
    <row r="230" spans="1:15">
      <c r="A230" s="12">
        <f t="shared" si="27"/>
        <v>229</v>
      </c>
      <c r="B230" s="12" t="s">
        <v>6</v>
      </c>
      <c r="C230" s="12" t="s">
        <v>165</v>
      </c>
      <c r="D230" s="12" t="s">
        <v>164</v>
      </c>
      <c r="E230" s="89">
        <f t="shared" ca="1" si="28"/>
        <v>40951</v>
      </c>
      <c r="F230" s="11">
        <f>DATE(75,12,12)</f>
        <v>27740</v>
      </c>
      <c r="G230" s="12">
        <f t="shared" ca="1" si="24"/>
        <v>37</v>
      </c>
      <c r="H230" s="12">
        <f t="shared" ca="1" si="25"/>
        <v>-10</v>
      </c>
      <c r="I230" s="13">
        <f t="shared" ca="1" si="26"/>
        <v>0</v>
      </c>
      <c r="J230" s="14">
        <f t="shared" ca="1" si="23"/>
        <v>36</v>
      </c>
      <c r="K230" s="12" t="s">
        <v>41</v>
      </c>
      <c r="L230" s="12">
        <v>20</v>
      </c>
      <c r="M230" s="12" t="s">
        <v>40</v>
      </c>
      <c r="N230" s="12">
        <v>54</v>
      </c>
    </row>
    <row r="231" spans="1:15">
      <c r="A231" s="12">
        <f t="shared" si="27"/>
        <v>230</v>
      </c>
      <c r="B231" s="12" t="s">
        <v>6</v>
      </c>
      <c r="C231" s="12" t="s">
        <v>126</v>
      </c>
      <c r="D231" s="12" t="s">
        <v>164</v>
      </c>
      <c r="E231" s="89">
        <f t="shared" ca="1" si="28"/>
        <v>40951</v>
      </c>
      <c r="F231" s="11">
        <f>DATE(2001,1,27)</f>
        <v>36918</v>
      </c>
      <c r="G231" s="12">
        <f t="shared" ca="1" si="24"/>
        <v>11</v>
      </c>
      <c r="H231" s="12">
        <f t="shared" ca="1" si="25"/>
        <v>1</v>
      </c>
      <c r="I231" s="13">
        <f t="shared" ca="1" si="26"/>
        <v>-15</v>
      </c>
      <c r="J231" s="14">
        <f t="shared" ca="1" si="23"/>
        <v>11</v>
      </c>
      <c r="K231" s="12" t="s">
        <v>40</v>
      </c>
      <c r="L231" s="12">
        <v>20</v>
      </c>
      <c r="M231" s="12" t="s">
        <v>44</v>
      </c>
      <c r="N231" s="12">
        <v>54</v>
      </c>
    </row>
    <row r="232" spans="1:15">
      <c r="A232" s="12">
        <f t="shared" si="27"/>
        <v>231</v>
      </c>
      <c r="B232" s="12" t="s">
        <v>6</v>
      </c>
      <c r="C232" s="12" t="s">
        <v>166</v>
      </c>
      <c r="D232" s="12" t="s">
        <v>162</v>
      </c>
      <c r="E232" s="89">
        <f t="shared" ca="1" si="28"/>
        <v>40951</v>
      </c>
      <c r="F232" s="11">
        <f>DATE(77,11,12)</f>
        <v>28441</v>
      </c>
      <c r="G232" s="12">
        <f t="shared" ca="1" si="24"/>
        <v>35</v>
      </c>
      <c r="H232" s="12">
        <f t="shared" ca="1" si="25"/>
        <v>-9</v>
      </c>
      <c r="I232" s="13">
        <f t="shared" ca="1" si="26"/>
        <v>0</v>
      </c>
      <c r="J232" s="14">
        <f t="shared" ca="1" si="23"/>
        <v>34</v>
      </c>
      <c r="K232" s="12" t="s">
        <v>40</v>
      </c>
      <c r="L232" s="12">
        <v>20</v>
      </c>
      <c r="M232" s="12" t="s">
        <v>40</v>
      </c>
      <c r="N232" s="12">
        <v>54</v>
      </c>
    </row>
    <row r="233" spans="1:15">
      <c r="A233" s="12">
        <f t="shared" si="27"/>
        <v>232</v>
      </c>
      <c r="B233" s="12" t="s">
        <v>6</v>
      </c>
      <c r="C233" s="12" t="s">
        <v>167</v>
      </c>
      <c r="D233" s="12" t="s">
        <v>166</v>
      </c>
      <c r="E233" s="89">
        <f t="shared" ca="1" si="28"/>
        <v>40951</v>
      </c>
      <c r="F233" s="11">
        <f>DATE(79,12,9)</f>
        <v>29198</v>
      </c>
      <c r="G233" s="12">
        <f t="shared" ca="1" si="24"/>
        <v>33</v>
      </c>
      <c r="H233" s="12">
        <f t="shared" ca="1" si="25"/>
        <v>-10</v>
      </c>
      <c r="I233" s="13">
        <f t="shared" ca="1" si="26"/>
        <v>3</v>
      </c>
      <c r="J233" s="14">
        <f t="shared" ca="1" si="23"/>
        <v>32</v>
      </c>
      <c r="K233" s="12" t="s">
        <v>41</v>
      </c>
      <c r="L233" s="12">
        <v>20</v>
      </c>
      <c r="M233" s="12" t="s">
        <v>40</v>
      </c>
      <c r="N233" s="12">
        <v>54</v>
      </c>
    </row>
    <row r="234" spans="1:15">
      <c r="A234" s="12">
        <f t="shared" si="27"/>
        <v>233</v>
      </c>
      <c r="B234" s="12" t="s">
        <v>6</v>
      </c>
      <c r="C234" s="12" t="s">
        <v>168</v>
      </c>
      <c r="D234" s="12" t="s">
        <v>166</v>
      </c>
      <c r="E234" s="89">
        <f t="shared" ca="1" si="28"/>
        <v>40951</v>
      </c>
      <c r="F234" s="11">
        <f>DATE(2005,4,13)</f>
        <v>38455</v>
      </c>
      <c r="G234" s="12">
        <f t="shared" ca="1" si="24"/>
        <v>7</v>
      </c>
      <c r="H234" s="12">
        <f t="shared" ca="1" si="25"/>
        <v>-2</v>
      </c>
      <c r="I234" s="13">
        <f t="shared" ca="1" si="26"/>
        <v>-1</v>
      </c>
      <c r="J234" s="14">
        <f t="shared" ca="1" si="23"/>
        <v>6</v>
      </c>
      <c r="K234" s="12" t="s">
        <v>40</v>
      </c>
      <c r="L234" s="12">
        <v>20</v>
      </c>
      <c r="M234" s="12" t="s">
        <v>44</v>
      </c>
      <c r="N234" s="12">
        <v>54</v>
      </c>
    </row>
    <row r="235" spans="1:15">
      <c r="A235" s="12">
        <f t="shared" si="27"/>
        <v>234</v>
      </c>
      <c r="B235" s="12" t="s">
        <v>6</v>
      </c>
      <c r="C235" s="12" t="s">
        <v>169</v>
      </c>
      <c r="D235" s="12" t="s">
        <v>162</v>
      </c>
      <c r="E235" s="89">
        <f t="shared" ca="1" si="28"/>
        <v>40951</v>
      </c>
      <c r="F235" s="11">
        <f>DATE(79,5,4)</f>
        <v>28979</v>
      </c>
      <c r="G235" s="12">
        <f t="shared" ca="1" si="24"/>
        <v>33</v>
      </c>
      <c r="H235" s="12">
        <f t="shared" ca="1" si="25"/>
        <v>-3</v>
      </c>
      <c r="I235" s="13">
        <f t="shared" ca="1" si="26"/>
        <v>8</v>
      </c>
      <c r="J235" s="14">
        <f t="shared" ca="1" si="23"/>
        <v>32</v>
      </c>
      <c r="K235" s="12" t="s">
        <v>40</v>
      </c>
      <c r="L235" s="12">
        <v>20</v>
      </c>
      <c r="M235" s="12" t="s">
        <v>40</v>
      </c>
      <c r="N235" s="12">
        <v>54</v>
      </c>
    </row>
    <row r="236" spans="1:15">
      <c r="A236" s="12">
        <f t="shared" si="27"/>
        <v>235</v>
      </c>
      <c r="B236" s="12" t="s">
        <v>6</v>
      </c>
      <c r="C236" s="12" t="s">
        <v>170</v>
      </c>
      <c r="D236" s="12" t="s">
        <v>169</v>
      </c>
      <c r="E236" s="89">
        <f t="shared" ca="1" si="28"/>
        <v>40951</v>
      </c>
      <c r="F236" s="11">
        <f>DATE(82,12,17)</f>
        <v>30302</v>
      </c>
      <c r="G236" s="12">
        <f t="shared" ca="1" si="24"/>
        <v>30</v>
      </c>
      <c r="H236" s="12">
        <f t="shared" ca="1" si="25"/>
        <v>-10</v>
      </c>
      <c r="I236" s="13">
        <f t="shared" ca="1" si="26"/>
        <v>-5</v>
      </c>
      <c r="J236" s="14">
        <f t="shared" ca="1" si="23"/>
        <v>29</v>
      </c>
      <c r="K236" s="12" t="s">
        <v>41</v>
      </c>
      <c r="L236" s="12">
        <v>20</v>
      </c>
      <c r="M236" s="12" t="s">
        <v>40</v>
      </c>
      <c r="N236" s="12">
        <v>54</v>
      </c>
    </row>
    <row r="237" spans="1:15">
      <c r="A237" s="12">
        <f t="shared" si="27"/>
        <v>236</v>
      </c>
      <c r="B237" s="12" t="s">
        <v>6</v>
      </c>
      <c r="C237" s="12" t="s">
        <v>171</v>
      </c>
      <c r="D237" s="12" t="s">
        <v>172</v>
      </c>
      <c r="E237" s="89">
        <f t="shared" ca="1" si="28"/>
        <v>40951</v>
      </c>
      <c r="F237" s="11">
        <f>DATE(40,10,1)</f>
        <v>14885</v>
      </c>
      <c r="G237" s="12">
        <f t="shared" ca="1" si="24"/>
        <v>72</v>
      </c>
      <c r="H237" s="12">
        <f t="shared" ca="1" si="25"/>
        <v>-8</v>
      </c>
      <c r="I237" s="13">
        <f t="shared" ca="1" si="26"/>
        <v>11</v>
      </c>
      <c r="J237" s="14">
        <f t="shared" ca="1" si="23"/>
        <v>71</v>
      </c>
      <c r="K237" s="12" t="s">
        <v>40</v>
      </c>
      <c r="L237" s="12">
        <v>20</v>
      </c>
      <c r="M237" s="12" t="s">
        <v>40</v>
      </c>
      <c r="N237" s="12">
        <v>55</v>
      </c>
      <c r="O237" s="90" t="s">
        <v>2748</v>
      </c>
    </row>
    <row r="238" spans="1:15">
      <c r="A238" s="12">
        <f t="shared" si="27"/>
        <v>237</v>
      </c>
      <c r="B238" s="12" t="s">
        <v>6</v>
      </c>
      <c r="C238" s="12" t="s">
        <v>173</v>
      </c>
      <c r="D238" s="12" t="s">
        <v>171</v>
      </c>
      <c r="E238" s="89">
        <f t="shared" ca="1" si="28"/>
        <v>40951</v>
      </c>
      <c r="F238" s="11">
        <f>DATE(47,1,2)</f>
        <v>17169</v>
      </c>
      <c r="G238" s="12">
        <f t="shared" ca="1" si="24"/>
        <v>65</v>
      </c>
      <c r="H238" s="12">
        <f t="shared" ca="1" si="25"/>
        <v>1</v>
      </c>
      <c r="I238" s="13">
        <f t="shared" ca="1" si="26"/>
        <v>10</v>
      </c>
      <c r="J238" s="14">
        <f t="shared" ca="1" si="23"/>
        <v>65</v>
      </c>
      <c r="K238" s="12" t="s">
        <v>41</v>
      </c>
      <c r="L238" s="12">
        <v>20</v>
      </c>
      <c r="M238" s="12" t="s">
        <v>40</v>
      </c>
      <c r="N238" s="12">
        <v>55</v>
      </c>
    </row>
    <row r="239" spans="1:15">
      <c r="A239" s="12">
        <f t="shared" si="27"/>
        <v>238</v>
      </c>
      <c r="B239" s="12" t="s">
        <v>6</v>
      </c>
      <c r="C239" s="12" t="s">
        <v>174</v>
      </c>
      <c r="D239" s="12" t="s">
        <v>171</v>
      </c>
      <c r="E239" s="89">
        <f t="shared" ca="1" si="28"/>
        <v>40951</v>
      </c>
      <c r="F239" s="11">
        <f>DATE(71,11,9)</f>
        <v>26246</v>
      </c>
      <c r="G239" s="12">
        <f t="shared" ca="1" si="24"/>
        <v>41</v>
      </c>
      <c r="H239" s="12">
        <f t="shared" ca="1" si="25"/>
        <v>-9</v>
      </c>
      <c r="I239" s="13">
        <f t="shared" ca="1" si="26"/>
        <v>3</v>
      </c>
      <c r="J239" s="14">
        <f t="shared" ca="1" si="23"/>
        <v>40</v>
      </c>
      <c r="K239" s="12" t="s">
        <v>40</v>
      </c>
      <c r="L239" s="12">
        <v>20</v>
      </c>
      <c r="M239" s="12" t="s">
        <v>40</v>
      </c>
      <c r="N239" s="12">
        <v>55</v>
      </c>
    </row>
    <row r="240" spans="1:15">
      <c r="A240" s="12">
        <f t="shared" si="27"/>
        <v>239</v>
      </c>
      <c r="B240" s="12" t="s">
        <v>6</v>
      </c>
      <c r="C240" s="12" t="s">
        <v>175</v>
      </c>
      <c r="D240" s="12" t="s">
        <v>174</v>
      </c>
      <c r="E240" s="89">
        <f t="shared" ca="1" si="28"/>
        <v>40951</v>
      </c>
      <c r="F240" s="11">
        <f>DATE(73,9,5)</f>
        <v>26912</v>
      </c>
      <c r="G240" s="12">
        <f t="shared" ca="1" si="24"/>
        <v>39</v>
      </c>
      <c r="H240" s="12">
        <f t="shared" ca="1" si="25"/>
        <v>-7</v>
      </c>
      <c r="I240" s="13">
        <f t="shared" ca="1" si="26"/>
        <v>7</v>
      </c>
      <c r="J240" s="14">
        <f t="shared" ca="1" si="23"/>
        <v>38</v>
      </c>
      <c r="K240" s="12" t="s">
        <v>41</v>
      </c>
      <c r="L240" s="12">
        <v>20</v>
      </c>
      <c r="M240" s="12" t="s">
        <v>40</v>
      </c>
      <c r="N240" s="12">
        <v>55</v>
      </c>
    </row>
    <row r="241" spans="1:15">
      <c r="A241" s="12">
        <f t="shared" si="27"/>
        <v>240</v>
      </c>
      <c r="B241" s="12" t="s">
        <v>6</v>
      </c>
      <c r="C241" s="12" t="s">
        <v>176</v>
      </c>
      <c r="D241" s="12" t="s">
        <v>174</v>
      </c>
      <c r="E241" s="89">
        <f t="shared" ca="1" si="28"/>
        <v>40951</v>
      </c>
      <c r="F241" s="11">
        <f>DATE(2001,6,27)</f>
        <v>37069</v>
      </c>
      <c r="G241" s="12">
        <f t="shared" ca="1" si="24"/>
        <v>11</v>
      </c>
      <c r="H241" s="12">
        <f t="shared" ca="1" si="25"/>
        <v>-4</v>
      </c>
      <c r="I241" s="13">
        <f t="shared" ca="1" si="26"/>
        <v>-15</v>
      </c>
      <c r="J241" s="14">
        <f t="shared" ca="1" si="23"/>
        <v>10</v>
      </c>
      <c r="K241" s="12" t="s">
        <v>41</v>
      </c>
      <c r="L241" s="12">
        <v>20</v>
      </c>
      <c r="M241" s="12" t="s">
        <v>44</v>
      </c>
      <c r="N241" s="12">
        <v>55</v>
      </c>
    </row>
    <row r="242" spans="1:15">
      <c r="A242" s="12">
        <f t="shared" si="27"/>
        <v>241</v>
      </c>
      <c r="B242" s="12" t="s">
        <v>6</v>
      </c>
      <c r="C242" s="12" t="s">
        <v>177</v>
      </c>
      <c r="D242" s="12" t="s">
        <v>174</v>
      </c>
      <c r="E242" s="89">
        <f t="shared" ca="1" si="28"/>
        <v>40951</v>
      </c>
      <c r="F242" s="11">
        <f>DATE(2003,11,12)</f>
        <v>37937</v>
      </c>
      <c r="G242" s="12">
        <f t="shared" ca="1" si="24"/>
        <v>9</v>
      </c>
      <c r="H242" s="12">
        <f t="shared" ca="1" si="25"/>
        <v>-9</v>
      </c>
      <c r="I242" s="13">
        <f t="shared" ca="1" si="26"/>
        <v>0</v>
      </c>
      <c r="J242" s="14">
        <f t="shared" ca="1" si="23"/>
        <v>8</v>
      </c>
      <c r="K242" s="12" t="s">
        <v>40</v>
      </c>
      <c r="L242" s="12">
        <v>20</v>
      </c>
      <c r="M242" s="12" t="s">
        <v>44</v>
      </c>
      <c r="N242" s="12">
        <v>55</v>
      </c>
    </row>
    <row r="243" spans="1:15">
      <c r="A243" s="12">
        <f t="shared" si="27"/>
        <v>242</v>
      </c>
      <c r="B243" s="12" t="s">
        <v>6</v>
      </c>
      <c r="C243" s="12" t="s">
        <v>112</v>
      </c>
      <c r="D243" s="12" t="s">
        <v>171</v>
      </c>
      <c r="E243" s="89">
        <f t="shared" ca="1" si="28"/>
        <v>40951</v>
      </c>
      <c r="F243" s="11">
        <f>DATE(74,2,25)</f>
        <v>27085</v>
      </c>
      <c r="G243" s="12">
        <f t="shared" ca="1" si="24"/>
        <v>38</v>
      </c>
      <c r="H243" s="12">
        <f t="shared" ca="1" si="25"/>
        <v>0</v>
      </c>
      <c r="I243" s="13">
        <f t="shared" ca="1" si="26"/>
        <v>-13</v>
      </c>
      <c r="J243" s="14">
        <f t="shared" ca="1" si="23"/>
        <v>37</v>
      </c>
      <c r="K243" s="12" t="s">
        <v>40</v>
      </c>
      <c r="L243" s="12">
        <v>20</v>
      </c>
      <c r="M243" s="12" t="s">
        <v>40</v>
      </c>
      <c r="N243" s="12">
        <v>55</v>
      </c>
    </row>
    <row r="244" spans="1:15">
      <c r="A244" s="12">
        <f t="shared" si="27"/>
        <v>243</v>
      </c>
      <c r="B244" s="12" t="s">
        <v>6</v>
      </c>
      <c r="C244" s="12" t="s">
        <v>178</v>
      </c>
      <c r="D244" s="12" t="s">
        <v>112</v>
      </c>
      <c r="E244" s="89">
        <f t="shared" ca="1" si="28"/>
        <v>40951</v>
      </c>
      <c r="F244" s="11">
        <f>DATE(76,10,28)</f>
        <v>28061</v>
      </c>
      <c r="G244" s="12">
        <f t="shared" ca="1" si="24"/>
        <v>36</v>
      </c>
      <c r="H244" s="12">
        <f t="shared" ca="1" si="25"/>
        <v>-8</v>
      </c>
      <c r="I244" s="13">
        <f t="shared" ca="1" si="26"/>
        <v>-16</v>
      </c>
      <c r="J244" s="14">
        <f t="shared" ca="1" si="23"/>
        <v>35</v>
      </c>
      <c r="K244" s="12" t="s">
        <v>41</v>
      </c>
      <c r="L244" s="12">
        <v>20</v>
      </c>
      <c r="M244" s="12" t="s">
        <v>40</v>
      </c>
      <c r="N244" s="12">
        <v>55</v>
      </c>
    </row>
    <row r="245" spans="1:15">
      <c r="A245" s="12">
        <f t="shared" si="27"/>
        <v>244</v>
      </c>
      <c r="B245" s="12" t="s">
        <v>6</v>
      </c>
      <c r="C245" s="12" t="s">
        <v>179</v>
      </c>
      <c r="D245" s="12" t="s">
        <v>112</v>
      </c>
      <c r="E245" s="89">
        <f t="shared" ca="1" si="28"/>
        <v>40951</v>
      </c>
      <c r="F245" s="11">
        <f>DATE(2000,1,23)</f>
        <v>36548</v>
      </c>
      <c r="G245" s="12">
        <f t="shared" ca="1" si="24"/>
        <v>12</v>
      </c>
      <c r="H245" s="12">
        <f t="shared" ca="1" si="25"/>
        <v>1</v>
      </c>
      <c r="I245" s="13">
        <f t="shared" ca="1" si="26"/>
        <v>-11</v>
      </c>
      <c r="J245" s="14">
        <f t="shared" ca="1" si="23"/>
        <v>12</v>
      </c>
      <c r="K245" s="12" t="s">
        <v>40</v>
      </c>
      <c r="L245" s="12">
        <v>20</v>
      </c>
      <c r="M245" s="12" t="s">
        <v>44</v>
      </c>
      <c r="N245" s="12">
        <v>55</v>
      </c>
    </row>
    <row r="246" spans="1:15">
      <c r="A246" s="12">
        <f t="shared" si="27"/>
        <v>245</v>
      </c>
      <c r="B246" s="12" t="s">
        <v>6</v>
      </c>
      <c r="C246" s="12" t="s">
        <v>180</v>
      </c>
      <c r="D246" s="12" t="s">
        <v>112</v>
      </c>
      <c r="E246" s="89">
        <f t="shared" ca="1" si="28"/>
        <v>40951</v>
      </c>
      <c r="F246" s="11">
        <f>DATE(2004,7,15)</f>
        <v>38183</v>
      </c>
      <c r="G246" s="12">
        <f t="shared" ca="1" si="24"/>
        <v>8</v>
      </c>
      <c r="H246" s="12">
        <f t="shared" ca="1" si="25"/>
        <v>-5</v>
      </c>
      <c r="I246" s="13">
        <f t="shared" ca="1" si="26"/>
        <v>-3</v>
      </c>
      <c r="J246" s="14">
        <f t="shared" ca="1" si="23"/>
        <v>7</v>
      </c>
      <c r="K246" s="12" t="s">
        <v>41</v>
      </c>
      <c r="L246" s="12">
        <v>20</v>
      </c>
      <c r="M246" s="12" t="s">
        <v>44</v>
      </c>
      <c r="N246" s="12">
        <v>55</v>
      </c>
    </row>
    <row r="247" spans="1:15">
      <c r="A247" s="12">
        <f t="shared" si="27"/>
        <v>246</v>
      </c>
      <c r="B247" s="12" t="s">
        <v>6</v>
      </c>
      <c r="C247" s="12" t="s">
        <v>181</v>
      </c>
      <c r="D247" s="12" t="s">
        <v>90</v>
      </c>
      <c r="E247" s="89">
        <f t="shared" ca="1" si="28"/>
        <v>40951</v>
      </c>
      <c r="F247" s="11">
        <f>DATE(61,8,23)</f>
        <v>22516</v>
      </c>
      <c r="G247" s="12">
        <f t="shared" ca="1" si="24"/>
        <v>51</v>
      </c>
      <c r="H247" s="12">
        <f t="shared" ca="1" si="25"/>
        <v>-6</v>
      </c>
      <c r="I247" s="13">
        <f t="shared" ca="1" si="26"/>
        <v>-11</v>
      </c>
      <c r="J247" s="14">
        <f t="shared" ca="1" si="23"/>
        <v>50</v>
      </c>
      <c r="K247" s="12" t="s">
        <v>40</v>
      </c>
      <c r="L247" s="12">
        <v>21</v>
      </c>
      <c r="M247" s="12" t="s">
        <v>40</v>
      </c>
      <c r="N247" s="12">
        <v>56</v>
      </c>
      <c r="O247" s="90" t="s">
        <v>2748</v>
      </c>
    </row>
    <row r="248" spans="1:15">
      <c r="A248" s="12">
        <f t="shared" si="27"/>
        <v>247</v>
      </c>
      <c r="B248" s="12" t="s">
        <v>6</v>
      </c>
      <c r="C248" s="12" t="s">
        <v>182</v>
      </c>
      <c r="D248" s="12" t="s">
        <v>181</v>
      </c>
      <c r="E248" s="89">
        <f t="shared" ca="1" si="28"/>
        <v>40951</v>
      </c>
      <c r="F248" s="11">
        <f>DATE(66,3,23)</f>
        <v>24189</v>
      </c>
      <c r="G248" s="12">
        <f t="shared" ca="1" si="24"/>
        <v>46</v>
      </c>
      <c r="H248" s="12">
        <f t="shared" ca="1" si="25"/>
        <v>-1</v>
      </c>
      <c r="I248" s="13">
        <f t="shared" ca="1" si="26"/>
        <v>-11</v>
      </c>
      <c r="J248" s="14">
        <f t="shared" ca="1" si="23"/>
        <v>45</v>
      </c>
      <c r="K248" s="12" t="s">
        <v>41</v>
      </c>
      <c r="L248" s="12">
        <v>21</v>
      </c>
      <c r="M248" s="12" t="s">
        <v>40</v>
      </c>
      <c r="N248" s="12">
        <v>56</v>
      </c>
    </row>
    <row r="249" spans="1:15">
      <c r="A249" s="12">
        <f t="shared" si="27"/>
        <v>248</v>
      </c>
      <c r="B249" s="12" t="s">
        <v>6</v>
      </c>
      <c r="C249" s="12" t="s">
        <v>183</v>
      </c>
      <c r="D249" s="12" t="s">
        <v>181</v>
      </c>
      <c r="E249" s="89">
        <f t="shared" ca="1" si="28"/>
        <v>40951</v>
      </c>
      <c r="F249" s="11">
        <f>DATE(87,4,9)</f>
        <v>31876</v>
      </c>
      <c r="G249" s="12">
        <f t="shared" ca="1" si="24"/>
        <v>25</v>
      </c>
      <c r="H249" s="12">
        <f t="shared" ca="1" si="25"/>
        <v>-2</v>
      </c>
      <c r="I249" s="13">
        <f t="shared" ca="1" si="26"/>
        <v>3</v>
      </c>
      <c r="J249" s="14">
        <f t="shared" ca="1" si="23"/>
        <v>24</v>
      </c>
      <c r="K249" s="12" t="s">
        <v>40</v>
      </c>
      <c r="L249" s="12">
        <v>21</v>
      </c>
      <c r="M249" s="12" t="s">
        <v>44</v>
      </c>
      <c r="N249" s="12">
        <v>56</v>
      </c>
    </row>
    <row r="250" spans="1:15">
      <c r="A250" s="12">
        <f t="shared" si="27"/>
        <v>249</v>
      </c>
      <c r="B250" s="12" t="s">
        <v>6</v>
      </c>
      <c r="C250" s="12" t="s">
        <v>63</v>
      </c>
      <c r="D250" s="12" t="s">
        <v>181</v>
      </c>
      <c r="E250" s="89">
        <f t="shared" ca="1" si="28"/>
        <v>40951</v>
      </c>
      <c r="F250" s="11">
        <f>DATE(88,10,15)</f>
        <v>32431</v>
      </c>
      <c r="G250" s="12">
        <f t="shared" ca="1" si="24"/>
        <v>24</v>
      </c>
      <c r="H250" s="12">
        <f t="shared" ca="1" si="25"/>
        <v>-8</v>
      </c>
      <c r="I250" s="13">
        <f t="shared" ca="1" si="26"/>
        <v>-3</v>
      </c>
      <c r="J250" s="14">
        <f t="shared" ca="1" si="23"/>
        <v>23</v>
      </c>
      <c r="K250" s="12" t="s">
        <v>40</v>
      </c>
      <c r="L250" s="12">
        <v>21</v>
      </c>
      <c r="M250" s="12" t="s">
        <v>44</v>
      </c>
      <c r="N250" s="12">
        <v>56</v>
      </c>
    </row>
    <row r="251" spans="1:15">
      <c r="A251" s="12">
        <f t="shared" si="27"/>
        <v>250</v>
      </c>
      <c r="B251" s="12" t="s">
        <v>6</v>
      </c>
      <c r="C251" s="12" t="s">
        <v>184</v>
      </c>
      <c r="D251" s="12" t="s">
        <v>185</v>
      </c>
      <c r="E251" s="89">
        <f t="shared" ca="1" si="28"/>
        <v>40951</v>
      </c>
      <c r="F251" s="11">
        <f>DATE(62,8,18)</f>
        <v>22876</v>
      </c>
      <c r="G251" s="12">
        <f t="shared" ca="1" si="24"/>
        <v>50</v>
      </c>
      <c r="H251" s="12">
        <f t="shared" ca="1" si="25"/>
        <v>-6</v>
      </c>
      <c r="I251" s="13">
        <f t="shared" ca="1" si="26"/>
        <v>-6</v>
      </c>
      <c r="J251" s="14">
        <f t="shared" ca="1" si="23"/>
        <v>49</v>
      </c>
      <c r="K251" s="12" t="s">
        <v>40</v>
      </c>
      <c r="L251" s="12">
        <v>21</v>
      </c>
      <c r="M251" s="12" t="s">
        <v>40</v>
      </c>
      <c r="N251" s="12">
        <v>57</v>
      </c>
      <c r="O251" s="90" t="s">
        <v>2748</v>
      </c>
    </row>
    <row r="252" spans="1:15">
      <c r="A252" s="12">
        <f t="shared" si="27"/>
        <v>251</v>
      </c>
      <c r="B252" s="12" t="s">
        <v>6</v>
      </c>
      <c r="C252" s="12" t="s">
        <v>186</v>
      </c>
      <c r="D252" s="12" t="s">
        <v>184</v>
      </c>
      <c r="E252" s="89">
        <f t="shared" ca="1" si="28"/>
        <v>40951</v>
      </c>
      <c r="F252" s="11">
        <f>DATE(66,8,8)</f>
        <v>24327</v>
      </c>
      <c r="G252" s="12">
        <f t="shared" ca="1" si="24"/>
        <v>46</v>
      </c>
      <c r="H252" s="12">
        <f t="shared" ca="1" si="25"/>
        <v>-6</v>
      </c>
      <c r="I252" s="13">
        <f t="shared" ca="1" si="26"/>
        <v>4</v>
      </c>
      <c r="J252" s="14">
        <f t="shared" ca="1" si="23"/>
        <v>45</v>
      </c>
      <c r="K252" s="12" t="s">
        <v>41</v>
      </c>
      <c r="L252" s="12">
        <v>21</v>
      </c>
      <c r="M252" s="12" t="s">
        <v>40</v>
      </c>
      <c r="N252" s="12">
        <v>57</v>
      </c>
    </row>
    <row r="253" spans="1:15">
      <c r="A253" s="12">
        <f t="shared" si="27"/>
        <v>252</v>
      </c>
      <c r="B253" s="12" t="s">
        <v>6</v>
      </c>
      <c r="C253" s="12" t="s">
        <v>145</v>
      </c>
      <c r="D253" s="12" t="s">
        <v>184</v>
      </c>
      <c r="E253" s="89">
        <f t="shared" ca="1" si="28"/>
        <v>40951</v>
      </c>
      <c r="F253" s="11">
        <f>DATE(91,2,3)</f>
        <v>33272</v>
      </c>
      <c r="G253" s="12">
        <f t="shared" ca="1" si="24"/>
        <v>21</v>
      </c>
      <c r="H253" s="12">
        <f t="shared" ca="1" si="25"/>
        <v>0</v>
      </c>
      <c r="I253" s="13">
        <f t="shared" ca="1" si="26"/>
        <v>9</v>
      </c>
      <c r="J253" s="14">
        <f t="shared" ca="1" si="23"/>
        <v>21</v>
      </c>
      <c r="K253" s="12" t="s">
        <v>41</v>
      </c>
      <c r="L253" s="12">
        <v>21</v>
      </c>
      <c r="M253" s="12" t="s">
        <v>44</v>
      </c>
      <c r="N253" s="12">
        <v>57</v>
      </c>
    </row>
    <row r="254" spans="1:15">
      <c r="A254" s="12">
        <f t="shared" si="27"/>
        <v>253</v>
      </c>
      <c r="B254" s="12" t="s">
        <v>6</v>
      </c>
      <c r="C254" s="12" t="s">
        <v>187</v>
      </c>
      <c r="D254" s="12" t="s">
        <v>184</v>
      </c>
      <c r="E254" s="89">
        <f t="shared" ca="1" si="28"/>
        <v>40951</v>
      </c>
      <c r="F254" s="11">
        <f>DATE(93,12,10)</f>
        <v>34313</v>
      </c>
      <c r="G254" s="12">
        <f t="shared" ca="1" si="24"/>
        <v>19</v>
      </c>
      <c r="H254" s="12">
        <f t="shared" ca="1" si="25"/>
        <v>-10</v>
      </c>
      <c r="I254" s="13">
        <f t="shared" ca="1" si="26"/>
        <v>2</v>
      </c>
      <c r="J254" s="14">
        <f t="shared" ca="1" si="23"/>
        <v>18</v>
      </c>
      <c r="K254" s="12" t="s">
        <v>41</v>
      </c>
      <c r="L254" s="12">
        <v>21</v>
      </c>
      <c r="M254" s="12" t="s">
        <v>44</v>
      </c>
      <c r="N254" s="12">
        <v>57</v>
      </c>
    </row>
    <row r="255" spans="1:15">
      <c r="A255" s="12">
        <f t="shared" si="27"/>
        <v>254</v>
      </c>
      <c r="B255" s="12" t="s">
        <v>6</v>
      </c>
      <c r="C255" s="12" t="s">
        <v>188</v>
      </c>
      <c r="D255" s="12" t="s">
        <v>189</v>
      </c>
      <c r="E255" s="89">
        <f t="shared" ca="1" si="28"/>
        <v>40951</v>
      </c>
      <c r="F255" s="11">
        <f>DATE(34,3,2)</f>
        <v>12480</v>
      </c>
      <c r="G255" s="12">
        <f t="shared" ca="1" si="24"/>
        <v>78</v>
      </c>
      <c r="H255" s="12">
        <f t="shared" ca="1" si="25"/>
        <v>-1</v>
      </c>
      <c r="I255" s="13">
        <f t="shared" ca="1" si="26"/>
        <v>10</v>
      </c>
      <c r="J255" s="14">
        <f t="shared" ca="1" si="23"/>
        <v>77</v>
      </c>
      <c r="K255" s="12" t="s">
        <v>41</v>
      </c>
      <c r="L255" s="12">
        <v>21</v>
      </c>
      <c r="M255" s="12" t="s">
        <v>40</v>
      </c>
      <c r="N255" s="12">
        <v>58</v>
      </c>
      <c r="O255" s="90" t="s">
        <v>2748</v>
      </c>
    </row>
    <row r="256" spans="1:15">
      <c r="A256" s="12">
        <f t="shared" si="27"/>
        <v>255</v>
      </c>
      <c r="B256" s="12" t="s">
        <v>6</v>
      </c>
      <c r="C256" s="12" t="s">
        <v>190</v>
      </c>
      <c r="D256" s="12" t="s">
        <v>184</v>
      </c>
      <c r="E256" s="89">
        <f t="shared" ca="1" si="28"/>
        <v>40951</v>
      </c>
      <c r="F256" s="11">
        <f>DATE(56,10,30)</f>
        <v>20758</v>
      </c>
      <c r="G256" s="12">
        <f t="shared" ca="1" si="24"/>
        <v>56</v>
      </c>
      <c r="H256" s="12">
        <f t="shared" ca="1" si="25"/>
        <v>-8</v>
      </c>
      <c r="I256" s="13">
        <f t="shared" ca="1" si="26"/>
        <v>-18</v>
      </c>
      <c r="J256" s="14">
        <f t="shared" ca="1" si="23"/>
        <v>55</v>
      </c>
      <c r="K256" s="12" t="s">
        <v>41</v>
      </c>
      <c r="L256" s="12">
        <v>21</v>
      </c>
      <c r="M256" s="12" t="s">
        <v>40</v>
      </c>
      <c r="N256" s="12">
        <v>58</v>
      </c>
    </row>
    <row r="257" spans="1:15">
      <c r="A257" s="12">
        <f t="shared" si="27"/>
        <v>256</v>
      </c>
      <c r="B257" s="12" t="s">
        <v>6</v>
      </c>
      <c r="C257" s="12" t="s">
        <v>191</v>
      </c>
      <c r="D257" s="12" t="s">
        <v>184</v>
      </c>
      <c r="E257" s="89">
        <f t="shared" ca="1" si="28"/>
        <v>40951</v>
      </c>
      <c r="F257" s="11">
        <f>DATE(83,5,10)</f>
        <v>30446</v>
      </c>
      <c r="G257" s="12">
        <f t="shared" ca="1" si="24"/>
        <v>29</v>
      </c>
      <c r="H257" s="12">
        <f t="shared" ca="1" si="25"/>
        <v>-3</v>
      </c>
      <c r="I257" s="13">
        <f t="shared" ca="1" si="26"/>
        <v>2</v>
      </c>
      <c r="J257" s="14">
        <f t="shared" ca="1" si="23"/>
        <v>28</v>
      </c>
      <c r="K257" s="12" t="s">
        <v>40</v>
      </c>
      <c r="L257" s="12">
        <v>21</v>
      </c>
      <c r="M257" s="12" t="s">
        <v>44</v>
      </c>
      <c r="N257" s="12">
        <v>58</v>
      </c>
    </row>
    <row r="258" spans="1:15">
      <c r="A258" s="12">
        <f t="shared" si="27"/>
        <v>257</v>
      </c>
      <c r="B258" s="12" t="s">
        <v>6</v>
      </c>
      <c r="C258" s="12" t="s">
        <v>192</v>
      </c>
      <c r="D258" s="12" t="s">
        <v>184</v>
      </c>
      <c r="E258" s="89">
        <f t="shared" ca="1" si="28"/>
        <v>40951</v>
      </c>
      <c r="F258" s="11">
        <f>DATE(85,5,25)</f>
        <v>31192</v>
      </c>
      <c r="G258" s="12">
        <f t="shared" ca="1" si="24"/>
        <v>27</v>
      </c>
      <c r="H258" s="12">
        <f t="shared" ca="1" si="25"/>
        <v>-3</v>
      </c>
      <c r="I258" s="13">
        <f t="shared" ca="1" si="26"/>
        <v>-13</v>
      </c>
      <c r="J258" s="14">
        <f t="shared" ca="1" si="23"/>
        <v>26</v>
      </c>
      <c r="K258" s="12" t="s">
        <v>41</v>
      </c>
      <c r="L258" s="12">
        <v>21</v>
      </c>
      <c r="M258" s="12" t="s">
        <v>44</v>
      </c>
      <c r="N258" s="12">
        <v>58</v>
      </c>
    </row>
    <row r="259" spans="1:15">
      <c r="A259" s="12">
        <f t="shared" si="27"/>
        <v>258</v>
      </c>
      <c r="B259" s="12" t="s">
        <v>6</v>
      </c>
      <c r="C259" s="12" t="s">
        <v>193</v>
      </c>
      <c r="D259" s="12" t="s">
        <v>70</v>
      </c>
      <c r="E259" s="89">
        <f t="shared" ca="1" si="28"/>
        <v>40951</v>
      </c>
      <c r="F259" s="11">
        <f>DATE(61,11,23)</f>
        <v>22608</v>
      </c>
      <c r="G259" s="12">
        <f t="shared" ca="1" si="24"/>
        <v>51</v>
      </c>
      <c r="H259" s="12">
        <f t="shared" ca="1" si="25"/>
        <v>-9</v>
      </c>
      <c r="I259" s="13">
        <f t="shared" ca="1" si="26"/>
        <v>-11</v>
      </c>
      <c r="J259" s="14">
        <f t="shared" ref="J259:J322" ca="1" si="29">IF(H259&lt;0,G259-1,IF(H259&gt;0,G259,IF(I259&lt;0,G259-1,G259)))</f>
        <v>50</v>
      </c>
      <c r="K259" s="12" t="s">
        <v>40</v>
      </c>
      <c r="L259" s="12">
        <v>22</v>
      </c>
      <c r="M259" s="12" t="s">
        <v>40</v>
      </c>
      <c r="N259" s="12">
        <v>59</v>
      </c>
    </row>
    <row r="260" spans="1:15">
      <c r="A260" s="12">
        <f t="shared" si="27"/>
        <v>259</v>
      </c>
      <c r="B260" s="12" t="s">
        <v>6</v>
      </c>
      <c r="C260" s="12" t="s">
        <v>194</v>
      </c>
      <c r="D260" s="12" t="s">
        <v>193</v>
      </c>
      <c r="E260" s="89">
        <f t="shared" ca="1" si="28"/>
        <v>40951</v>
      </c>
      <c r="F260" s="11">
        <f>DATE(66,9,11)</f>
        <v>24361</v>
      </c>
      <c r="G260" s="12">
        <f t="shared" ca="1" si="24"/>
        <v>46</v>
      </c>
      <c r="H260" s="12">
        <f t="shared" ca="1" si="25"/>
        <v>-7</v>
      </c>
      <c r="I260" s="13">
        <f t="shared" ca="1" si="26"/>
        <v>1</v>
      </c>
      <c r="J260" s="14">
        <f t="shared" ca="1" si="29"/>
        <v>45</v>
      </c>
      <c r="K260" s="12" t="s">
        <v>41</v>
      </c>
      <c r="L260" s="12">
        <v>22</v>
      </c>
      <c r="M260" s="12" t="s">
        <v>40</v>
      </c>
      <c r="N260" s="12">
        <v>59</v>
      </c>
    </row>
    <row r="261" spans="1:15">
      <c r="A261" s="12">
        <f t="shared" si="27"/>
        <v>260</v>
      </c>
      <c r="B261" s="12" t="s">
        <v>6</v>
      </c>
      <c r="C261" s="12" t="s">
        <v>195</v>
      </c>
      <c r="D261" s="12" t="s">
        <v>193</v>
      </c>
      <c r="E261" s="89">
        <f t="shared" ca="1" si="28"/>
        <v>40951</v>
      </c>
      <c r="F261" s="11">
        <f>DATE(90,1,230)</f>
        <v>33103</v>
      </c>
      <c r="G261" s="12">
        <f t="shared" ca="1" si="24"/>
        <v>22</v>
      </c>
      <c r="H261" s="12">
        <f t="shared" ca="1" si="25"/>
        <v>-6</v>
      </c>
      <c r="I261" s="13">
        <f t="shared" ca="1" si="26"/>
        <v>-6</v>
      </c>
      <c r="J261" s="14">
        <f t="shared" ca="1" si="29"/>
        <v>21</v>
      </c>
      <c r="K261" s="12" t="s">
        <v>40</v>
      </c>
      <c r="L261" s="12">
        <v>22</v>
      </c>
      <c r="M261" s="12" t="s">
        <v>44</v>
      </c>
      <c r="N261" s="12">
        <v>59</v>
      </c>
    </row>
    <row r="262" spans="1:15">
      <c r="A262" s="12">
        <f t="shared" si="27"/>
        <v>261</v>
      </c>
      <c r="B262" s="12" t="s">
        <v>6</v>
      </c>
      <c r="C262" s="12" t="s">
        <v>196</v>
      </c>
      <c r="D262" s="12" t="s">
        <v>70</v>
      </c>
      <c r="E262" s="89">
        <f t="shared" ca="1" si="28"/>
        <v>40951</v>
      </c>
      <c r="F262" s="11">
        <f>DATE(18,3,23)</f>
        <v>6657</v>
      </c>
      <c r="G262" s="12">
        <f t="shared" ca="1" si="24"/>
        <v>94</v>
      </c>
      <c r="H262" s="12">
        <f t="shared" ca="1" si="25"/>
        <v>-1</v>
      </c>
      <c r="I262" s="13">
        <f t="shared" ca="1" si="26"/>
        <v>-11</v>
      </c>
      <c r="J262" s="14">
        <f t="shared" ca="1" si="29"/>
        <v>93</v>
      </c>
      <c r="K262" s="12" t="s">
        <v>41</v>
      </c>
      <c r="L262" s="12">
        <v>22</v>
      </c>
      <c r="M262" s="12" t="s">
        <v>40</v>
      </c>
      <c r="N262" s="12">
        <v>59</v>
      </c>
    </row>
    <row r="263" spans="1:15">
      <c r="A263" s="12">
        <f t="shared" si="27"/>
        <v>262</v>
      </c>
      <c r="B263" s="12" t="s">
        <v>6</v>
      </c>
      <c r="C263" s="12" t="s">
        <v>197</v>
      </c>
      <c r="D263" s="12" t="s">
        <v>198</v>
      </c>
      <c r="E263" s="89">
        <f t="shared" ca="1" si="28"/>
        <v>40951</v>
      </c>
      <c r="F263" s="32"/>
      <c r="G263" s="12">
        <f t="shared" ca="1" si="24"/>
        <v>112</v>
      </c>
      <c r="H263" s="12">
        <f t="shared" ca="1" si="25"/>
        <v>1</v>
      </c>
      <c r="I263" s="13">
        <f t="shared" ca="1" si="26"/>
        <v>12</v>
      </c>
      <c r="J263" s="14">
        <f t="shared" ca="1" si="29"/>
        <v>112</v>
      </c>
      <c r="K263" s="12" t="s">
        <v>41</v>
      </c>
      <c r="L263" s="12">
        <v>22</v>
      </c>
      <c r="M263" s="12" t="s">
        <v>45</v>
      </c>
      <c r="N263" s="12">
        <v>60</v>
      </c>
      <c r="O263" s="90" t="s">
        <v>2748</v>
      </c>
    </row>
    <row r="264" spans="1:15">
      <c r="A264" s="12">
        <f t="shared" si="27"/>
        <v>263</v>
      </c>
      <c r="B264" s="12" t="s">
        <v>6</v>
      </c>
      <c r="C264" s="12" t="s">
        <v>199</v>
      </c>
      <c r="D264" s="12" t="s">
        <v>198</v>
      </c>
      <c r="E264" s="89">
        <f t="shared" ca="1" si="28"/>
        <v>40951</v>
      </c>
      <c r="F264" s="32"/>
      <c r="G264" s="12">
        <f t="shared" ca="1" si="24"/>
        <v>112</v>
      </c>
      <c r="H264" s="12">
        <f t="shared" ca="1" si="25"/>
        <v>1</v>
      </c>
      <c r="I264" s="13">
        <f t="shared" ca="1" si="26"/>
        <v>12</v>
      </c>
      <c r="J264" s="14">
        <f t="shared" ca="1" si="29"/>
        <v>112</v>
      </c>
      <c r="K264" s="12" t="s">
        <v>40</v>
      </c>
      <c r="L264" s="12">
        <v>22</v>
      </c>
      <c r="M264" s="12" t="s">
        <v>40</v>
      </c>
      <c r="N264" s="12">
        <v>60</v>
      </c>
    </row>
    <row r="265" spans="1:15">
      <c r="A265" s="12">
        <f t="shared" si="27"/>
        <v>264</v>
      </c>
      <c r="B265" s="12" t="s">
        <v>6</v>
      </c>
      <c r="C265" s="12" t="s">
        <v>200</v>
      </c>
      <c r="D265" s="12" t="s">
        <v>199</v>
      </c>
      <c r="E265" s="89">
        <f t="shared" ca="1" si="28"/>
        <v>40951</v>
      </c>
      <c r="F265" s="32"/>
      <c r="G265" s="12">
        <f t="shared" ca="1" si="24"/>
        <v>112</v>
      </c>
      <c r="H265" s="12">
        <f t="shared" ca="1" si="25"/>
        <v>1</v>
      </c>
      <c r="I265" s="13">
        <f t="shared" ca="1" si="26"/>
        <v>12</v>
      </c>
      <c r="J265" s="14">
        <f t="shared" ca="1" si="29"/>
        <v>112</v>
      </c>
      <c r="K265" s="12" t="s">
        <v>41</v>
      </c>
      <c r="L265" s="12">
        <v>22</v>
      </c>
      <c r="M265" s="12" t="s">
        <v>40</v>
      </c>
      <c r="N265" s="12">
        <v>60</v>
      </c>
    </row>
    <row r="266" spans="1:15">
      <c r="A266" s="12">
        <f t="shared" si="27"/>
        <v>265</v>
      </c>
      <c r="B266" s="12" t="s">
        <v>6</v>
      </c>
      <c r="C266" s="12" t="s">
        <v>201</v>
      </c>
      <c r="D266" s="12" t="s">
        <v>199</v>
      </c>
      <c r="E266" s="89">
        <f t="shared" ca="1" si="28"/>
        <v>40951</v>
      </c>
      <c r="F266" s="11">
        <f>DATE(74,12,29)</f>
        <v>27392</v>
      </c>
      <c r="G266" s="12">
        <f t="shared" ca="1" si="24"/>
        <v>38</v>
      </c>
      <c r="H266" s="12">
        <f t="shared" ca="1" si="25"/>
        <v>-10</v>
      </c>
      <c r="I266" s="13">
        <f t="shared" ca="1" si="26"/>
        <v>-17</v>
      </c>
      <c r="J266" s="14">
        <f t="shared" ca="1" si="29"/>
        <v>37</v>
      </c>
      <c r="K266" s="12" t="s">
        <v>40</v>
      </c>
      <c r="L266" s="12">
        <v>22</v>
      </c>
      <c r="M266" s="12" t="s">
        <v>40</v>
      </c>
      <c r="N266" s="12">
        <v>60</v>
      </c>
    </row>
    <row r="267" spans="1:15">
      <c r="A267" s="12">
        <f t="shared" si="27"/>
        <v>266</v>
      </c>
      <c r="B267" s="12" t="s">
        <v>6</v>
      </c>
      <c r="C267" s="12" t="s">
        <v>202</v>
      </c>
      <c r="D267" s="12" t="s">
        <v>199</v>
      </c>
      <c r="E267" s="89">
        <f t="shared" ca="1" si="28"/>
        <v>40951</v>
      </c>
      <c r="F267" s="32"/>
      <c r="G267" s="12">
        <f t="shared" ca="1" si="24"/>
        <v>112</v>
      </c>
      <c r="H267" s="12">
        <f t="shared" ca="1" si="25"/>
        <v>1</v>
      </c>
      <c r="I267" s="13">
        <f t="shared" ca="1" si="26"/>
        <v>12</v>
      </c>
      <c r="J267" s="14">
        <f t="shared" ca="1" si="29"/>
        <v>112</v>
      </c>
      <c r="K267" s="12" t="s">
        <v>41</v>
      </c>
      <c r="L267" s="12">
        <v>22</v>
      </c>
      <c r="M267" s="12" t="s">
        <v>44</v>
      </c>
      <c r="N267" s="12">
        <v>60</v>
      </c>
    </row>
    <row r="268" spans="1:15">
      <c r="A268" s="12">
        <f t="shared" si="27"/>
        <v>267</v>
      </c>
      <c r="B268" s="12" t="s">
        <v>6</v>
      </c>
      <c r="C268" s="12" t="s">
        <v>167</v>
      </c>
      <c r="D268" s="12" t="s">
        <v>201</v>
      </c>
      <c r="E268" s="89">
        <f t="shared" ca="1" si="28"/>
        <v>40951</v>
      </c>
      <c r="F268" s="32"/>
      <c r="G268" s="12">
        <f t="shared" ca="1" si="24"/>
        <v>112</v>
      </c>
      <c r="H268" s="12">
        <f t="shared" ca="1" si="25"/>
        <v>1</v>
      </c>
      <c r="I268" s="13">
        <f t="shared" ca="1" si="26"/>
        <v>12</v>
      </c>
      <c r="J268" s="14">
        <f t="shared" ca="1" si="29"/>
        <v>112</v>
      </c>
      <c r="K268" s="12" t="s">
        <v>41</v>
      </c>
      <c r="L268" s="12">
        <v>22</v>
      </c>
      <c r="M268" s="12" t="s">
        <v>44</v>
      </c>
      <c r="N268" s="12">
        <v>60</v>
      </c>
    </row>
    <row r="269" spans="1:15">
      <c r="A269" s="12">
        <f t="shared" si="27"/>
        <v>268</v>
      </c>
      <c r="B269" s="12" t="s">
        <v>6</v>
      </c>
      <c r="C269" s="12" t="s">
        <v>203</v>
      </c>
      <c r="D269" s="12" t="s">
        <v>201</v>
      </c>
      <c r="E269" s="89">
        <f t="shared" ca="1" si="28"/>
        <v>40951</v>
      </c>
      <c r="F269" s="11">
        <f>DATE(2004,1,24)</f>
        <v>38010</v>
      </c>
      <c r="G269" s="12">
        <f t="shared" ca="1" si="24"/>
        <v>8</v>
      </c>
      <c r="H269" s="12">
        <f t="shared" ca="1" si="25"/>
        <v>1</v>
      </c>
      <c r="I269" s="13">
        <f t="shared" ca="1" si="26"/>
        <v>-12</v>
      </c>
      <c r="J269" s="14">
        <f t="shared" ca="1" si="29"/>
        <v>8</v>
      </c>
      <c r="K269" s="12" t="s">
        <v>40</v>
      </c>
      <c r="L269" s="12">
        <v>22</v>
      </c>
      <c r="M269" s="12" t="s">
        <v>44</v>
      </c>
      <c r="N269" s="12">
        <v>60</v>
      </c>
    </row>
    <row r="270" spans="1:15">
      <c r="A270" s="12">
        <f t="shared" si="27"/>
        <v>269</v>
      </c>
      <c r="B270" s="12" t="s">
        <v>6</v>
      </c>
      <c r="C270" s="12" t="s">
        <v>204</v>
      </c>
      <c r="D270" s="12" t="s">
        <v>205</v>
      </c>
      <c r="E270" s="89">
        <f t="shared" ca="1" si="28"/>
        <v>40951</v>
      </c>
      <c r="F270" s="11">
        <f>DATE(63,6,22)</f>
        <v>23184</v>
      </c>
      <c r="G270" s="12">
        <f t="shared" ca="1" si="24"/>
        <v>49</v>
      </c>
      <c r="H270" s="12">
        <f t="shared" ca="1" si="25"/>
        <v>-4</v>
      </c>
      <c r="I270" s="13">
        <f t="shared" ca="1" si="26"/>
        <v>-10</v>
      </c>
      <c r="J270" s="14">
        <f t="shared" ca="1" si="29"/>
        <v>48</v>
      </c>
      <c r="K270" s="12" t="s">
        <v>40</v>
      </c>
      <c r="L270" s="12">
        <v>22</v>
      </c>
      <c r="M270" s="12" t="s">
        <v>40</v>
      </c>
      <c r="N270" s="12">
        <v>61</v>
      </c>
      <c r="O270" s="90" t="s">
        <v>2748</v>
      </c>
    </row>
    <row r="271" spans="1:15">
      <c r="A271" s="12">
        <f t="shared" si="27"/>
        <v>270</v>
      </c>
      <c r="B271" s="12" t="s">
        <v>6</v>
      </c>
      <c r="C271" s="12" t="s">
        <v>124</v>
      </c>
      <c r="D271" s="12" t="s">
        <v>204</v>
      </c>
      <c r="E271" s="89">
        <f t="shared" ca="1" si="28"/>
        <v>40951</v>
      </c>
      <c r="F271" s="11">
        <f>DATE(68,7,12)</f>
        <v>25031</v>
      </c>
      <c r="G271" s="12">
        <f t="shared" ca="1" si="24"/>
        <v>44</v>
      </c>
      <c r="H271" s="12">
        <f t="shared" ca="1" si="25"/>
        <v>-5</v>
      </c>
      <c r="I271" s="13">
        <f t="shared" ca="1" si="26"/>
        <v>0</v>
      </c>
      <c r="J271" s="14">
        <f t="shared" ca="1" si="29"/>
        <v>43</v>
      </c>
      <c r="K271" s="12" t="s">
        <v>41</v>
      </c>
      <c r="L271" s="12">
        <v>22</v>
      </c>
      <c r="M271" s="12" t="s">
        <v>40</v>
      </c>
      <c r="N271" s="12">
        <v>61</v>
      </c>
    </row>
    <row r="272" spans="1:15">
      <c r="A272" s="12">
        <f t="shared" si="27"/>
        <v>271</v>
      </c>
      <c r="B272" s="12" t="s">
        <v>6</v>
      </c>
      <c r="C272" s="12" t="s">
        <v>206</v>
      </c>
      <c r="D272" s="12" t="s">
        <v>204</v>
      </c>
      <c r="E272" s="89">
        <f t="shared" ca="1" si="28"/>
        <v>40951</v>
      </c>
      <c r="F272" s="11">
        <f>DATE(92,11,12)</f>
        <v>33920</v>
      </c>
      <c r="G272" s="12">
        <f t="shared" ca="1" si="24"/>
        <v>20</v>
      </c>
      <c r="H272" s="12">
        <f t="shared" ca="1" si="25"/>
        <v>-9</v>
      </c>
      <c r="I272" s="13">
        <f t="shared" ca="1" si="26"/>
        <v>0</v>
      </c>
      <c r="J272" s="14">
        <f t="shared" ca="1" si="29"/>
        <v>19</v>
      </c>
      <c r="K272" s="12" t="s">
        <v>41</v>
      </c>
      <c r="L272" s="12">
        <v>22</v>
      </c>
      <c r="M272" s="12" t="s">
        <v>44</v>
      </c>
      <c r="N272" s="12">
        <v>61</v>
      </c>
    </row>
    <row r="273" spans="1:15">
      <c r="A273" s="12">
        <f t="shared" si="27"/>
        <v>272</v>
      </c>
      <c r="B273" s="12" t="s">
        <v>6</v>
      </c>
      <c r="C273" s="12" t="s">
        <v>207</v>
      </c>
      <c r="D273" s="12" t="s">
        <v>204</v>
      </c>
      <c r="E273" s="89">
        <f t="shared" ca="1" si="28"/>
        <v>40951</v>
      </c>
      <c r="F273" s="11">
        <f>DATE(97,11,12)</f>
        <v>35746</v>
      </c>
      <c r="G273" s="12">
        <f t="shared" ca="1" si="24"/>
        <v>15</v>
      </c>
      <c r="H273" s="12">
        <f t="shared" ca="1" si="25"/>
        <v>-9</v>
      </c>
      <c r="I273" s="13">
        <f t="shared" ca="1" si="26"/>
        <v>0</v>
      </c>
      <c r="J273" s="14">
        <f t="shared" ca="1" si="29"/>
        <v>14</v>
      </c>
      <c r="K273" s="12" t="s">
        <v>40</v>
      </c>
      <c r="L273" s="12">
        <v>22</v>
      </c>
      <c r="M273" s="12" t="s">
        <v>44</v>
      </c>
      <c r="N273" s="12">
        <v>61</v>
      </c>
    </row>
    <row r="274" spans="1:15">
      <c r="A274" s="12">
        <f t="shared" si="27"/>
        <v>273</v>
      </c>
      <c r="B274" s="12" t="s">
        <v>6</v>
      </c>
      <c r="C274" s="12" t="s">
        <v>208</v>
      </c>
      <c r="D274" s="12" t="s">
        <v>209</v>
      </c>
      <c r="E274" s="89">
        <f t="shared" ca="1" si="28"/>
        <v>40951</v>
      </c>
      <c r="F274" s="11">
        <f>DATE(53,5,11)</f>
        <v>19490</v>
      </c>
      <c r="G274" s="12">
        <f t="shared" ca="1" si="24"/>
        <v>59</v>
      </c>
      <c r="H274" s="12">
        <f t="shared" ca="1" si="25"/>
        <v>-3</v>
      </c>
      <c r="I274" s="13">
        <f t="shared" ca="1" si="26"/>
        <v>1</v>
      </c>
      <c r="J274" s="14">
        <f t="shared" ca="1" si="29"/>
        <v>58</v>
      </c>
      <c r="K274" s="12" t="s">
        <v>40</v>
      </c>
      <c r="L274" s="12">
        <v>23</v>
      </c>
      <c r="M274" s="12" t="s">
        <v>40</v>
      </c>
      <c r="N274" s="12">
        <v>62</v>
      </c>
    </row>
    <row r="275" spans="1:15">
      <c r="A275" s="12">
        <f t="shared" si="27"/>
        <v>274</v>
      </c>
      <c r="B275" s="12" t="s">
        <v>6</v>
      </c>
      <c r="C275" s="12" t="s">
        <v>210</v>
      </c>
      <c r="D275" s="12" t="s">
        <v>208</v>
      </c>
      <c r="E275" s="89">
        <f t="shared" ca="1" si="28"/>
        <v>40951</v>
      </c>
      <c r="F275" s="11">
        <f>DATE(58,3,18)</f>
        <v>21262</v>
      </c>
      <c r="G275" s="12">
        <f t="shared" ca="1" si="24"/>
        <v>54</v>
      </c>
      <c r="H275" s="12">
        <f t="shared" ca="1" si="25"/>
        <v>-1</v>
      </c>
      <c r="I275" s="13">
        <f t="shared" ca="1" si="26"/>
        <v>-6</v>
      </c>
      <c r="J275" s="14">
        <f t="shared" ca="1" si="29"/>
        <v>53</v>
      </c>
      <c r="K275" s="12" t="s">
        <v>41</v>
      </c>
      <c r="L275" s="12">
        <v>23</v>
      </c>
      <c r="M275" s="12" t="s">
        <v>40</v>
      </c>
      <c r="N275" s="12">
        <v>62</v>
      </c>
    </row>
    <row r="276" spans="1:15">
      <c r="A276" s="12">
        <f t="shared" si="27"/>
        <v>275</v>
      </c>
      <c r="B276" s="12" t="s">
        <v>6</v>
      </c>
      <c r="C276" s="12" t="s">
        <v>211</v>
      </c>
      <c r="D276" s="12" t="s">
        <v>208</v>
      </c>
      <c r="E276" s="89">
        <f t="shared" ca="1" si="28"/>
        <v>40951</v>
      </c>
      <c r="F276" s="11">
        <f>DATE(80,6,17)</f>
        <v>29389</v>
      </c>
      <c r="G276" s="12">
        <f t="shared" ca="1" si="24"/>
        <v>32</v>
      </c>
      <c r="H276" s="12">
        <f t="shared" ca="1" si="25"/>
        <v>-4</v>
      </c>
      <c r="I276" s="13">
        <f t="shared" ca="1" si="26"/>
        <v>-5</v>
      </c>
      <c r="J276" s="14">
        <f t="shared" ca="1" si="29"/>
        <v>31</v>
      </c>
      <c r="K276" s="12" t="s">
        <v>40</v>
      </c>
      <c r="L276" s="12">
        <v>23</v>
      </c>
      <c r="M276" s="12" t="s">
        <v>40</v>
      </c>
      <c r="N276" s="12">
        <v>62</v>
      </c>
    </row>
    <row r="277" spans="1:15">
      <c r="A277" s="12">
        <f t="shared" si="27"/>
        <v>276</v>
      </c>
      <c r="B277" s="12" t="s">
        <v>6</v>
      </c>
      <c r="C277" s="12" t="s">
        <v>212</v>
      </c>
      <c r="D277" s="12" t="s">
        <v>213</v>
      </c>
      <c r="E277" s="89">
        <f t="shared" ca="1" si="28"/>
        <v>40951</v>
      </c>
      <c r="F277" s="11">
        <f>DATE(81,5,22)</f>
        <v>29728</v>
      </c>
      <c r="G277" s="12">
        <f t="shared" ca="1" si="24"/>
        <v>31</v>
      </c>
      <c r="H277" s="12">
        <f t="shared" ca="1" si="25"/>
        <v>-3</v>
      </c>
      <c r="I277" s="13">
        <f t="shared" ca="1" si="26"/>
        <v>-10</v>
      </c>
      <c r="J277" s="14">
        <f t="shared" ca="1" si="29"/>
        <v>30</v>
      </c>
      <c r="K277" s="12" t="s">
        <v>41</v>
      </c>
      <c r="L277" s="12">
        <v>23</v>
      </c>
      <c r="M277" s="12" t="s">
        <v>40</v>
      </c>
      <c r="N277" s="12">
        <v>62</v>
      </c>
    </row>
    <row r="278" spans="1:15">
      <c r="A278" s="12">
        <f t="shared" si="27"/>
        <v>277</v>
      </c>
      <c r="B278" s="12" t="s">
        <v>6</v>
      </c>
      <c r="C278" s="12" t="s">
        <v>214</v>
      </c>
      <c r="D278" s="12" t="s">
        <v>208</v>
      </c>
      <c r="E278" s="89">
        <f t="shared" ca="1" si="28"/>
        <v>40951</v>
      </c>
      <c r="F278" s="11">
        <f>DATE(82,10,6)</f>
        <v>30230</v>
      </c>
      <c r="G278" s="12">
        <f t="shared" ca="1" si="24"/>
        <v>30</v>
      </c>
      <c r="H278" s="12">
        <f t="shared" ca="1" si="25"/>
        <v>-8</v>
      </c>
      <c r="I278" s="13">
        <f t="shared" ca="1" si="26"/>
        <v>6</v>
      </c>
      <c r="J278" s="14">
        <f t="shared" ca="1" si="29"/>
        <v>29</v>
      </c>
      <c r="K278" s="12" t="s">
        <v>40</v>
      </c>
      <c r="L278" s="12">
        <v>23</v>
      </c>
      <c r="M278" s="12" t="s">
        <v>44</v>
      </c>
      <c r="N278" s="12">
        <v>62</v>
      </c>
    </row>
    <row r="279" spans="1:15">
      <c r="A279" s="12">
        <f t="shared" si="27"/>
        <v>278</v>
      </c>
      <c r="B279" s="12" t="s">
        <v>6</v>
      </c>
      <c r="C279" s="12" t="s">
        <v>210</v>
      </c>
      <c r="D279" s="12" t="s">
        <v>215</v>
      </c>
      <c r="E279" s="89">
        <f t="shared" ca="1" si="28"/>
        <v>40951</v>
      </c>
      <c r="F279" s="11">
        <f>DATE(50,12,24)</f>
        <v>18621</v>
      </c>
      <c r="G279" s="12">
        <f t="shared" ca="1" si="24"/>
        <v>62</v>
      </c>
      <c r="H279" s="12">
        <f t="shared" ca="1" si="25"/>
        <v>-10</v>
      </c>
      <c r="I279" s="13">
        <f t="shared" ca="1" si="26"/>
        <v>-12</v>
      </c>
      <c r="J279" s="14">
        <f t="shared" ca="1" si="29"/>
        <v>61</v>
      </c>
      <c r="K279" s="12" t="s">
        <v>40</v>
      </c>
      <c r="L279" s="12">
        <v>23</v>
      </c>
      <c r="M279" s="12" t="s">
        <v>40</v>
      </c>
      <c r="N279" s="12">
        <v>63</v>
      </c>
      <c r="O279" s="90" t="s">
        <v>2748</v>
      </c>
    </row>
    <row r="280" spans="1:15">
      <c r="A280" s="12">
        <f t="shared" si="27"/>
        <v>279</v>
      </c>
      <c r="B280" s="12" t="s">
        <v>6</v>
      </c>
      <c r="C280" s="12" t="s">
        <v>216</v>
      </c>
      <c r="D280" s="12" t="s">
        <v>210</v>
      </c>
      <c r="E280" s="89">
        <f t="shared" ca="1" si="28"/>
        <v>40951</v>
      </c>
      <c r="F280" s="11">
        <f>DATE(57,6,13)</f>
        <v>20984</v>
      </c>
      <c r="G280" s="12">
        <f t="shared" ca="1" si="24"/>
        <v>55</v>
      </c>
      <c r="H280" s="12">
        <f t="shared" ca="1" si="25"/>
        <v>-4</v>
      </c>
      <c r="I280" s="13">
        <f t="shared" ca="1" si="26"/>
        <v>-1</v>
      </c>
      <c r="J280" s="14">
        <f t="shared" ca="1" si="29"/>
        <v>54</v>
      </c>
      <c r="K280" s="12" t="s">
        <v>41</v>
      </c>
      <c r="L280" s="12">
        <v>23</v>
      </c>
      <c r="M280" s="12" t="s">
        <v>40</v>
      </c>
      <c r="N280" s="12">
        <v>63</v>
      </c>
    </row>
    <row r="281" spans="1:15">
      <c r="A281" s="12">
        <f t="shared" si="27"/>
        <v>280</v>
      </c>
      <c r="B281" s="12" t="s">
        <v>6</v>
      </c>
      <c r="C281" s="12" t="s">
        <v>217</v>
      </c>
      <c r="D281" s="12" t="s">
        <v>209</v>
      </c>
      <c r="E281" s="89">
        <f t="shared" ca="1" si="28"/>
        <v>40951</v>
      </c>
      <c r="F281" s="11">
        <f>DATE(47,12,13)</f>
        <v>17514</v>
      </c>
      <c r="G281" s="12">
        <f t="shared" ref="G281:G344" ca="1" si="30">YEAR(E281)-YEAR(F281)</f>
        <v>65</v>
      </c>
      <c r="H281" s="12">
        <f t="shared" ref="H281:H344" ca="1" si="31">MONTH(E281)-MONTH(F281)</f>
        <v>-10</v>
      </c>
      <c r="I281" s="13">
        <f t="shared" ref="I281:I344" ca="1" si="32">DAY(E281)-DAY(F281)</f>
        <v>-1</v>
      </c>
      <c r="J281" s="14">
        <f t="shared" ca="1" si="29"/>
        <v>64</v>
      </c>
      <c r="K281" s="12" t="s">
        <v>40</v>
      </c>
      <c r="L281" s="12">
        <v>23</v>
      </c>
      <c r="M281" s="12" t="s">
        <v>40</v>
      </c>
      <c r="N281" s="12">
        <v>64</v>
      </c>
      <c r="O281" s="90" t="s">
        <v>2748</v>
      </c>
    </row>
    <row r="282" spans="1:15">
      <c r="A282" s="12">
        <f t="shared" si="27"/>
        <v>281</v>
      </c>
      <c r="B282" s="12" t="s">
        <v>6</v>
      </c>
      <c r="C282" s="12" t="s">
        <v>218</v>
      </c>
      <c r="D282" s="12" t="s">
        <v>217</v>
      </c>
      <c r="E282" s="89">
        <f t="shared" ca="1" si="28"/>
        <v>40951</v>
      </c>
      <c r="F282" s="11">
        <f>DATE(51,11,4)</f>
        <v>18936</v>
      </c>
      <c r="G282" s="12">
        <f t="shared" ca="1" si="30"/>
        <v>61</v>
      </c>
      <c r="H282" s="12">
        <f t="shared" ca="1" si="31"/>
        <v>-9</v>
      </c>
      <c r="I282" s="13">
        <f t="shared" ca="1" si="32"/>
        <v>8</v>
      </c>
      <c r="J282" s="14">
        <f t="shared" ca="1" si="29"/>
        <v>60</v>
      </c>
      <c r="K282" s="12" t="s">
        <v>41</v>
      </c>
      <c r="L282" s="12">
        <v>23</v>
      </c>
      <c r="M282" s="12" t="s">
        <v>40</v>
      </c>
      <c r="N282" s="12">
        <v>64</v>
      </c>
    </row>
    <row r="283" spans="1:15">
      <c r="A283" s="12">
        <f t="shared" si="27"/>
        <v>282</v>
      </c>
      <c r="B283" s="12" t="s">
        <v>6</v>
      </c>
      <c r="C283" s="12" t="s">
        <v>118</v>
      </c>
      <c r="D283" s="12" t="s">
        <v>217</v>
      </c>
      <c r="E283" s="89">
        <f t="shared" ca="1" si="28"/>
        <v>40951</v>
      </c>
      <c r="F283" s="11">
        <f>DATE(76,9,30)</f>
        <v>28033</v>
      </c>
      <c r="G283" s="12">
        <f t="shared" ca="1" si="30"/>
        <v>36</v>
      </c>
      <c r="H283" s="12">
        <f t="shared" ca="1" si="31"/>
        <v>-7</v>
      </c>
      <c r="I283" s="13">
        <f t="shared" ca="1" si="32"/>
        <v>-18</v>
      </c>
      <c r="J283" s="14">
        <f t="shared" ca="1" si="29"/>
        <v>35</v>
      </c>
      <c r="K283" s="12" t="s">
        <v>40</v>
      </c>
      <c r="L283" s="12">
        <v>23</v>
      </c>
      <c r="M283" s="12" t="s">
        <v>40</v>
      </c>
      <c r="N283" s="12">
        <v>64</v>
      </c>
    </row>
    <row r="284" spans="1:15">
      <c r="A284" s="12">
        <f t="shared" si="27"/>
        <v>283</v>
      </c>
      <c r="B284" s="12" t="s">
        <v>6</v>
      </c>
      <c r="C284" s="12" t="s">
        <v>160</v>
      </c>
      <c r="D284" s="12" t="s">
        <v>118</v>
      </c>
      <c r="E284" s="89">
        <f t="shared" ca="1" si="28"/>
        <v>40951</v>
      </c>
      <c r="F284" s="11">
        <f>DATE(77,8,9)</f>
        <v>28346</v>
      </c>
      <c r="G284" s="12">
        <f t="shared" ca="1" si="30"/>
        <v>35</v>
      </c>
      <c r="H284" s="12">
        <f t="shared" ca="1" si="31"/>
        <v>-6</v>
      </c>
      <c r="I284" s="13">
        <f t="shared" ca="1" si="32"/>
        <v>3</v>
      </c>
      <c r="J284" s="14">
        <f t="shared" ca="1" si="29"/>
        <v>34</v>
      </c>
      <c r="K284" s="12" t="s">
        <v>41</v>
      </c>
      <c r="L284" s="12">
        <v>23</v>
      </c>
      <c r="M284" s="12" t="s">
        <v>40</v>
      </c>
      <c r="N284" s="12">
        <v>64</v>
      </c>
    </row>
    <row r="285" spans="1:15">
      <c r="A285" s="12">
        <f t="shared" si="27"/>
        <v>284</v>
      </c>
      <c r="B285" s="12" t="s">
        <v>6</v>
      </c>
      <c r="C285" s="12" t="s">
        <v>219</v>
      </c>
      <c r="D285" s="12" t="s">
        <v>118</v>
      </c>
      <c r="E285" s="89">
        <f t="shared" ca="1" si="28"/>
        <v>40951</v>
      </c>
      <c r="F285" s="11">
        <f>DATE(2002,11,30)</f>
        <v>37590</v>
      </c>
      <c r="G285" s="12">
        <f t="shared" ca="1" si="30"/>
        <v>10</v>
      </c>
      <c r="H285" s="12">
        <f t="shared" ca="1" si="31"/>
        <v>-9</v>
      </c>
      <c r="I285" s="13">
        <f t="shared" ca="1" si="32"/>
        <v>-18</v>
      </c>
      <c r="J285" s="14">
        <f t="shared" ca="1" si="29"/>
        <v>9</v>
      </c>
      <c r="K285" s="12" t="s">
        <v>41</v>
      </c>
      <c r="L285" s="12">
        <v>23</v>
      </c>
      <c r="M285" s="12" t="s">
        <v>44</v>
      </c>
      <c r="N285" s="12">
        <v>64</v>
      </c>
    </row>
    <row r="286" spans="1:15">
      <c r="A286" s="12">
        <f t="shared" ref="A286:A349" si="33">A285+1</f>
        <v>285</v>
      </c>
      <c r="B286" s="12" t="s">
        <v>6</v>
      </c>
      <c r="C286" s="12" t="s">
        <v>220</v>
      </c>
      <c r="D286" s="12" t="s">
        <v>90</v>
      </c>
      <c r="E286" s="89">
        <f t="shared" ca="1" si="28"/>
        <v>40951</v>
      </c>
      <c r="F286" s="11">
        <f>DATE(63,5,23)</f>
        <v>23154</v>
      </c>
      <c r="G286" s="12">
        <f t="shared" ca="1" si="30"/>
        <v>49</v>
      </c>
      <c r="H286" s="12">
        <f t="shared" ca="1" si="31"/>
        <v>-3</v>
      </c>
      <c r="I286" s="13">
        <f t="shared" ca="1" si="32"/>
        <v>-11</v>
      </c>
      <c r="J286" s="14">
        <f t="shared" ca="1" si="29"/>
        <v>48</v>
      </c>
      <c r="K286" s="12" t="s">
        <v>40</v>
      </c>
      <c r="L286" s="12">
        <v>24</v>
      </c>
      <c r="M286" s="12" t="s">
        <v>40</v>
      </c>
      <c r="N286" s="12">
        <v>65</v>
      </c>
      <c r="O286" s="90" t="s">
        <v>2748</v>
      </c>
    </row>
    <row r="287" spans="1:15">
      <c r="A287" s="12">
        <f t="shared" si="33"/>
        <v>286</v>
      </c>
      <c r="B287" s="12" t="s">
        <v>6</v>
      </c>
      <c r="C287" s="12" t="s">
        <v>221</v>
      </c>
      <c r="D287" s="12" t="s">
        <v>220</v>
      </c>
      <c r="E287" s="89">
        <f t="shared" ca="1" si="28"/>
        <v>40951</v>
      </c>
      <c r="F287" s="11">
        <f>DATE(71,2,15)</f>
        <v>25979</v>
      </c>
      <c r="G287" s="12">
        <f t="shared" ca="1" si="30"/>
        <v>41</v>
      </c>
      <c r="H287" s="12">
        <f t="shared" ca="1" si="31"/>
        <v>0</v>
      </c>
      <c r="I287" s="13">
        <f t="shared" ca="1" si="32"/>
        <v>-3</v>
      </c>
      <c r="J287" s="14">
        <f t="shared" ca="1" si="29"/>
        <v>40</v>
      </c>
      <c r="K287" s="12" t="s">
        <v>41</v>
      </c>
      <c r="L287" s="12">
        <v>24</v>
      </c>
      <c r="M287" s="12" t="s">
        <v>40</v>
      </c>
      <c r="N287" s="12">
        <v>65</v>
      </c>
    </row>
    <row r="288" spans="1:15">
      <c r="A288" s="12">
        <f t="shared" si="33"/>
        <v>287</v>
      </c>
      <c r="B288" s="12" t="s">
        <v>6</v>
      </c>
      <c r="C288" s="12" t="s">
        <v>222</v>
      </c>
      <c r="D288" s="12" t="s">
        <v>220</v>
      </c>
      <c r="E288" s="89">
        <f t="shared" ref="E288:E353" ca="1" si="34">TODAY()</f>
        <v>40951</v>
      </c>
      <c r="F288" s="11">
        <f>DATE(90,7,19)</f>
        <v>33073</v>
      </c>
      <c r="G288" s="12">
        <f t="shared" ca="1" si="30"/>
        <v>22</v>
      </c>
      <c r="H288" s="12">
        <f t="shared" ca="1" si="31"/>
        <v>-5</v>
      </c>
      <c r="I288" s="13">
        <f t="shared" ca="1" si="32"/>
        <v>-7</v>
      </c>
      <c r="J288" s="14">
        <f t="shared" ca="1" si="29"/>
        <v>21</v>
      </c>
      <c r="K288" s="12" t="s">
        <v>41</v>
      </c>
      <c r="L288" s="12">
        <v>24</v>
      </c>
      <c r="M288" s="12" t="s">
        <v>44</v>
      </c>
      <c r="N288" s="12">
        <v>65</v>
      </c>
    </row>
    <row r="289" spans="1:15">
      <c r="A289" s="12">
        <f t="shared" si="33"/>
        <v>288</v>
      </c>
      <c r="B289" s="12" t="s">
        <v>6</v>
      </c>
      <c r="C289" s="12" t="s">
        <v>167</v>
      </c>
      <c r="D289" s="12" t="s">
        <v>220</v>
      </c>
      <c r="E289" s="89">
        <f t="shared" ca="1" si="34"/>
        <v>40951</v>
      </c>
      <c r="F289" s="11">
        <f>DATE(92,8,31)</f>
        <v>33847</v>
      </c>
      <c r="G289" s="12">
        <f t="shared" ca="1" si="30"/>
        <v>20</v>
      </c>
      <c r="H289" s="12">
        <f t="shared" ca="1" si="31"/>
        <v>-6</v>
      </c>
      <c r="I289" s="13">
        <f t="shared" ca="1" si="32"/>
        <v>-19</v>
      </c>
      <c r="J289" s="14">
        <f t="shared" ca="1" si="29"/>
        <v>19</v>
      </c>
      <c r="K289" s="12" t="s">
        <v>41</v>
      </c>
      <c r="L289" s="12">
        <v>24</v>
      </c>
      <c r="M289" s="12" t="s">
        <v>44</v>
      </c>
      <c r="N289" s="12">
        <v>65</v>
      </c>
    </row>
    <row r="290" spans="1:15">
      <c r="A290" s="12">
        <f t="shared" si="33"/>
        <v>289</v>
      </c>
      <c r="B290" s="12" t="s">
        <v>6</v>
      </c>
      <c r="C290" s="12" t="s">
        <v>223</v>
      </c>
      <c r="D290" s="12" t="s">
        <v>220</v>
      </c>
      <c r="E290" s="89">
        <f t="shared" ca="1" si="34"/>
        <v>40951</v>
      </c>
      <c r="F290" s="11">
        <f>DATE(94,5,18)</f>
        <v>34472</v>
      </c>
      <c r="G290" s="12">
        <f t="shared" ca="1" si="30"/>
        <v>18</v>
      </c>
      <c r="H290" s="12">
        <f t="shared" ca="1" si="31"/>
        <v>-3</v>
      </c>
      <c r="I290" s="13">
        <f t="shared" ca="1" si="32"/>
        <v>-6</v>
      </c>
      <c r="J290" s="14">
        <f t="shared" ca="1" si="29"/>
        <v>17</v>
      </c>
      <c r="K290" s="12" t="s">
        <v>40</v>
      </c>
      <c r="L290" s="12">
        <v>24</v>
      </c>
      <c r="M290" s="12" t="s">
        <v>44</v>
      </c>
      <c r="N290" s="12">
        <v>65</v>
      </c>
    </row>
    <row r="291" spans="1:15">
      <c r="A291" s="12">
        <f t="shared" si="33"/>
        <v>290</v>
      </c>
      <c r="B291" s="12" t="s">
        <v>6</v>
      </c>
      <c r="C291" s="12" t="s">
        <v>224</v>
      </c>
      <c r="D291" s="12" t="s">
        <v>198</v>
      </c>
      <c r="E291" s="89">
        <f t="shared" ca="1" si="34"/>
        <v>40951</v>
      </c>
      <c r="F291" s="11">
        <f>DATE(54,11,9)</f>
        <v>20037</v>
      </c>
      <c r="G291" s="12">
        <f t="shared" ca="1" si="30"/>
        <v>58</v>
      </c>
      <c r="H291" s="12">
        <f t="shared" ca="1" si="31"/>
        <v>-9</v>
      </c>
      <c r="I291" s="13">
        <f t="shared" ca="1" si="32"/>
        <v>3</v>
      </c>
      <c r="J291" s="14">
        <f t="shared" ca="1" si="29"/>
        <v>57</v>
      </c>
      <c r="K291" s="12" t="s">
        <v>40</v>
      </c>
      <c r="L291" s="12">
        <v>24</v>
      </c>
      <c r="M291" s="12" t="s">
        <v>40</v>
      </c>
      <c r="N291" s="12">
        <v>66</v>
      </c>
    </row>
    <row r="292" spans="1:15">
      <c r="A292" s="12">
        <f t="shared" si="33"/>
        <v>291</v>
      </c>
      <c r="B292" s="12" t="s">
        <v>6</v>
      </c>
      <c r="C292" s="12" t="s">
        <v>143</v>
      </c>
      <c r="D292" s="12" t="s">
        <v>224</v>
      </c>
      <c r="E292" s="89">
        <f t="shared" ca="1" si="34"/>
        <v>40951</v>
      </c>
      <c r="F292" s="11">
        <f>DATE(63,2,19)</f>
        <v>23061</v>
      </c>
      <c r="G292" s="12">
        <f t="shared" ca="1" si="30"/>
        <v>49</v>
      </c>
      <c r="H292" s="12">
        <f t="shared" ca="1" si="31"/>
        <v>0</v>
      </c>
      <c r="I292" s="13">
        <f t="shared" ca="1" si="32"/>
        <v>-7</v>
      </c>
      <c r="J292" s="14">
        <f t="shared" ca="1" si="29"/>
        <v>48</v>
      </c>
      <c r="K292" s="12" t="s">
        <v>41</v>
      </c>
      <c r="L292" s="12">
        <v>24</v>
      </c>
      <c r="M292" s="12" t="s">
        <v>40</v>
      </c>
      <c r="N292" s="12">
        <v>66</v>
      </c>
    </row>
    <row r="293" spans="1:15">
      <c r="A293" s="12">
        <f t="shared" si="33"/>
        <v>292</v>
      </c>
      <c r="B293" s="12" t="s">
        <v>6</v>
      </c>
      <c r="C293" s="12" t="s">
        <v>225</v>
      </c>
      <c r="D293" s="12" t="s">
        <v>224</v>
      </c>
      <c r="E293" s="89">
        <f t="shared" ca="1" si="34"/>
        <v>40951</v>
      </c>
      <c r="F293" s="11">
        <f>DATE(85,6,5)</f>
        <v>31203</v>
      </c>
      <c r="G293" s="12">
        <f t="shared" ca="1" si="30"/>
        <v>27</v>
      </c>
      <c r="H293" s="12">
        <f t="shared" ca="1" si="31"/>
        <v>-4</v>
      </c>
      <c r="I293" s="13">
        <f t="shared" ca="1" si="32"/>
        <v>7</v>
      </c>
      <c r="J293" s="14">
        <f t="shared" ca="1" si="29"/>
        <v>26</v>
      </c>
      <c r="K293" s="12" t="s">
        <v>40</v>
      </c>
      <c r="L293" s="12">
        <v>24</v>
      </c>
      <c r="M293" s="12" t="s">
        <v>44</v>
      </c>
      <c r="N293" s="12">
        <v>66</v>
      </c>
    </row>
    <row r="294" spans="1:15">
      <c r="A294" s="12">
        <f t="shared" si="33"/>
        <v>293</v>
      </c>
      <c r="B294" s="12" t="s">
        <v>6</v>
      </c>
      <c r="C294" s="12" t="s">
        <v>226</v>
      </c>
      <c r="D294" s="12" t="s">
        <v>227</v>
      </c>
      <c r="E294" s="89">
        <f t="shared" ca="1" si="34"/>
        <v>40951</v>
      </c>
      <c r="F294" s="11">
        <f>DATE(55,8,5)</f>
        <v>20306</v>
      </c>
      <c r="G294" s="12">
        <f t="shared" ca="1" si="30"/>
        <v>57</v>
      </c>
      <c r="H294" s="12">
        <f t="shared" ca="1" si="31"/>
        <v>-6</v>
      </c>
      <c r="I294" s="13">
        <f t="shared" ca="1" si="32"/>
        <v>7</v>
      </c>
      <c r="J294" s="14">
        <f t="shared" ca="1" si="29"/>
        <v>56</v>
      </c>
      <c r="K294" s="12" t="s">
        <v>41</v>
      </c>
      <c r="L294" s="12">
        <v>24</v>
      </c>
      <c r="M294" s="12" t="s">
        <v>40</v>
      </c>
      <c r="N294" s="12">
        <v>67</v>
      </c>
      <c r="O294" s="90" t="s">
        <v>2748</v>
      </c>
    </row>
    <row r="295" spans="1:15">
      <c r="A295" s="12">
        <f t="shared" si="33"/>
        <v>294</v>
      </c>
      <c r="B295" s="12" t="s">
        <v>6</v>
      </c>
      <c r="C295" s="12" t="s">
        <v>228</v>
      </c>
      <c r="D295" s="12" t="s">
        <v>227</v>
      </c>
      <c r="E295" s="89">
        <f t="shared" ca="1" si="34"/>
        <v>40951</v>
      </c>
      <c r="F295" s="11">
        <f>DATE(79,11,15)</f>
        <v>29174</v>
      </c>
      <c r="G295" s="12">
        <f t="shared" ca="1" si="30"/>
        <v>33</v>
      </c>
      <c r="H295" s="12">
        <f t="shared" ca="1" si="31"/>
        <v>-9</v>
      </c>
      <c r="I295" s="13">
        <f t="shared" ca="1" si="32"/>
        <v>-3</v>
      </c>
      <c r="J295" s="14">
        <f t="shared" ca="1" si="29"/>
        <v>32</v>
      </c>
      <c r="K295" s="12" t="s">
        <v>40</v>
      </c>
      <c r="L295" s="12">
        <v>24</v>
      </c>
      <c r="M295" s="12" t="s">
        <v>44</v>
      </c>
      <c r="N295" s="12">
        <v>67</v>
      </c>
    </row>
    <row r="296" spans="1:15">
      <c r="A296" s="12">
        <f t="shared" si="33"/>
        <v>295</v>
      </c>
      <c r="B296" s="12" t="s">
        <v>6</v>
      </c>
      <c r="C296" s="12" t="s">
        <v>229</v>
      </c>
      <c r="D296" s="12" t="s">
        <v>227</v>
      </c>
      <c r="E296" s="89">
        <f t="shared" ca="1" si="34"/>
        <v>40951</v>
      </c>
      <c r="F296" s="11">
        <f>DATE(81,1,16)</f>
        <v>29602</v>
      </c>
      <c r="G296" s="12">
        <f t="shared" ca="1" si="30"/>
        <v>31</v>
      </c>
      <c r="H296" s="12">
        <f t="shared" ca="1" si="31"/>
        <v>1</v>
      </c>
      <c r="I296" s="13">
        <f t="shared" ca="1" si="32"/>
        <v>-4</v>
      </c>
      <c r="J296" s="14">
        <f t="shared" ca="1" si="29"/>
        <v>31</v>
      </c>
      <c r="K296" s="12" t="s">
        <v>40</v>
      </c>
      <c r="L296" s="12">
        <v>24</v>
      </c>
      <c r="M296" s="12" t="s">
        <v>44</v>
      </c>
      <c r="N296" s="12">
        <v>67</v>
      </c>
    </row>
    <row r="297" spans="1:15">
      <c r="A297" s="12">
        <f t="shared" si="33"/>
        <v>296</v>
      </c>
      <c r="B297" s="12" t="s">
        <v>6</v>
      </c>
      <c r="C297" s="12" t="s">
        <v>230</v>
      </c>
      <c r="D297" s="12" t="s">
        <v>70</v>
      </c>
      <c r="E297" s="89">
        <f t="shared" ca="1" si="34"/>
        <v>40951</v>
      </c>
      <c r="F297" s="11">
        <f>DATE(49,12,23)</f>
        <v>18255</v>
      </c>
      <c r="G297" s="12">
        <f t="shared" ca="1" si="30"/>
        <v>63</v>
      </c>
      <c r="H297" s="12">
        <f t="shared" ca="1" si="31"/>
        <v>-10</v>
      </c>
      <c r="I297" s="13">
        <f t="shared" ca="1" si="32"/>
        <v>-11</v>
      </c>
      <c r="J297" s="14">
        <f t="shared" ca="1" si="29"/>
        <v>62</v>
      </c>
      <c r="K297" s="12" t="s">
        <v>40</v>
      </c>
      <c r="L297" s="12">
        <v>25</v>
      </c>
      <c r="M297" s="12" t="s">
        <v>40</v>
      </c>
      <c r="N297" s="12">
        <v>68</v>
      </c>
      <c r="O297" s="90" t="s">
        <v>2748</v>
      </c>
    </row>
    <row r="298" spans="1:15">
      <c r="A298" s="12">
        <f t="shared" si="33"/>
        <v>297</v>
      </c>
      <c r="B298" s="12" t="s">
        <v>6</v>
      </c>
      <c r="C298" s="12" t="s">
        <v>78</v>
      </c>
      <c r="D298" s="12" t="s">
        <v>230</v>
      </c>
      <c r="E298" s="89">
        <f t="shared" ca="1" si="34"/>
        <v>40951</v>
      </c>
      <c r="F298" s="11">
        <f>DATE(54,7,31)</f>
        <v>19936</v>
      </c>
      <c r="G298" s="12">
        <f t="shared" ca="1" si="30"/>
        <v>58</v>
      </c>
      <c r="H298" s="12">
        <f t="shared" ca="1" si="31"/>
        <v>-5</v>
      </c>
      <c r="I298" s="13">
        <f t="shared" ca="1" si="32"/>
        <v>-19</v>
      </c>
      <c r="J298" s="14">
        <f t="shared" ca="1" si="29"/>
        <v>57</v>
      </c>
      <c r="K298" s="12" t="s">
        <v>41</v>
      </c>
      <c r="L298" s="12">
        <v>25</v>
      </c>
      <c r="M298" s="12" t="s">
        <v>40</v>
      </c>
      <c r="N298" s="12">
        <v>68</v>
      </c>
    </row>
    <row r="299" spans="1:15">
      <c r="A299" s="12">
        <f t="shared" si="33"/>
        <v>298</v>
      </c>
      <c r="B299" s="12" t="s">
        <v>6</v>
      </c>
      <c r="C299" s="12" t="s">
        <v>229</v>
      </c>
      <c r="D299" s="12" t="s">
        <v>230</v>
      </c>
      <c r="E299" s="89">
        <f t="shared" ca="1" si="34"/>
        <v>40951</v>
      </c>
      <c r="F299" s="11">
        <f>DATE(77,2,25)</f>
        <v>28181</v>
      </c>
      <c r="G299" s="12">
        <f t="shared" ca="1" si="30"/>
        <v>35</v>
      </c>
      <c r="H299" s="12">
        <f t="shared" ca="1" si="31"/>
        <v>0</v>
      </c>
      <c r="I299" s="13">
        <f t="shared" ca="1" si="32"/>
        <v>-13</v>
      </c>
      <c r="J299" s="14">
        <f t="shared" ca="1" si="29"/>
        <v>34</v>
      </c>
      <c r="K299" s="12" t="s">
        <v>40</v>
      </c>
      <c r="L299" s="12">
        <v>25</v>
      </c>
      <c r="M299" s="12" t="s">
        <v>40</v>
      </c>
      <c r="N299" s="12">
        <v>68</v>
      </c>
    </row>
    <row r="300" spans="1:15">
      <c r="A300" s="12">
        <f t="shared" si="33"/>
        <v>299</v>
      </c>
      <c r="B300" s="12" t="s">
        <v>6</v>
      </c>
      <c r="C300" s="12" t="s">
        <v>231</v>
      </c>
      <c r="D300" s="12" t="s">
        <v>229</v>
      </c>
      <c r="E300" s="89">
        <f t="shared" ca="1" si="34"/>
        <v>40951</v>
      </c>
      <c r="F300" s="11">
        <f>DATE(79,7,20)</f>
        <v>29056</v>
      </c>
      <c r="G300" s="12">
        <f t="shared" ca="1" si="30"/>
        <v>33</v>
      </c>
      <c r="H300" s="12">
        <f t="shared" ca="1" si="31"/>
        <v>-5</v>
      </c>
      <c r="I300" s="13">
        <f t="shared" ca="1" si="32"/>
        <v>-8</v>
      </c>
      <c r="J300" s="14">
        <f t="shared" ca="1" si="29"/>
        <v>32</v>
      </c>
      <c r="K300" s="12" t="s">
        <v>41</v>
      </c>
      <c r="L300" s="12">
        <v>25</v>
      </c>
      <c r="M300" s="12" t="s">
        <v>40</v>
      </c>
      <c r="N300" s="12">
        <v>68</v>
      </c>
    </row>
    <row r="301" spans="1:15">
      <c r="A301" s="12">
        <f t="shared" si="33"/>
        <v>300</v>
      </c>
      <c r="B301" s="12" t="s">
        <v>6</v>
      </c>
      <c r="C301" s="12" t="s">
        <v>232</v>
      </c>
      <c r="D301" s="12" t="s">
        <v>233</v>
      </c>
      <c r="E301" s="89">
        <f t="shared" ca="1" si="34"/>
        <v>40951</v>
      </c>
      <c r="F301" s="32"/>
      <c r="G301" s="12">
        <f t="shared" ca="1" si="30"/>
        <v>112</v>
      </c>
      <c r="H301" s="12">
        <f t="shared" ca="1" si="31"/>
        <v>1</v>
      </c>
      <c r="I301" s="13">
        <f t="shared" ca="1" si="32"/>
        <v>12</v>
      </c>
      <c r="J301" s="14">
        <f t="shared" ca="1" si="29"/>
        <v>112</v>
      </c>
      <c r="K301" s="12" t="s">
        <v>41</v>
      </c>
      <c r="L301" s="12">
        <v>25</v>
      </c>
      <c r="M301" s="12" t="s">
        <v>40</v>
      </c>
      <c r="N301" s="12">
        <v>69</v>
      </c>
      <c r="O301" s="90" t="s">
        <v>2748</v>
      </c>
    </row>
    <row r="302" spans="1:15">
      <c r="A302" s="12">
        <f t="shared" si="33"/>
        <v>301</v>
      </c>
      <c r="B302" s="12" t="s">
        <v>6</v>
      </c>
      <c r="C302" s="12" t="s">
        <v>234</v>
      </c>
      <c r="D302" s="12" t="s">
        <v>235</v>
      </c>
      <c r="E302" s="89">
        <f t="shared" ca="1" si="34"/>
        <v>40951</v>
      </c>
      <c r="F302" s="11">
        <f>DATE(85,11,25)</f>
        <v>31376</v>
      </c>
      <c r="G302" s="12">
        <f t="shared" ca="1" si="30"/>
        <v>27</v>
      </c>
      <c r="H302" s="12">
        <f t="shared" ca="1" si="31"/>
        <v>-9</v>
      </c>
      <c r="I302" s="13">
        <f t="shared" ca="1" si="32"/>
        <v>-13</v>
      </c>
      <c r="J302" s="14">
        <f t="shared" ca="1" si="29"/>
        <v>26</v>
      </c>
      <c r="K302" s="12" t="s">
        <v>40</v>
      </c>
      <c r="L302" s="12">
        <v>25</v>
      </c>
      <c r="M302" s="12" t="s">
        <v>44</v>
      </c>
      <c r="N302" s="12">
        <v>69</v>
      </c>
    </row>
    <row r="303" spans="1:15">
      <c r="A303" s="12">
        <f t="shared" si="33"/>
        <v>302</v>
      </c>
      <c r="B303" s="12" t="s">
        <v>6</v>
      </c>
      <c r="C303" s="12" t="s">
        <v>236</v>
      </c>
      <c r="D303" s="12" t="s">
        <v>235</v>
      </c>
      <c r="E303" s="89">
        <f t="shared" ca="1" si="34"/>
        <v>40951</v>
      </c>
      <c r="F303" s="11">
        <f>DATE(84,6,27)</f>
        <v>30860</v>
      </c>
      <c r="G303" s="12">
        <f t="shared" ca="1" si="30"/>
        <v>28</v>
      </c>
      <c r="H303" s="12">
        <f t="shared" ca="1" si="31"/>
        <v>-4</v>
      </c>
      <c r="I303" s="13">
        <f t="shared" ca="1" si="32"/>
        <v>-15</v>
      </c>
      <c r="J303" s="14">
        <f t="shared" ca="1" si="29"/>
        <v>27</v>
      </c>
      <c r="K303" s="12" t="s">
        <v>41</v>
      </c>
      <c r="L303" s="12">
        <v>25</v>
      </c>
      <c r="M303" s="12" t="s">
        <v>44</v>
      </c>
      <c r="N303" s="12">
        <v>69</v>
      </c>
    </row>
    <row r="304" spans="1:15">
      <c r="A304" s="12">
        <f t="shared" si="33"/>
        <v>303</v>
      </c>
      <c r="B304" s="12" t="s">
        <v>6</v>
      </c>
      <c r="C304" s="12" t="s">
        <v>237</v>
      </c>
      <c r="D304" s="12" t="s">
        <v>198</v>
      </c>
      <c r="E304" s="89">
        <f t="shared" ca="1" si="34"/>
        <v>40951</v>
      </c>
      <c r="F304" s="11">
        <f>DATE(49,11,1)</f>
        <v>18203</v>
      </c>
      <c r="G304" s="12">
        <f t="shared" ca="1" si="30"/>
        <v>63</v>
      </c>
      <c r="H304" s="12">
        <f t="shared" ca="1" si="31"/>
        <v>-9</v>
      </c>
      <c r="I304" s="13">
        <f t="shared" ca="1" si="32"/>
        <v>11</v>
      </c>
      <c r="J304" s="14">
        <f t="shared" ca="1" si="29"/>
        <v>62</v>
      </c>
      <c r="K304" s="12" t="s">
        <v>40</v>
      </c>
      <c r="L304" s="12">
        <v>25</v>
      </c>
      <c r="M304" s="12" t="s">
        <v>40</v>
      </c>
      <c r="N304" s="12">
        <v>70</v>
      </c>
      <c r="O304" s="90" t="s">
        <v>2748</v>
      </c>
    </row>
    <row r="305" spans="1:15">
      <c r="A305" s="12">
        <f t="shared" si="33"/>
        <v>304</v>
      </c>
      <c r="B305" s="12" t="s">
        <v>6</v>
      </c>
      <c r="C305" s="12" t="s">
        <v>238</v>
      </c>
      <c r="D305" s="12" t="s">
        <v>237</v>
      </c>
      <c r="E305" s="89">
        <f t="shared" ca="1" si="34"/>
        <v>40951</v>
      </c>
      <c r="F305" s="11">
        <f>DATE(57,9,29)</f>
        <v>21092</v>
      </c>
      <c r="G305" s="12">
        <f t="shared" ca="1" si="30"/>
        <v>55</v>
      </c>
      <c r="H305" s="12">
        <f t="shared" ca="1" si="31"/>
        <v>-7</v>
      </c>
      <c r="I305" s="13">
        <f t="shared" ca="1" si="32"/>
        <v>-17</v>
      </c>
      <c r="J305" s="14">
        <f t="shared" ca="1" si="29"/>
        <v>54</v>
      </c>
      <c r="K305" s="12" t="s">
        <v>41</v>
      </c>
      <c r="L305" s="12">
        <v>25</v>
      </c>
      <c r="M305" s="12" t="s">
        <v>40</v>
      </c>
      <c r="N305" s="12">
        <v>70</v>
      </c>
    </row>
    <row r="306" spans="1:15">
      <c r="A306" s="12">
        <f t="shared" si="33"/>
        <v>305</v>
      </c>
      <c r="B306" s="12" t="s">
        <v>6</v>
      </c>
      <c r="C306" s="12" t="s">
        <v>239</v>
      </c>
      <c r="D306" s="12" t="s">
        <v>237</v>
      </c>
      <c r="E306" s="89">
        <f t="shared" ca="1" si="34"/>
        <v>40951</v>
      </c>
      <c r="F306" s="11">
        <f>DATE(79,10,22)</f>
        <v>29150</v>
      </c>
      <c r="G306" s="12">
        <f t="shared" ca="1" si="30"/>
        <v>33</v>
      </c>
      <c r="H306" s="12">
        <f t="shared" ca="1" si="31"/>
        <v>-8</v>
      </c>
      <c r="I306" s="13">
        <f t="shared" ca="1" si="32"/>
        <v>-10</v>
      </c>
      <c r="J306" s="14">
        <f t="shared" ca="1" si="29"/>
        <v>32</v>
      </c>
      <c r="K306" s="12" t="s">
        <v>40</v>
      </c>
      <c r="L306" s="12">
        <v>25</v>
      </c>
      <c r="M306" s="12" t="s">
        <v>40</v>
      </c>
      <c r="N306" s="12">
        <v>70</v>
      </c>
    </row>
    <row r="307" spans="1:15">
      <c r="A307" s="12">
        <f t="shared" si="33"/>
        <v>306</v>
      </c>
      <c r="B307" s="12" t="s">
        <v>6</v>
      </c>
      <c r="C307" s="12" t="s">
        <v>240</v>
      </c>
      <c r="D307" s="12" t="s">
        <v>241</v>
      </c>
      <c r="E307" s="89">
        <f t="shared" ca="1" si="34"/>
        <v>40951</v>
      </c>
      <c r="F307" s="11">
        <f>DATE(83,6,9)</f>
        <v>30476</v>
      </c>
      <c r="G307" s="12">
        <f t="shared" ca="1" si="30"/>
        <v>29</v>
      </c>
      <c r="H307" s="12">
        <f t="shared" ca="1" si="31"/>
        <v>-4</v>
      </c>
      <c r="I307" s="13">
        <f t="shared" ca="1" si="32"/>
        <v>3</v>
      </c>
      <c r="J307" s="14">
        <f t="shared" ca="1" si="29"/>
        <v>28</v>
      </c>
      <c r="K307" s="12" t="s">
        <v>41</v>
      </c>
      <c r="L307" s="12">
        <v>25</v>
      </c>
      <c r="M307" s="12" t="s">
        <v>40</v>
      </c>
      <c r="N307" s="12">
        <v>70</v>
      </c>
    </row>
    <row r="308" spans="1:15">
      <c r="A308" s="12">
        <f t="shared" si="33"/>
        <v>307</v>
      </c>
      <c r="B308" s="12" t="s">
        <v>6</v>
      </c>
      <c r="C308" s="12" t="s">
        <v>242</v>
      </c>
      <c r="D308" s="12" t="s">
        <v>237</v>
      </c>
      <c r="E308" s="89">
        <f t="shared" ca="1" si="34"/>
        <v>40951</v>
      </c>
      <c r="F308" s="11">
        <f>DATE(85,6,20)</f>
        <v>31218</v>
      </c>
      <c r="G308" s="12">
        <f t="shared" ca="1" si="30"/>
        <v>27</v>
      </c>
      <c r="H308" s="12">
        <f t="shared" ca="1" si="31"/>
        <v>-4</v>
      </c>
      <c r="I308" s="13">
        <f t="shared" ca="1" si="32"/>
        <v>-8</v>
      </c>
      <c r="J308" s="14">
        <f t="shared" ca="1" si="29"/>
        <v>26</v>
      </c>
      <c r="K308" s="12" t="s">
        <v>40</v>
      </c>
      <c r="L308" s="12">
        <v>25</v>
      </c>
      <c r="M308" s="12" t="s">
        <v>44</v>
      </c>
      <c r="N308" s="12">
        <v>70</v>
      </c>
    </row>
    <row r="309" spans="1:15">
      <c r="A309" s="12">
        <f t="shared" si="33"/>
        <v>308</v>
      </c>
      <c r="B309" s="12" t="s">
        <v>6</v>
      </c>
      <c r="C309" s="12" t="s">
        <v>243</v>
      </c>
      <c r="D309" s="12" t="s">
        <v>244</v>
      </c>
      <c r="E309" s="89">
        <f t="shared" ca="1" si="34"/>
        <v>40951</v>
      </c>
      <c r="F309" s="11">
        <f>DATE(45,12,17)</f>
        <v>16788</v>
      </c>
      <c r="G309" s="12">
        <f t="shared" ca="1" si="30"/>
        <v>67</v>
      </c>
      <c r="H309" s="12">
        <f t="shared" ca="1" si="31"/>
        <v>-10</v>
      </c>
      <c r="I309" s="13">
        <f t="shared" ca="1" si="32"/>
        <v>-5</v>
      </c>
      <c r="J309" s="14">
        <f t="shared" ca="1" si="29"/>
        <v>66</v>
      </c>
      <c r="K309" s="12" t="s">
        <v>40</v>
      </c>
      <c r="L309" s="12">
        <v>26</v>
      </c>
      <c r="M309" s="12" t="s">
        <v>40</v>
      </c>
      <c r="N309" s="12">
        <v>71</v>
      </c>
      <c r="O309" s="90" t="s">
        <v>2748</v>
      </c>
    </row>
    <row r="310" spans="1:15">
      <c r="A310" s="12">
        <f t="shared" si="33"/>
        <v>309</v>
      </c>
      <c r="B310" s="12" t="s">
        <v>6</v>
      </c>
      <c r="C310" s="12" t="s">
        <v>218</v>
      </c>
      <c r="D310" s="12" t="s">
        <v>243</v>
      </c>
      <c r="E310" s="89">
        <f t="shared" ca="1" si="34"/>
        <v>40951</v>
      </c>
      <c r="F310" s="11">
        <f>DATE(51,8,15)</f>
        <v>18855</v>
      </c>
      <c r="G310" s="12">
        <f t="shared" ca="1" si="30"/>
        <v>61</v>
      </c>
      <c r="H310" s="12">
        <f t="shared" ca="1" si="31"/>
        <v>-6</v>
      </c>
      <c r="I310" s="13">
        <f t="shared" ca="1" si="32"/>
        <v>-3</v>
      </c>
      <c r="J310" s="14">
        <f t="shared" ca="1" si="29"/>
        <v>60</v>
      </c>
      <c r="K310" s="12" t="s">
        <v>41</v>
      </c>
      <c r="L310" s="12">
        <v>26</v>
      </c>
      <c r="M310" s="12" t="s">
        <v>40</v>
      </c>
      <c r="N310" s="12">
        <v>71</v>
      </c>
    </row>
    <row r="311" spans="1:15">
      <c r="A311" s="12">
        <f t="shared" si="33"/>
        <v>310</v>
      </c>
      <c r="B311" s="12" t="s">
        <v>6</v>
      </c>
      <c r="C311" s="12" t="s">
        <v>245</v>
      </c>
      <c r="D311" s="12" t="s">
        <v>243</v>
      </c>
      <c r="E311" s="89">
        <f t="shared" ca="1" si="34"/>
        <v>40951</v>
      </c>
      <c r="F311" s="11">
        <f>DATE(73,8,25)</f>
        <v>26901</v>
      </c>
      <c r="G311" s="12">
        <f t="shared" ca="1" si="30"/>
        <v>39</v>
      </c>
      <c r="H311" s="12">
        <f t="shared" ca="1" si="31"/>
        <v>-6</v>
      </c>
      <c r="I311" s="13">
        <f t="shared" ca="1" si="32"/>
        <v>-13</v>
      </c>
      <c r="J311" s="14">
        <f t="shared" ca="1" si="29"/>
        <v>38</v>
      </c>
      <c r="K311" s="12" t="s">
        <v>40</v>
      </c>
      <c r="L311" s="12">
        <v>26</v>
      </c>
      <c r="M311" s="12" t="s">
        <v>40</v>
      </c>
      <c r="N311" s="12">
        <v>71</v>
      </c>
    </row>
    <row r="312" spans="1:15">
      <c r="A312" s="12">
        <f t="shared" si="33"/>
        <v>311</v>
      </c>
      <c r="B312" s="12" t="s">
        <v>6</v>
      </c>
      <c r="C312" s="12" t="s">
        <v>246</v>
      </c>
      <c r="D312" s="12" t="s">
        <v>245</v>
      </c>
      <c r="E312" s="89">
        <f t="shared" ca="1" si="34"/>
        <v>40951</v>
      </c>
      <c r="F312" s="11">
        <f>DATE(78,1,3)</f>
        <v>28493</v>
      </c>
      <c r="G312" s="12">
        <f t="shared" ca="1" si="30"/>
        <v>34</v>
      </c>
      <c r="H312" s="12">
        <f t="shared" ca="1" si="31"/>
        <v>1</v>
      </c>
      <c r="I312" s="13">
        <f t="shared" ca="1" si="32"/>
        <v>9</v>
      </c>
      <c r="J312" s="14">
        <f t="shared" ca="1" si="29"/>
        <v>34</v>
      </c>
      <c r="K312" s="12" t="s">
        <v>41</v>
      </c>
      <c r="L312" s="12">
        <v>26</v>
      </c>
      <c r="M312" s="12" t="s">
        <v>40</v>
      </c>
      <c r="N312" s="12">
        <v>71</v>
      </c>
    </row>
    <row r="313" spans="1:15">
      <c r="A313" s="12">
        <f t="shared" si="33"/>
        <v>312</v>
      </c>
      <c r="B313" s="12" t="s">
        <v>6</v>
      </c>
      <c r="C313" s="12" t="s">
        <v>247</v>
      </c>
      <c r="D313" s="12" t="s">
        <v>245</v>
      </c>
      <c r="E313" s="89">
        <f t="shared" ca="1" si="34"/>
        <v>40951</v>
      </c>
      <c r="F313" s="11">
        <f>DATE(2001,7,6)</f>
        <v>37078</v>
      </c>
      <c r="G313" s="12">
        <f t="shared" ca="1" si="30"/>
        <v>11</v>
      </c>
      <c r="H313" s="12">
        <f t="shared" ca="1" si="31"/>
        <v>-5</v>
      </c>
      <c r="I313" s="13">
        <f t="shared" ca="1" si="32"/>
        <v>6</v>
      </c>
      <c r="J313" s="14">
        <f t="shared" ca="1" si="29"/>
        <v>10</v>
      </c>
      <c r="K313" s="12" t="s">
        <v>40</v>
      </c>
      <c r="L313" s="12">
        <v>26</v>
      </c>
      <c r="M313" s="12" t="s">
        <v>44</v>
      </c>
      <c r="N313" s="12">
        <v>71</v>
      </c>
    </row>
    <row r="314" spans="1:15">
      <c r="A314" s="12">
        <f t="shared" si="33"/>
        <v>313</v>
      </c>
      <c r="B314" s="12" t="s">
        <v>6</v>
      </c>
      <c r="C314" s="12" t="s">
        <v>248</v>
      </c>
      <c r="D314" s="12" t="s">
        <v>245</v>
      </c>
      <c r="E314" s="89">
        <f t="shared" ca="1" si="34"/>
        <v>40951</v>
      </c>
      <c r="F314" s="11">
        <f>DATE(2004,5,14)</f>
        <v>38121</v>
      </c>
      <c r="G314" s="12">
        <f t="shared" ca="1" si="30"/>
        <v>8</v>
      </c>
      <c r="H314" s="12">
        <f t="shared" ca="1" si="31"/>
        <v>-3</v>
      </c>
      <c r="I314" s="13">
        <f t="shared" ca="1" si="32"/>
        <v>-2</v>
      </c>
      <c r="J314" s="14">
        <f t="shared" ca="1" si="29"/>
        <v>7</v>
      </c>
      <c r="K314" s="12" t="s">
        <v>41</v>
      </c>
      <c r="L314" s="12">
        <v>26</v>
      </c>
      <c r="M314" s="12" t="s">
        <v>44</v>
      </c>
      <c r="N314" s="12">
        <v>71</v>
      </c>
    </row>
    <row r="315" spans="1:15">
      <c r="A315" s="12">
        <f t="shared" si="33"/>
        <v>314</v>
      </c>
      <c r="B315" s="12" t="s">
        <v>6</v>
      </c>
      <c r="C315" s="12" t="s">
        <v>249</v>
      </c>
      <c r="D315" s="12" t="s">
        <v>250</v>
      </c>
      <c r="E315" s="89">
        <f t="shared" ca="1" si="34"/>
        <v>40951</v>
      </c>
      <c r="F315" s="11">
        <f>DATE(57,3,5)</f>
        <v>20884</v>
      </c>
      <c r="G315" s="12">
        <f t="shared" ca="1" si="30"/>
        <v>55</v>
      </c>
      <c r="H315" s="12">
        <f t="shared" ca="1" si="31"/>
        <v>-1</v>
      </c>
      <c r="I315" s="13">
        <f t="shared" ca="1" si="32"/>
        <v>7</v>
      </c>
      <c r="J315" s="14">
        <f t="shared" ca="1" si="29"/>
        <v>54</v>
      </c>
      <c r="K315" s="12" t="s">
        <v>40</v>
      </c>
      <c r="L315" s="12">
        <v>26</v>
      </c>
      <c r="M315" s="12" t="s">
        <v>40</v>
      </c>
      <c r="N315" s="12">
        <v>72</v>
      </c>
      <c r="O315" s="90" t="s">
        <v>2748</v>
      </c>
    </row>
    <row r="316" spans="1:15">
      <c r="A316" s="12">
        <f t="shared" si="33"/>
        <v>315</v>
      </c>
      <c r="B316" s="12" t="s">
        <v>6</v>
      </c>
      <c r="C316" s="12" t="s">
        <v>124</v>
      </c>
      <c r="D316" s="12" t="s">
        <v>249</v>
      </c>
      <c r="E316" s="89">
        <f t="shared" ca="1" si="34"/>
        <v>40951</v>
      </c>
      <c r="F316" s="11">
        <f>DATE(62,6,4)</f>
        <v>22801</v>
      </c>
      <c r="G316" s="12">
        <f t="shared" ca="1" si="30"/>
        <v>50</v>
      </c>
      <c r="H316" s="12">
        <f t="shared" ca="1" si="31"/>
        <v>-4</v>
      </c>
      <c r="I316" s="13">
        <f t="shared" ca="1" si="32"/>
        <v>8</v>
      </c>
      <c r="J316" s="14">
        <f t="shared" ca="1" si="29"/>
        <v>49</v>
      </c>
      <c r="K316" s="12" t="s">
        <v>41</v>
      </c>
      <c r="L316" s="12">
        <v>26</v>
      </c>
      <c r="M316" s="12" t="s">
        <v>40</v>
      </c>
      <c r="N316" s="12">
        <v>72</v>
      </c>
    </row>
    <row r="317" spans="1:15">
      <c r="A317" s="12">
        <f t="shared" si="33"/>
        <v>316</v>
      </c>
      <c r="B317" s="12" t="s">
        <v>6</v>
      </c>
      <c r="C317" s="12" t="s">
        <v>251</v>
      </c>
      <c r="D317" s="12" t="s">
        <v>249</v>
      </c>
      <c r="E317" s="89">
        <f t="shared" ca="1" si="34"/>
        <v>40951</v>
      </c>
      <c r="F317" s="11">
        <f>DATE(85,10,29)</f>
        <v>31349</v>
      </c>
      <c r="G317" s="12">
        <f t="shared" ca="1" si="30"/>
        <v>27</v>
      </c>
      <c r="H317" s="12">
        <f t="shared" ca="1" si="31"/>
        <v>-8</v>
      </c>
      <c r="I317" s="13">
        <f t="shared" ca="1" si="32"/>
        <v>-17</v>
      </c>
      <c r="J317" s="14">
        <f t="shared" ca="1" si="29"/>
        <v>26</v>
      </c>
      <c r="K317" s="12" t="s">
        <v>40</v>
      </c>
      <c r="L317" s="12">
        <v>26</v>
      </c>
      <c r="M317" s="12" t="s">
        <v>44</v>
      </c>
      <c r="N317" s="12">
        <v>72</v>
      </c>
    </row>
    <row r="318" spans="1:15">
      <c r="A318" s="12">
        <f t="shared" si="33"/>
        <v>317</v>
      </c>
      <c r="B318" s="12" t="s">
        <v>6</v>
      </c>
      <c r="C318" s="12" t="s">
        <v>136</v>
      </c>
      <c r="D318" s="12" t="s">
        <v>198</v>
      </c>
      <c r="E318" s="89">
        <f t="shared" ca="1" si="34"/>
        <v>40951</v>
      </c>
      <c r="F318" s="11">
        <f>DATE(34,12,12)</f>
        <v>12765</v>
      </c>
      <c r="G318" s="12">
        <f t="shared" ca="1" si="30"/>
        <v>78</v>
      </c>
      <c r="H318" s="12">
        <f t="shared" ca="1" si="31"/>
        <v>-10</v>
      </c>
      <c r="I318" s="13">
        <f t="shared" ca="1" si="32"/>
        <v>0</v>
      </c>
      <c r="J318" s="14">
        <f t="shared" ca="1" si="29"/>
        <v>77</v>
      </c>
      <c r="K318" s="12" t="s">
        <v>40</v>
      </c>
      <c r="L318" s="12">
        <v>26</v>
      </c>
      <c r="M318" s="12" t="s">
        <v>40</v>
      </c>
      <c r="N318" s="12">
        <v>73</v>
      </c>
      <c r="O318" s="90" t="s">
        <v>2748</v>
      </c>
    </row>
    <row r="319" spans="1:15">
      <c r="A319" s="12">
        <f t="shared" si="33"/>
        <v>318</v>
      </c>
      <c r="B319" s="12" t="s">
        <v>6</v>
      </c>
      <c r="C319" s="12" t="s">
        <v>252</v>
      </c>
      <c r="D319" s="12" t="s">
        <v>136</v>
      </c>
      <c r="E319" s="89">
        <f t="shared" ca="1" si="34"/>
        <v>40951</v>
      </c>
      <c r="F319" s="11">
        <f>DATE(46,2,7)</f>
        <v>16840</v>
      </c>
      <c r="G319" s="12">
        <f t="shared" ca="1" si="30"/>
        <v>66</v>
      </c>
      <c r="H319" s="12">
        <f t="shared" ca="1" si="31"/>
        <v>0</v>
      </c>
      <c r="I319" s="13">
        <f t="shared" ca="1" si="32"/>
        <v>5</v>
      </c>
      <c r="J319" s="14">
        <f t="shared" ca="1" si="29"/>
        <v>66</v>
      </c>
      <c r="K319" s="12" t="s">
        <v>41</v>
      </c>
      <c r="L319" s="12">
        <v>26</v>
      </c>
      <c r="M319" s="12" t="s">
        <v>40</v>
      </c>
      <c r="N319" s="12">
        <v>73</v>
      </c>
    </row>
    <row r="320" spans="1:15">
      <c r="A320" s="12">
        <f t="shared" si="33"/>
        <v>319</v>
      </c>
      <c r="B320" s="12" t="s">
        <v>6</v>
      </c>
      <c r="C320" s="12" t="s">
        <v>253</v>
      </c>
      <c r="D320" s="12" t="s">
        <v>136</v>
      </c>
      <c r="E320" s="89">
        <f t="shared" ca="1" si="34"/>
        <v>40951</v>
      </c>
      <c r="F320" s="11">
        <f>DATE(71,6,30)</f>
        <v>26114</v>
      </c>
      <c r="G320" s="12">
        <f t="shared" ca="1" si="30"/>
        <v>41</v>
      </c>
      <c r="H320" s="12">
        <f t="shared" ca="1" si="31"/>
        <v>-4</v>
      </c>
      <c r="I320" s="13">
        <f t="shared" ca="1" si="32"/>
        <v>-18</v>
      </c>
      <c r="J320" s="14">
        <f t="shared" ca="1" si="29"/>
        <v>40</v>
      </c>
      <c r="K320" s="12" t="s">
        <v>40</v>
      </c>
      <c r="L320" s="12">
        <v>26</v>
      </c>
      <c r="M320" s="12" t="s">
        <v>40</v>
      </c>
      <c r="N320" s="12">
        <v>73</v>
      </c>
    </row>
    <row r="321" spans="1:15">
      <c r="A321" s="12">
        <f t="shared" si="33"/>
        <v>320</v>
      </c>
      <c r="B321" s="12" t="s">
        <v>6</v>
      </c>
      <c r="C321" s="12" t="s">
        <v>145</v>
      </c>
      <c r="D321" s="12" t="s">
        <v>254</v>
      </c>
      <c r="E321" s="89">
        <f t="shared" ca="1" si="34"/>
        <v>40951</v>
      </c>
      <c r="F321" s="11">
        <f>DATE(76,2,24)</f>
        <v>27814</v>
      </c>
      <c r="G321" s="12">
        <f t="shared" ca="1" si="30"/>
        <v>36</v>
      </c>
      <c r="H321" s="12">
        <f t="shared" ca="1" si="31"/>
        <v>0</v>
      </c>
      <c r="I321" s="13">
        <f t="shared" ca="1" si="32"/>
        <v>-12</v>
      </c>
      <c r="J321" s="14">
        <f t="shared" ca="1" si="29"/>
        <v>35</v>
      </c>
      <c r="K321" s="12" t="s">
        <v>41</v>
      </c>
      <c r="L321" s="12">
        <v>26</v>
      </c>
      <c r="M321" s="12" t="s">
        <v>40</v>
      </c>
      <c r="N321" s="12">
        <v>73</v>
      </c>
    </row>
    <row r="322" spans="1:15">
      <c r="A322" s="12">
        <f t="shared" si="33"/>
        <v>321</v>
      </c>
      <c r="B322" s="12" t="s">
        <v>6</v>
      </c>
      <c r="C322" s="12" t="s">
        <v>63</v>
      </c>
      <c r="D322" s="12" t="s">
        <v>254</v>
      </c>
      <c r="E322" s="89">
        <f t="shared" ca="1" si="34"/>
        <v>40951</v>
      </c>
      <c r="F322" s="11">
        <f>DATE(97,11,18)</f>
        <v>35752</v>
      </c>
      <c r="G322" s="12">
        <f t="shared" ca="1" si="30"/>
        <v>15</v>
      </c>
      <c r="H322" s="12">
        <f t="shared" ca="1" si="31"/>
        <v>-9</v>
      </c>
      <c r="I322" s="13">
        <f t="shared" ca="1" si="32"/>
        <v>-6</v>
      </c>
      <c r="J322" s="14">
        <f t="shared" ca="1" si="29"/>
        <v>14</v>
      </c>
      <c r="K322" s="12" t="s">
        <v>40</v>
      </c>
      <c r="L322" s="12">
        <v>26</v>
      </c>
      <c r="M322" s="12" t="s">
        <v>44</v>
      </c>
      <c r="N322" s="12">
        <v>73</v>
      </c>
    </row>
    <row r="323" spans="1:15">
      <c r="A323" s="12">
        <f t="shared" si="33"/>
        <v>322</v>
      </c>
      <c r="B323" s="12" t="s">
        <v>6</v>
      </c>
      <c r="C323" s="12" t="s">
        <v>183</v>
      </c>
      <c r="D323" s="12" t="s">
        <v>254</v>
      </c>
      <c r="E323" s="89">
        <f t="shared" ca="1" si="34"/>
        <v>40951</v>
      </c>
      <c r="F323" s="11">
        <f>DATE(99,6,4)</f>
        <v>36315</v>
      </c>
      <c r="G323" s="12">
        <f t="shared" ca="1" si="30"/>
        <v>13</v>
      </c>
      <c r="H323" s="12">
        <f t="shared" ca="1" si="31"/>
        <v>-4</v>
      </c>
      <c r="I323" s="13">
        <f t="shared" ca="1" si="32"/>
        <v>8</v>
      </c>
      <c r="J323" s="14">
        <f t="shared" ref="J323:J386" ca="1" si="35">IF(H323&lt;0,G323-1,IF(H323&gt;0,G323,IF(I323&lt;0,G323-1,G323)))</f>
        <v>12</v>
      </c>
      <c r="K323" s="12" t="s">
        <v>40</v>
      </c>
      <c r="L323" s="12">
        <v>26</v>
      </c>
      <c r="M323" s="12" t="s">
        <v>44</v>
      </c>
      <c r="N323" s="12">
        <v>73</v>
      </c>
    </row>
    <row r="324" spans="1:15">
      <c r="A324" s="12">
        <f t="shared" si="33"/>
        <v>323</v>
      </c>
      <c r="B324" s="12" t="s">
        <v>6</v>
      </c>
      <c r="C324" s="12" t="s">
        <v>255</v>
      </c>
      <c r="D324" s="12" t="s">
        <v>185</v>
      </c>
      <c r="E324" s="89">
        <f t="shared" ca="1" si="34"/>
        <v>40951</v>
      </c>
      <c r="F324" s="11">
        <f>DATE(68,9,26)</f>
        <v>25107</v>
      </c>
      <c r="G324" s="12">
        <f t="shared" ca="1" si="30"/>
        <v>44</v>
      </c>
      <c r="H324" s="12">
        <f t="shared" ca="1" si="31"/>
        <v>-7</v>
      </c>
      <c r="I324" s="13">
        <f t="shared" ca="1" si="32"/>
        <v>-14</v>
      </c>
      <c r="J324" s="14">
        <f t="shared" ca="1" si="35"/>
        <v>43</v>
      </c>
      <c r="K324" s="12" t="s">
        <v>40</v>
      </c>
      <c r="L324" s="12">
        <v>27</v>
      </c>
      <c r="M324" s="12" t="s">
        <v>40</v>
      </c>
      <c r="N324" s="12">
        <v>74</v>
      </c>
      <c r="O324" s="90" t="s">
        <v>2748</v>
      </c>
    </row>
    <row r="325" spans="1:15">
      <c r="A325" s="12">
        <f t="shared" si="33"/>
        <v>324</v>
      </c>
      <c r="B325" s="12" t="s">
        <v>6</v>
      </c>
      <c r="C325" s="12" t="s">
        <v>111</v>
      </c>
      <c r="D325" s="12" t="s">
        <v>185</v>
      </c>
      <c r="E325" s="89">
        <f t="shared" ca="1" si="34"/>
        <v>40951</v>
      </c>
      <c r="F325" s="11">
        <f>DATE(41,8,1)</f>
        <v>15189</v>
      </c>
      <c r="G325" s="12">
        <f t="shared" ca="1" si="30"/>
        <v>71</v>
      </c>
      <c r="H325" s="12">
        <f t="shared" ca="1" si="31"/>
        <v>-6</v>
      </c>
      <c r="I325" s="13">
        <f t="shared" ca="1" si="32"/>
        <v>11</v>
      </c>
      <c r="J325" s="14">
        <f t="shared" ca="1" si="35"/>
        <v>70</v>
      </c>
      <c r="K325" s="12" t="s">
        <v>41</v>
      </c>
      <c r="L325" s="12">
        <v>27</v>
      </c>
      <c r="M325" s="12" t="s">
        <v>40</v>
      </c>
      <c r="N325" s="12">
        <v>74</v>
      </c>
    </row>
    <row r="326" spans="1:15">
      <c r="A326" s="12">
        <f t="shared" si="33"/>
        <v>325</v>
      </c>
      <c r="B326" s="12" t="s">
        <v>6</v>
      </c>
      <c r="C326" s="12" t="s">
        <v>256</v>
      </c>
      <c r="D326" s="12" t="s">
        <v>255</v>
      </c>
      <c r="E326" s="89">
        <f t="shared" ca="1" si="34"/>
        <v>40951</v>
      </c>
      <c r="F326" s="32"/>
      <c r="G326" s="12">
        <f t="shared" ca="1" si="30"/>
        <v>112</v>
      </c>
      <c r="H326" s="12">
        <f t="shared" ca="1" si="31"/>
        <v>1</v>
      </c>
      <c r="I326" s="13">
        <f t="shared" ca="1" si="32"/>
        <v>12</v>
      </c>
      <c r="J326" s="14">
        <f t="shared" ca="1" si="35"/>
        <v>112</v>
      </c>
      <c r="K326" s="12" t="s">
        <v>41</v>
      </c>
      <c r="L326" s="12">
        <v>27</v>
      </c>
      <c r="M326" s="12" t="s">
        <v>40</v>
      </c>
      <c r="N326" s="12">
        <v>74</v>
      </c>
    </row>
    <row r="327" spans="1:15">
      <c r="A327" s="12">
        <f t="shared" si="33"/>
        <v>326</v>
      </c>
      <c r="B327" s="12" t="s">
        <v>6</v>
      </c>
      <c r="C327" s="12" t="s">
        <v>257</v>
      </c>
      <c r="D327" s="12" t="s">
        <v>255</v>
      </c>
      <c r="E327" s="89">
        <f t="shared" ca="1" si="34"/>
        <v>40951</v>
      </c>
      <c r="F327" s="11">
        <f>DATE(92,12,18)</f>
        <v>33956</v>
      </c>
      <c r="G327" s="12">
        <f t="shared" ca="1" si="30"/>
        <v>20</v>
      </c>
      <c r="H327" s="12">
        <f t="shared" ca="1" si="31"/>
        <v>-10</v>
      </c>
      <c r="I327" s="13">
        <f t="shared" ca="1" si="32"/>
        <v>-6</v>
      </c>
      <c r="J327" s="14">
        <f t="shared" ca="1" si="35"/>
        <v>19</v>
      </c>
      <c r="K327" s="12" t="s">
        <v>40</v>
      </c>
      <c r="L327" s="12">
        <v>27</v>
      </c>
      <c r="M327" s="12" t="s">
        <v>44</v>
      </c>
      <c r="N327" s="12">
        <v>74</v>
      </c>
    </row>
    <row r="328" spans="1:15">
      <c r="A328" s="12">
        <f t="shared" si="33"/>
        <v>327</v>
      </c>
      <c r="B328" s="12" t="s">
        <v>6</v>
      </c>
      <c r="C328" s="12" t="s">
        <v>258</v>
      </c>
      <c r="E328" s="89">
        <f t="shared" ca="1" si="34"/>
        <v>40951</v>
      </c>
      <c r="F328" s="11">
        <f>DATE(99,4,9)</f>
        <v>36259</v>
      </c>
      <c r="G328" s="12">
        <f t="shared" ca="1" si="30"/>
        <v>13</v>
      </c>
      <c r="H328" s="12">
        <f t="shared" ca="1" si="31"/>
        <v>-2</v>
      </c>
      <c r="I328" s="13">
        <f t="shared" ca="1" si="32"/>
        <v>3</v>
      </c>
      <c r="J328" s="14">
        <f t="shared" ca="1" si="35"/>
        <v>12</v>
      </c>
      <c r="K328" s="12" t="s">
        <v>41</v>
      </c>
      <c r="L328" s="12">
        <v>27</v>
      </c>
      <c r="M328" s="12" t="s">
        <v>44</v>
      </c>
      <c r="N328" s="12">
        <v>74</v>
      </c>
    </row>
    <row r="329" spans="1:15">
      <c r="A329" s="12">
        <f t="shared" si="33"/>
        <v>328</v>
      </c>
      <c r="B329" s="12" t="s">
        <v>6</v>
      </c>
      <c r="C329" s="12" t="s">
        <v>259</v>
      </c>
      <c r="D329" s="12" t="s">
        <v>260</v>
      </c>
      <c r="E329" s="89">
        <f t="shared" ca="1" si="34"/>
        <v>40951</v>
      </c>
      <c r="F329" s="11">
        <f>DATE(63,6,13)</f>
        <v>23175</v>
      </c>
      <c r="G329" s="12">
        <f t="shared" ca="1" si="30"/>
        <v>49</v>
      </c>
      <c r="H329" s="12">
        <f t="shared" ca="1" si="31"/>
        <v>-4</v>
      </c>
      <c r="I329" s="13">
        <f t="shared" ca="1" si="32"/>
        <v>-1</v>
      </c>
      <c r="J329" s="14">
        <f t="shared" ca="1" si="35"/>
        <v>48</v>
      </c>
      <c r="K329" s="12" t="s">
        <v>40</v>
      </c>
      <c r="L329" s="12">
        <v>27</v>
      </c>
      <c r="M329" s="12" t="s">
        <v>40</v>
      </c>
      <c r="N329" s="12">
        <v>75</v>
      </c>
      <c r="O329" s="90" t="s">
        <v>2748</v>
      </c>
    </row>
    <row r="330" spans="1:15">
      <c r="A330" s="12">
        <f t="shared" si="33"/>
        <v>329</v>
      </c>
      <c r="B330" s="12" t="s">
        <v>6</v>
      </c>
      <c r="C330" s="12" t="s">
        <v>261</v>
      </c>
      <c r="D330" s="12" t="s">
        <v>262</v>
      </c>
      <c r="E330" s="89">
        <f t="shared" ca="1" si="34"/>
        <v>40951</v>
      </c>
      <c r="F330" s="11">
        <f>DATE(71,3,7)</f>
        <v>25999</v>
      </c>
      <c r="G330" s="12">
        <f t="shared" ca="1" si="30"/>
        <v>41</v>
      </c>
      <c r="H330" s="12">
        <f t="shared" ca="1" si="31"/>
        <v>-1</v>
      </c>
      <c r="I330" s="13">
        <f t="shared" ca="1" si="32"/>
        <v>5</v>
      </c>
      <c r="J330" s="14">
        <f t="shared" ca="1" si="35"/>
        <v>40</v>
      </c>
      <c r="K330" s="12" t="s">
        <v>41</v>
      </c>
      <c r="L330" s="12">
        <v>27</v>
      </c>
      <c r="M330" s="12" t="s">
        <v>40</v>
      </c>
      <c r="N330" s="12">
        <v>75</v>
      </c>
    </row>
    <row r="331" spans="1:15">
      <c r="A331" s="12">
        <f t="shared" si="33"/>
        <v>330</v>
      </c>
      <c r="B331" s="12" t="s">
        <v>6</v>
      </c>
      <c r="C331" s="12" t="s">
        <v>202</v>
      </c>
      <c r="D331" s="12" t="s">
        <v>262</v>
      </c>
      <c r="E331" s="89">
        <f t="shared" ca="1" si="34"/>
        <v>40951</v>
      </c>
      <c r="F331" s="11">
        <f>DATE(92,6,8)</f>
        <v>33763</v>
      </c>
      <c r="G331" s="12">
        <f t="shared" ca="1" si="30"/>
        <v>20</v>
      </c>
      <c r="H331" s="12">
        <f t="shared" ca="1" si="31"/>
        <v>-4</v>
      </c>
      <c r="I331" s="13">
        <f t="shared" ca="1" si="32"/>
        <v>4</v>
      </c>
      <c r="J331" s="14">
        <f t="shared" ca="1" si="35"/>
        <v>19</v>
      </c>
      <c r="K331" s="12" t="s">
        <v>41</v>
      </c>
      <c r="L331" s="12">
        <v>27</v>
      </c>
      <c r="M331" s="12" t="s">
        <v>44</v>
      </c>
      <c r="N331" s="12">
        <v>75</v>
      </c>
    </row>
    <row r="332" spans="1:15">
      <c r="A332" s="12">
        <f t="shared" si="33"/>
        <v>331</v>
      </c>
      <c r="B332" s="12" t="s">
        <v>6</v>
      </c>
      <c r="C332" s="12" t="s">
        <v>263</v>
      </c>
      <c r="D332" s="12" t="s">
        <v>262</v>
      </c>
      <c r="E332" s="89">
        <f t="shared" ca="1" si="34"/>
        <v>40951</v>
      </c>
      <c r="F332" s="11">
        <f>DATE(98,10,17)</f>
        <v>36085</v>
      </c>
      <c r="G332" s="12">
        <f t="shared" ca="1" si="30"/>
        <v>14</v>
      </c>
      <c r="H332" s="12">
        <f t="shared" ca="1" si="31"/>
        <v>-8</v>
      </c>
      <c r="I332" s="13">
        <f t="shared" ca="1" si="32"/>
        <v>-5</v>
      </c>
      <c r="J332" s="14">
        <f t="shared" ca="1" si="35"/>
        <v>13</v>
      </c>
      <c r="K332" s="12" t="s">
        <v>40</v>
      </c>
      <c r="L332" s="12">
        <v>27</v>
      </c>
      <c r="M332" s="12" t="s">
        <v>44</v>
      </c>
      <c r="N332" s="12">
        <v>75</v>
      </c>
    </row>
    <row r="333" spans="1:15">
      <c r="A333" s="12">
        <f t="shared" si="33"/>
        <v>332</v>
      </c>
      <c r="B333" s="12" t="s">
        <v>6</v>
      </c>
      <c r="C333" s="12" t="s">
        <v>264</v>
      </c>
      <c r="D333" s="12" t="s">
        <v>189</v>
      </c>
      <c r="E333" s="89">
        <f t="shared" ca="1" si="34"/>
        <v>40951</v>
      </c>
      <c r="F333" s="11">
        <f>DATE(56,7,5)</f>
        <v>20641</v>
      </c>
      <c r="G333" s="12">
        <f t="shared" ca="1" si="30"/>
        <v>56</v>
      </c>
      <c r="H333" s="12">
        <f t="shared" ca="1" si="31"/>
        <v>-5</v>
      </c>
      <c r="I333" s="13">
        <f t="shared" ca="1" si="32"/>
        <v>7</v>
      </c>
      <c r="J333" s="14">
        <f t="shared" ca="1" si="35"/>
        <v>55</v>
      </c>
      <c r="K333" s="12" t="s">
        <v>40</v>
      </c>
      <c r="L333" s="12">
        <v>27</v>
      </c>
      <c r="M333" s="12" t="s">
        <v>40</v>
      </c>
      <c r="N333" s="12">
        <v>76</v>
      </c>
      <c r="O333" s="90" t="s">
        <v>2748</v>
      </c>
    </row>
    <row r="334" spans="1:15">
      <c r="A334" s="12">
        <f t="shared" si="33"/>
        <v>333</v>
      </c>
      <c r="B334" s="12" t="s">
        <v>6</v>
      </c>
      <c r="C334" s="12" t="s">
        <v>265</v>
      </c>
      <c r="D334" s="12" t="s">
        <v>264</v>
      </c>
      <c r="E334" s="89">
        <f t="shared" ca="1" si="34"/>
        <v>40951</v>
      </c>
      <c r="F334" s="11">
        <f>DATE(64,6,27)</f>
        <v>23555</v>
      </c>
      <c r="G334" s="12">
        <f t="shared" ca="1" si="30"/>
        <v>48</v>
      </c>
      <c r="H334" s="12">
        <f t="shared" ca="1" si="31"/>
        <v>-4</v>
      </c>
      <c r="I334" s="13">
        <f t="shared" ca="1" si="32"/>
        <v>-15</v>
      </c>
      <c r="J334" s="14">
        <f t="shared" ca="1" si="35"/>
        <v>47</v>
      </c>
      <c r="K334" s="12" t="s">
        <v>41</v>
      </c>
      <c r="L334" s="12">
        <v>27</v>
      </c>
      <c r="M334" s="12" t="s">
        <v>40</v>
      </c>
      <c r="N334" s="12">
        <v>76</v>
      </c>
    </row>
    <row r="335" spans="1:15">
      <c r="A335" s="12">
        <f t="shared" si="33"/>
        <v>334</v>
      </c>
      <c r="B335" s="12" t="s">
        <v>6</v>
      </c>
      <c r="C335" s="12" t="s">
        <v>251</v>
      </c>
      <c r="D335" s="12" t="s">
        <v>264</v>
      </c>
      <c r="E335" s="89">
        <f t="shared" ca="1" si="34"/>
        <v>40951</v>
      </c>
      <c r="F335" s="11">
        <f>DATE(88,11,11)</f>
        <v>32458</v>
      </c>
      <c r="G335" s="12">
        <f t="shared" ca="1" si="30"/>
        <v>24</v>
      </c>
      <c r="H335" s="12">
        <f t="shared" ca="1" si="31"/>
        <v>-9</v>
      </c>
      <c r="I335" s="13">
        <f t="shared" ca="1" si="32"/>
        <v>1</v>
      </c>
      <c r="J335" s="14">
        <f t="shared" ca="1" si="35"/>
        <v>23</v>
      </c>
      <c r="K335" s="12" t="s">
        <v>40</v>
      </c>
      <c r="L335" s="12">
        <v>27</v>
      </c>
      <c r="M335" s="12" t="s">
        <v>44</v>
      </c>
      <c r="N335" s="12">
        <v>76</v>
      </c>
    </row>
    <row r="336" spans="1:15">
      <c r="A336" s="12">
        <f t="shared" si="33"/>
        <v>335</v>
      </c>
      <c r="B336" s="12" t="s">
        <v>6</v>
      </c>
      <c r="C336" s="12" t="s">
        <v>246</v>
      </c>
      <c r="D336" s="12" t="s">
        <v>264</v>
      </c>
      <c r="E336" s="89">
        <f t="shared" ca="1" si="34"/>
        <v>40951</v>
      </c>
      <c r="F336" s="11">
        <f>DATE(92,8,2)</f>
        <v>33818</v>
      </c>
      <c r="G336" s="12">
        <f t="shared" ca="1" si="30"/>
        <v>20</v>
      </c>
      <c r="H336" s="12">
        <f t="shared" ca="1" si="31"/>
        <v>-6</v>
      </c>
      <c r="I336" s="13">
        <f t="shared" ca="1" si="32"/>
        <v>10</v>
      </c>
      <c r="J336" s="14">
        <f t="shared" ca="1" si="35"/>
        <v>19</v>
      </c>
      <c r="K336" s="12" t="s">
        <v>41</v>
      </c>
      <c r="L336" s="12">
        <v>27</v>
      </c>
      <c r="M336" s="12" t="s">
        <v>44</v>
      </c>
      <c r="N336" s="12">
        <v>76</v>
      </c>
    </row>
    <row r="337" spans="1:15">
      <c r="A337" s="12">
        <f t="shared" si="33"/>
        <v>336</v>
      </c>
      <c r="B337" s="12" t="s">
        <v>6</v>
      </c>
      <c r="C337" s="12" t="s">
        <v>266</v>
      </c>
      <c r="D337" s="12" t="s">
        <v>267</v>
      </c>
      <c r="E337" s="89">
        <f t="shared" ca="1" si="34"/>
        <v>40951</v>
      </c>
      <c r="F337" s="11">
        <f>DATE(52,12,31)</f>
        <v>19359</v>
      </c>
      <c r="G337" s="12">
        <f t="shared" ca="1" si="30"/>
        <v>60</v>
      </c>
      <c r="H337" s="12">
        <f t="shared" ca="1" si="31"/>
        <v>-10</v>
      </c>
      <c r="I337" s="13">
        <f t="shared" ca="1" si="32"/>
        <v>-19</v>
      </c>
      <c r="J337" s="14">
        <f t="shared" ca="1" si="35"/>
        <v>59</v>
      </c>
      <c r="K337" s="12" t="s">
        <v>40</v>
      </c>
      <c r="L337" s="12">
        <v>28</v>
      </c>
      <c r="M337" s="12" t="s">
        <v>40</v>
      </c>
      <c r="N337" s="12">
        <v>77</v>
      </c>
      <c r="O337" s="90" t="s">
        <v>2748</v>
      </c>
    </row>
    <row r="338" spans="1:15">
      <c r="A338" s="12">
        <f t="shared" si="33"/>
        <v>337</v>
      </c>
      <c r="B338" s="12" t="s">
        <v>6</v>
      </c>
      <c r="C338" s="12" t="s">
        <v>102</v>
      </c>
      <c r="D338" s="12" t="s">
        <v>266</v>
      </c>
      <c r="E338" s="89">
        <f t="shared" ca="1" si="34"/>
        <v>40951</v>
      </c>
      <c r="F338" s="11">
        <f>DATE(53,12,24)</f>
        <v>19717</v>
      </c>
      <c r="G338" s="12">
        <f t="shared" ca="1" si="30"/>
        <v>59</v>
      </c>
      <c r="H338" s="12">
        <f t="shared" ca="1" si="31"/>
        <v>-10</v>
      </c>
      <c r="I338" s="13">
        <f t="shared" ca="1" si="32"/>
        <v>-12</v>
      </c>
      <c r="J338" s="14">
        <f t="shared" ca="1" si="35"/>
        <v>58</v>
      </c>
      <c r="K338" s="12" t="s">
        <v>41</v>
      </c>
      <c r="L338" s="12">
        <v>28</v>
      </c>
      <c r="M338" s="12" t="s">
        <v>40</v>
      </c>
      <c r="N338" s="12">
        <v>77</v>
      </c>
    </row>
    <row r="339" spans="1:15">
      <c r="A339" s="12">
        <f t="shared" si="33"/>
        <v>338</v>
      </c>
      <c r="B339" s="12" t="s">
        <v>6</v>
      </c>
      <c r="C339" s="12" t="s">
        <v>268</v>
      </c>
      <c r="D339" s="12" t="s">
        <v>266</v>
      </c>
      <c r="E339" s="89">
        <f t="shared" ca="1" si="34"/>
        <v>40951</v>
      </c>
      <c r="F339" s="11">
        <f>DATE(80,5,20)</f>
        <v>29361</v>
      </c>
      <c r="G339" s="12">
        <f t="shared" ca="1" si="30"/>
        <v>32</v>
      </c>
      <c r="H339" s="12">
        <f t="shared" ca="1" si="31"/>
        <v>-3</v>
      </c>
      <c r="I339" s="13">
        <f t="shared" ca="1" si="32"/>
        <v>-8</v>
      </c>
      <c r="J339" s="14">
        <f t="shared" ca="1" si="35"/>
        <v>31</v>
      </c>
      <c r="K339" s="12" t="s">
        <v>40</v>
      </c>
      <c r="L339" s="12">
        <v>28</v>
      </c>
      <c r="M339" s="12" t="s">
        <v>40</v>
      </c>
      <c r="N339" s="12">
        <v>77</v>
      </c>
    </row>
    <row r="340" spans="1:15">
      <c r="A340" s="12">
        <f t="shared" si="33"/>
        <v>339</v>
      </c>
      <c r="B340" s="12" t="s">
        <v>6</v>
      </c>
      <c r="C340" s="12" t="s">
        <v>160</v>
      </c>
      <c r="D340" s="12" t="s">
        <v>268</v>
      </c>
      <c r="E340" s="89">
        <f t="shared" ca="1" si="34"/>
        <v>40951</v>
      </c>
      <c r="F340" s="11">
        <f>DATE(81,5,23)</f>
        <v>29729</v>
      </c>
      <c r="G340" s="12">
        <f t="shared" ca="1" si="30"/>
        <v>31</v>
      </c>
      <c r="H340" s="12">
        <f t="shared" ca="1" si="31"/>
        <v>-3</v>
      </c>
      <c r="I340" s="13">
        <f t="shared" ca="1" si="32"/>
        <v>-11</v>
      </c>
      <c r="J340" s="14">
        <f t="shared" ca="1" si="35"/>
        <v>30</v>
      </c>
      <c r="K340" s="12" t="s">
        <v>41</v>
      </c>
      <c r="L340" s="12">
        <v>28</v>
      </c>
      <c r="M340" s="12" t="s">
        <v>40</v>
      </c>
      <c r="N340" s="12">
        <v>77</v>
      </c>
    </row>
    <row r="341" spans="1:15">
      <c r="A341" s="12">
        <f t="shared" si="33"/>
        <v>340</v>
      </c>
      <c r="B341" s="12" t="s">
        <v>6</v>
      </c>
      <c r="C341" s="12" t="s">
        <v>63</v>
      </c>
      <c r="D341" s="12" t="s">
        <v>268</v>
      </c>
      <c r="E341" s="89">
        <f t="shared" ca="1" si="34"/>
        <v>40951</v>
      </c>
      <c r="F341" s="11">
        <f>DATE(2005,9,16)</f>
        <v>38611</v>
      </c>
      <c r="G341" s="12">
        <f t="shared" ca="1" si="30"/>
        <v>7</v>
      </c>
      <c r="H341" s="12">
        <f t="shared" ca="1" si="31"/>
        <v>-7</v>
      </c>
      <c r="I341" s="13">
        <f t="shared" ca="1" si="32"/>
        <v>-4</v>
      </c>
      <c r="J341" s="14">
        <f t="shared" ca="1" si="35"/>
        <v>6</v>
      </c>
      <c r="K341" s="12" t="s">
        <v>40</v>
      </c>
      <c r="L341" s="12">
        <v>28</v>
      </c>
      <c r="M341" s="12" t="s">
        <v>44</v>
      </c>
      <c r="N341" s="12">
        <v>77</v>
      </c>
    </row>
    <row r="342" spans="1:15">
      <c r="A342" s="12">
        <f t="shared" si="33"/>
        <v>341</v>
      </c>
      <c r="B342" s="12" t="s">
        <v>6</v>
      </c>
      <c r="C342" s="12" t="s">
        <v>269</v>
      </c>
      <c r="D342" s="12" t="s">
        <v>266</v>
      </c>
      <c r="E342" s="89">
        <f t="shared" ca="1" si="34"/>
        <v>40951</v>
      </c>
      <c r="F342" s="11">
        <f>DATE(82,11,26)</f>
        <v>30281</v>
      </c>
      <c r="G342" s="12">
        <f t="shared" ca="1" si="30"/>
        <v>30</v>
      </c>
      <c r="H342" s="12">
        <f t="shared" ca="1" si="31"/>
        <v>-9</v>
      </c>
      <c r="I342" s="13">
        <f t="shared" ca="1" si="32"/>
        <v>-14</v>
      </c>
      <c r="J342" s="14">
        <f t="shared" ca="1" si="35"/>
        <v>29</v>
      </c>
      <c r="K342" s="12" t="s">
        <v>40</v>
      </c>
      <c r="L342" s="12">
        <v>28</v>
      </c>
      <c r="M342" s="12" t="s">
        <v>44</v>
      </c>
      <c r="N342" s="12">
        <v>77</v>
      </c>
    </row>
    <row r="343" spans="1:15">
      <c r="A343" s="12">
        <f t="shared" si="33"/>
        <v>342</v>
      </c>
      <c r="B343" s="12" t="s">
        <v>2</v>
      </c>
      <c r="C343" s="12" t="s">
        <v>162</v>
      </c>
      <c r="D343" s="12" t="s">
        <v>270</v>
      </c>
      <c r="E343" s="89">
        <f t="shared" ca="1" si="34"/>
        <v>40951</v>
      </c>
      <c r="F343" s="11">
        <f>DATE(58,7,18)</f>
        <v>21384</v>
      </c>
      <c r="G343" s="12">
        <f t="shared" ca="1" si="30"/>
        <v>54</v>
      </c>
      <c r="H343" s="12">
        <f t="shared" ca="1" si="31"/>
        <v>-5</v>
      </c>
      <c r="I343" s="13">
        <f t="shared" ca="1" si="32"/>
        <v>-6</v>
      </c>
      <c r="J343" s="14">
        <f t="shared" ca="1" si="35"/>
        <v>53</v>
      </c>
      <c r="K343" s="12" t="s">
        <v>40</v>
      </c>
      <c r="L343" s="12">
        <v>29</v>
      </c>
      <c r="M343" s="12" t="s">
        <v>40</v>
      </c>
      <c r="N343" s="12">
        <v>78</v>
      </c>
      <c r="O343" s="90" t="s">
        <v>2748</v>
      </c>
    </row>
    <row r="344" spans="1:15">
      <c r="A344" s="12">
        <f t="shared" si="33"/>
        <v>343</v>
      </c>
      <c r="B344" s="12" t="s">
        <v>2</v>
      </c>
      <c r="C344" s="12" t="s">
        <v>304</v>
      </c>
      <c r="D344" s="12" t="s">
        <v>162</v>
      </c>
      <c r="E344" s="89">
        <f t="shared" ca="1" si="34"/>
        <v>40951</v>
      </c>
      <c r="F344" s="11">
        <f>DATE(62,7,23)</f>
        <v>22850</v>
      </c>
      <c r="G344" s="12">
        <f t="shared" ca="1" si="30"/>
        <v>50</v>
      </c>
      <c r="H344" s="12">
        <f t="shared" ca="1" si="31"/>
        <v>-5</v>
      </c>
      <c r="I344" s="13">
        <f t="shared" ca="1" si="32"/>
        <v>-11</v>
      </c>
      <c r="J344" s="14">
        <f t="shared" ca="1" si="35"/>
        <v>49</v>
      </c>
      <c r="K344" s="12" t="s">
        <v>41</v>
      </c>
      <c r="L344" s="12">
        <v>29</v>
      </c>
      <c r="M344" s="12" t="s">
        <v>40</v>
      </c>
      <c r="N344" s="12">
        <v>78</v>
      </c>
    </row>
    <row r="345" spans="1:15">
      <c r="A345" s="12">
        <f t="shared" si="33"/>
        <v>344</v>
      </c>
      <c r="B345" s="12" t="s">
        <v>2</v>
      </c>
      <c r="C345" s="12" t="s">
        <v>305</v>
      </c>
      <c r="D345" s="12" t="s">
        <v>162</v>
      </c>
      <c r="E345" s="89">
        <f t="shared" ca="1" si="34"/>
        <v>40951</v>
      </c>
      <c r="F345" s="11">
        <f>DATE(84,3,6)</f>
        <v>30747</v>
      </c>
      <c r="G345" s="12">
        <f t="shared" ref="G345:G408" ca="1" si="36">YEAR(E345)-YEAR(F345)</f>
        <v>28</v>
      </c>
      <c r="H345" s="12">
        <f t="shared" ref="H345:H408" ca="1" si="37">MONTH(E345)-MONTH(F345)</f>
        <v>-1</v>
      </c>
      <c r="I345" s="13">
        <f t="shared" ref="I345:I408" ca="1" si="38">DAY(E345)-DAY(F345)</f>
        <v>6</v>
      </c>
      <c r="J345" s="14">
        <f t="shared" ca="1" si="35"/>
        <v>27</v>
      </c>
      <c r="K345" s="12" t="s">
        <v>40</v>
      </c>
      <c r="L345" s="12">
        <v>29</v>
      </c>
      <c r="M345" s="12" t="s">
        <v>44</v>
      </c>
      <c r="N345" s="12">
        <v>78</v>
      </c>
    </row>
    <row r="346" spans="1:15">
      <c r="A346" s="12">
        <f t="shared" si="33"/>
        <v>345</v>
      </c>
      <c r="B346" s="12" t="s">
        <v>2</v>
      </c>
      <c r="C346" s="12" t="s">
        <v>231</v>
      </c>
      <c r="D346" s="12" t="s">
        <v>162</v>
      </c>
      <c r="E346" s="89">
        <f t="shared" ca="1" si="34"/>
        <v>40951</v>
      </c>
      <c r="F346" s="11">
        <f>DATE(86,8,24)</f>
        <v>31648</v>
      </c>
      <c r="G346" s="12">
        <f t="shared" ca="1" si="36"/>
        <v>26</v>
      </c>
      <c r="H346" s="12">
        <f t="shared" ca="1" si="37"/>
        <v>-6</v>
      </c>
      <c r="I346" s="13">
        <f t="shared" ca="1" si="38"/>
        <v>-12</v>
      </c>
      <c r="J346" s="14">
        <f t="shared" ca="1" si="35"/>
        <v>25</v>
      </c>
      <c r="K346" s="12" t="s">
        <v>41</v>
      </c>
      <c r="L346" s="12">
        <v>29</v>
      </c>
      <c r="M346" s="12" t="s">
        <v>44</v>
      </c>
      <c r="N346" s="12">
        <v>78</v>
      </c>
    </row>
    <row r="347" spans="1:15">
      <c r="A347" s="12">
        <f t="shared" si="33"/>
        <v>346</v>
      </c>
      <c r="B347" s="12" t="s">
        <v>2</v>
      </c>
      <c r="C347" s="12" t="s">
        <v>162</v>
      </c>
      <c r="D347" s="12" t="s">
        <v>306</v>
      </c>
      <c r="E347" s="89">
        <f t="shared" ca="1" si="34"/>
        <v>40951</v>
      </c>
      <c r="F347" s="11">
        <f>DATE(66,9,25)</f>
        <v>24375</v>
      </c>
      <c r="G347" s="12">
        <f t="shared" ca="1" si="36"/>
        <v>46</v>
      </c>
      <c r="H347" s="12">
        <f t="shared" ca="1" si="37"/>
        <v>-7</v>
      </c>
      <c r="I347" s="13">
        <f t="shared" ca="1" si="38"/>
        <v>-13</v>
      </c>
      <c r="J347" s="14">
        <f t="shared" ca="1" si="35"/>
        <v>45</v>
      </c>
      <c r="K347" s="12" t="s">
        <v>40</v>
      </c>
      <c r="L347" s="12">
        <v>29</v>
      </c>
      <c r="M347" s="12" t="s">
        <v>40</v>
      </c>
      <c r="N347" s="12">
        <v>79</v>
      </c>
      <c r="O347" s="90" t="s">
        <v>2748</v>
      </c>
    </row>
    <row r="348" spans="1:15">
      <c r="A348" s="12">
        <f t="shared" si="33"/>
        <v>347</v>
      </c>
      <c r="B348" s="12" t="s">
        <v>2</v>
      </c>
      <c r="C348" s="12" t="s">
        <v>118</v>
      </c>
      <c r="D348" s="12" t="s">
        <v>162</v>
      </c>
      <c r="E348" s="89">
        <f t="shared" ca="1" si="34"/>
        <v>40951</v>
      </c>
      <c r="F348" s="11">
        <f>DATE(65,7,15)</f>
        <v>23938</v>
      </c>
      <c r="G348" s="12">
        <f t="shared" ca="1" si="36"/>
        <v>47</v>
      </c>
      <c r="H348" s="12">
        <f t="shared" ca="1" si="37"/>
        <v>-5</v>
      </c>
      <c r="I348" s="13">
        <f t="shared" ca="1" si="38"/>
        <v>-3</v>
      </c>
      <c r="J348" s="14">
        <f t="shared" ca="1" si="35"/>
        <v>46</v>
      </c>
      <c r="K348" s="12" t="s">
        <v>41</v>
      </c>
      <c r="L348" s="12">
        <v>29</v>
      </c>
      <c r="M348" s="12" t="s">
        <v>40</v>
      </c>
      <c r="N348" s="12">
        <v>79</v>
      </c>
    </row>
    <row r="349" spans="1:15">
      <c r="A349" s="12">
        <f t="shared" si="33"/>
        <v>348</v>
      </c>
      <c r="B349" s="12" t="s">
        <v>2</v>
      </c>
      <c r="C349" s="12" t="s">
        <v>307</v>
      </c>
      <c r="D349" s="12" t="s">
        <v>162</v>
      </c>
      <c r="E349" s="89">
        <f t="shared" ca="1" si="34"/>
        <v>40951</v>
      </c>
      <c r="F349" s="11">
        <f>DATE(93,7,26)</f>
        <v>34176</v>
      </c>
      <c r="G349" s="12">
        <f t="shared" ca="1" si="36"/>
        <v>19</v>
      </c>
      <c r="H349" s="12">
        <f t="shared" ca="1" si="37"/>
        <v>-5</v>
      </c>
      <c r="I349" s="13">
        <f t="shared" ca="1" si="38"/>
        <v>-14</v>
      </c>
      <c r="J349" s="14">
        <f t="shared" ca="1" si="35"/>
        <v>18</v>
      </c>
      <c r="K349" s="12" t="s">
        <v>40</v>
      </c>
      <c r="L349" s="12">
        <v>29</v>
      </c>
      <c r="M349" s="12" t="s">
        <v>44</v>
      </c>
      <c r="N349" s="12">
        <v>79</v>
      </c>
    </row>
    <row r="350" spans="1:15">
      <c r="A350" s="12">
        <f t="shared" ref="A350:A413" si="39">A349+1</f>
        <v>349</v>
      </c>
      <c r="B350" s="12" t="s">
        <v>2</v>
      </c>
      <c r="C350" s="12" t="s">
        <v>308</v>
      </c>
      <c r="D350" s="12" t="s">
        <v>134</v>
      </c>
      <c r="E350" s="89">
        <f t="shared" ca="1" si="34"/>
        <v>40951</v>
      </c>
      <c r="F350" s="11">
        <f>DATE(53,1,23)</f>
        <v>19382</v>
      </c>
      <c r="G350" s="12">
        <f t="shared" ca="1" si="36"/>
        <v>59</v>
      </c>
      <c r="H350" s="12">
        <f t="shared" ca="1" si="37"/>
        <v>1</v>
      </c>
      <c r="I350" s="13">
        <f t="shared" ca="1" si="38"/>
        <v>-11</v>
      </c>
      <c r="J350" s="14">
        <f t="shared" ca="1" si="35"/>
        <v>59</v>
      </c>
      <c r="K350" s="12" t="s">
        <v>40</v>
      </c>
      <c r="L350" s="12">
        <v>29</v>
      </c>
      <c r="M350" s="12" t="s">
        <v>40</v>
      </c>
      <c r="N350" s="12">
        <v>80</v>
      </c>
      <c r="O350" s="90" t="s">
        <v>2748</v>
      </c>
    </row>
    <row r="351" spans="1:15">
      <c r="A351" s="12">
        <f t="shared" si="39"/>
        <v>350</v>
      </c>
      <c r="B351" s="12" t="s">
        <v>2</v>
      </c>
      <c r="C351" s="12" t="s">
        <v>218</v>
      </c>
      <c r="D351" s="12" t="s">
        <v>308</v>
      </c>
      <c r="E351" s="89">
        <f t="shared" ca="1" si="34"/>
        <v>40951</v>
      </c>
      <c r="F351" s="11">
        <f>DATE(55,12,15)</f>
        <v>20438</v>
      </c>
      <c r="G351" s="12">
        <f t="shared" ca="1" si="36"/>
        <v>57</v>
      </c>
      <c r="H351" s="12">
        <f t="shared" ca="1" si="37"/>
        <v>-10</v>
      </c>
      <c r="I351" s="13">
        <f t="shared" ca="1" si="38"/>
        <v>-3</v>
      </c>
      <c r="J351" s="14">
        <f t="shared" ca="1" si="35"/>
        <v>56</v>
      </c>
      <c r="K351" s="12" t="s">
        <v>41</v>
      </c>
      <c r="L351" s="12">
        <v>29</v>
      </c>
      <c r="M351" s="12" t="s">
        <v>40</v>
      </c>
      <c r="N351" s="12">
        <v>80</v>
      </c>
    </row>
    <row r="352" spans="1:15">
      <c r="A352" s="12">
        <f t="shared" si="39"/>
        <v>351</v>
      </c>
      <c r="B352" s="12" t="s">
        <v>2</v>
      </c>
      <c r="C352" s="12" t="s">
        <v>96</v>
      </c>
      <c r="D352" s="12" t="s">
        <v>308</v>
      </c>
      <c r="E352" s="89">
        <f t="shared" ca="1" si="34"/>
        <v>40951</v>
      </c>
      <c r="F352" s="11">
        <f>DATE(82,2,14)</f>
        <v>29996</v>
      </c>
      <c r="G352" s="12">
        <f t="shared" ca="1" si="36"/>
        <v>30</v>
      </c>
      <c r="H352" s="12">
        <f t="shared" ca="1" si="37"/>
        <v>0</v>
      </c>
      <c r="I352" s="13">
        <f t="shared" ca="1" si="38"/>
        <v>-2</v>
      </c>
      <c r="J352" s="14">
        <f t="shared" ca="1" si="35"/>
        <v>29</v>
      </c>
      <c r="K352" s="12" t="s">
        <v>40</v>
      </c>
      <c r="L352" s="12">
        <v>29</v>
      </c>
      <c r="M352" s="12" t="s">
        <v>44</v>
      </c>
      <c r="N352" s="12">
        <v>80</v>
      </c>
    </row>
    <row r="353" spans="1:15">
      <c r="A353" s="12">
        <f t="shared" si="39"/>
        <v>352</v>
      </c>
      <c r="B353" s="12" t="s">
        <v>2</v>
      </c>
      <c r="C353" s="12" t="s">
        <v>309</v>
      </c>
      <c r="D353" s="12" t="s">
        <v>310</v>
      </c>
      <c r="E353" s="89">
        <f t="shared" ca="1" si="34"/>
        <v>40951</v>
      </c>
      <c r="F353" s="32"/>
      <c r="G353" s="12">
        <f t="shared" ca="1" si="36"/>
        <v>112</v>
      </c>
      <c r="H353" s="12">
        <f t="shared" ca="1" si="37"/>
        <v>1</v>
      </c>
      <c r="I353" s="13">
        <f t="shared" ca="1" si="38"/>
        <v>12</v>
      </c>
      <c r="J353" s="14">
        <f t="shared" ca="1" si="35"/>
        <v>112</v>
      </c>
      <c r="K353" s="12" t="s">
        <v>40</v>
      </c>
      <c r="L353" s="12">
        <v>30</v>
      </c>
      <c r="M353" s="12" t="s">
        <v>40</v>
      </c>
      <c r="N353" s="12">
        <v>81</v>
      </c>
      <c r="O353" s="90" t="s">
        <v>2748</v>
      </c>
    </row>
    <row r="354" spans="1:15">
      <c r="A354" s="12">
        <f t="shared" si="39"/>
        <v>353</v>
      </c>
      <c r="B354" s="12" t="s">
        <v>2</v>
      </c>
      <c r="C354" s="12" t="s">
        <v>311</v>
      </c>
      <c r="D354" s="12" t="s">
        <v>309</v>
      </c>
      <c r="E354" s="89">
        <f t="shared" ref="E354:E417" ca="1" si="40">TODAY()</f>
        <v>40951</v>
      </c>
      <c r="F354" s="32"/>
      <c r="G354" s="12">
        <f t="shared" ca="1" si="36"/>
        <v>112</v>
      </c>
      <c r="H354" s="12">
        <f t="shared" ca="1" si="37"/>
        <v>1</v>
      </c>
      <c r="I354" s="13">
        <f t="shared" ca="1" si="38"/>
        <v>12</v>
      </c>
      <c r="J354" s="14">
        <f t="shared" ca="1" si="35"/>
        <v>112</v>
      </c>
      <c r="K354" s="12" t="s">
        <v>41</v>
      </c>
      <c r="L354" s="12">
        <v>30</v>
      </c>
      <c r="M354" s="12" t="s">
        <v>40</v>
      </c>
      <c r="N354" s="12">
        <v>81</v>
      </c>
    </row>
    <row r="355" spans="1:15">
      <c r="A355" s="12">
        <f t="shared" si="39"/>
        <v>354</v>
      </c>
      <c r="B355" s="12" t="s">
        <v>2</v>
      </c>
      <c r="C355" s="12" t="s">
        <v>312</v>
      </c>
      <c r="D355" s="12" t="s">
        <v>309</v>
      </c>
      <c r="E355" s="89">
        <f t="shared" ca="1" si="40"/>
        <v>40951</v>
      </c>
      <c r="F355" s="11">
        <f>DATE(75,4,23)</f>
        <v>27507</v>
      </c>
      <c r="G355" s="12">
        <f t="shared" ca="1" si="36"/>
        <v>37</v>
      </c>
      <c r="H355" s="12">
        <f t="shared" ca="1" si="37"/>
        <v>-2</v>
      </c>
      <c r="I355" s="13">
        <f t="shared" ca="1" si="38"/>
        <v>-11</v>
      </c>
      <c r="J355" s="14">
        <f t="shared" ca="1" si="35"/>
        <v>36</v>
      </c>
      <c r="K355" s="12" t="s">
        <v>40</v>
      </c>
      <c r="L355" s="12">
        <v>30</v>
      </c>
      <c r="M355" s="12" t="s">
        <v>40</v>
      </c>
      <c r="N355" s="12">
        <v>81</v>
      </c>
    </row>
    <row r="356" spans="1:15">
      <c r="A356" s="12">
        <f t="shared" si="39"/>
        <v>355</v>
      </c>
      <c r="B356" s="12" t="s">
        <v>2</v>
      </c>
      <c r="C356" s="12" t="s">
        <v>313</v>
      </c>
      <c r="D356" s="12" t="s">
        <v>312</v>
      </c>
      <c r="E356" s="89">
        <f t="shared" ca="1" si="40"/>
        <v>40951</v>
      </c>
      <c r="F356" s="11">
        <f>DATE(77,12,25)</f>
        <v>28484</v>
      </c>
      <c r="G356" s="12">
        <f t="shared" ca="1" si="36"/>
        <v>35</v>
      </c>
      <c r="H356" s="12">
        <f t="shared" ca="1" si="37"/>
        <v>-10</v>
      </c>
      <c r="I356" s="13">
        <f t="shared" ca="1" si="38"/>
        <v>-13</v>
      </c>
      <c r="J356" s="14">
        <f t="shared" ca="1" si="35"/>
        <v>34</v>
      </c>
      <c r="K356" s="12" t="s">
        <v>41</v>
      </c>
      <c r="L356" s="12">
        <v>30</v>
      </c>
      <c r="M356" s="12" t="s">
        <v>40</v>
      </c>
      <c r="N356" s="12">
        <v>81</v>
      </c>
    </row>
    <row r="357" spans="1:15">
      <c r="A357" s="12">
        <f t="shared" si="39"/>
        <v>356</v>
      </c>
      <c r="B357" s="12" t="s">
        <v>2</v>
      </c>
      <c r="C357" s="12" t="s">
        <v>314</v>
      </c>
      <c r="D357" s="12" t="s">
        <v>312</v>
      </c>
      <c r="E357" s="89">
        <f t="shared" ca="1" si="40"/>
        <v>40951</v>
      </c>
      <c r="F357" s="11">
        <f>DATE(2002,7,31)</f>
        <v>37468</v>
      </c>
      <c r="G357" s="12">
        <f t="shared" ca="1" si="36"/>
        <v>10</v>
      </c>
      <c r="H357" s="12">
        <f t="shared" ca="1" si="37"/>
        <v>-5</v>
      </c>
      <c r="I357" s="13">
        <f t="shared" ca="1" si="38"/>
        <v>-19</v>
      </c>
      <c r="J357" s="14">
        <f t="shared" ca="1" si="35"/>
        <v>9</v>
      </c>
      <c r="K357" s="12" t="s">
        <v>41</v>
      </c>
      <c r="L357" s="12">
        <v>30</v>
      </c>
      <c r="M357" s="12" t="s">
        <v>44</v>
      </c>
      <c r="N357" s="12">
        <v>81</v>
      </c>
    </row>
    <row r="358" spans="1:15">
      <c r="A358" s="12">
        <f t="shared" si="39"/>
        <v>357</v>
      </c>
      <c r="B358" s="12" t="s">
        <v>2</v>
      </c>
      <c r="C358" s="12" t="s">
        <v>312</v>
      </c>
      <c r="D358" s="12" t="s">
        <v>312</v>
      </c>
      <c r="E358" s="89">
        <f t="shared" ca="1" si="40"/>
        <v>40951</v>
      </c>
      <c r="F358" s="11">
        <f>DATE(2006,6,22)</f>
        <v>38890</v>
      </c>
      <c r="G358" s="12">
        <f t="shared" ca="1" si="36"/>
        <v>6</v>
      </c>
      <c r="H358" s="12">
        <f t="shared" ca="1" si="37"/>
        <v>-4</v>
      </c>
      <c r="I358" s="13">
        <f t="shared" ca="1" si="38"/>
        <v>-10</v>
      </c>
      <c r="J358" s="14">
        <f t="shared" ca="1" si="35"/>
        <v>5</v>
      </c>
      <c r="K358" s="12" t="s">
        <v>40</v>
      </c>
      <c r="L358" s="12">
        <v>30</v>
      </c>
      <c r="M358" s="12" t="s">
        <v>44</v>
      </c>
      <c r="N358" s="12">
        <v>81</v>
      </c>
    </row>
    <row r="359" spans="1:15">
      <c r="A359" s="12">
        <f t="shared" si="39"/>
        <v>358</v>
      </c>
      <c r="B359" s="12" t="s">
        <v>2</v>
      </c>
      <c r="C359" s="12" t="s">
        <v>315</v>
      </c>
      <c r="D359" s="12" t="s">
        <v>316</v>
      </c>
      <c r="E359" s="89">
        <f t="shared" ca="1" si="40"/>
        <v>40951</v>
      </c>
      <c r="F359" s="11">
        <f>DATE(50,11,1)</f>
        <v>18568</v>
      </c>
      <c r="G359" s="12">
        <f t="shared" ca="1" si="36"/>
        <v>62</v>
      </c>
      <c r="H359" s="12">
        <f t="shared" ca="1" si="37"/>
        <v>-9</v>
      </c>
      <c r="I359" s="13">
        <f t="shared" ca="1" si="38"/>
        <v>11</v>
      </c>
      <c r="J359" s="14">
        <f t="shared" ca="1" si="35"/>
        <v>61</v>
      </c>
      <c r="K359" s="12" t="s">
        <v>40</v>
      </c>
      <c r="L359" s="12">
        <v>30</v>
      </c>
      <c r="M359" s="12" t="s">
        <v>40</v>
      </c>
      <c r="N359" s="12">
        <v>82</v>
      </c>
      <c r="O359" s="90" t="s">
        <v>2748</v>
      </c>
    </row>
    <row r="360" spans="1:15">
      <c r="A360" s="12">
        <f t="shared" si="39"/>
        <v>359</v>
      </c>
      <c r="B360" s="12" t="s">
        <v>2</v>
      </c>
      <c r="C360" s="12" t="s">
        <v>317</v>
      </c>
      <c r="D360" s="12" t="s">
        <v>315</v>
      </c>
      <c r="E360" s="89">
        <f t="shared" ca="1" si="40"/>
        <v>40951</v>
      </c>
      <c r="F360" s="11">
        <f>DATE(57,7,31)</f>
        <v>21032</v>
      </c>
      <c r="G360" s="12">
        <f t="shared" ca="1" si="36"/>
        <v>55</v>
      </c>
      <c r="H360" s="12">
        <f t="shared" ca="1" si="37"/>
        <v>-5</v>
      </c>
      <c r="I360" s="13">
        <f t="shared" ca="1" si="38"/>
        <v>-19</v>
      </c>
      <c r="J360" s="14">
        <f t="shared" ca="1" si="35"/>
        <v>54</v>
      </c>
      <c r="K360" s="12" t="s">
        <v>41</v>
      </c>
      <c r="L360" s="12">
        <v>30</v>
      </c>
      <c r="M360" s="12" t="s">
        <v>40</v>
      </c>
      <c r="N360" s="12">
        <v>82</v>
      </c>
    </row>
    <row r="361" spans="1:15">
      <c r="A361" s="12">
        <f t="shared" si="39"/>
        <v>360</v>
      </c>
      <c r="B361" s="12" t="s">
        <v>2</v>
      </c>
      <c r="C361" s="12" t="s">
        <v>63</v>
      </c>
      <c r="D361" s="12" t="s">
        <v>315</v>
      </c>
      <c r="E361" s="89">
        <f t="shared" ca="1" si="40"/>
        <v>40951</v>
      </c>
      <c r="F361" s="11">
        <f>DATE(86,3,4)</f>
        <v>31475</v>
      </c>
      <c r="G361" s="12">
        <f t="shared" ca="1" si="36"/>
        <v>26</v>
      </c>
      <c r="H361" s="12">
        <f t="shared" ca="1" si="37"/>
        <v>-1</v>
      </c>
      <c r="I361" s="13">
        <f t="shared" ca="1" si="38"/>
        <v>8</v>
      </c>
      <c r="J361" s="14">
        <f t="shared" ca="1" si="35"/>
        <v>25</v>
      </c>
      <c r="K361" s="12" t="s">
        <v>40</v>
      </c>
      <c r="L361" s="12">
        <v>30</v>
      </c>
      <c r="M361" s="12" t="s">
        <v>44</v>
      </c>
      <c r="N361" s="12">
        <v>82</v>
      </c>
    </row>
    <row r="362" spans="1:15">
      <c r="A362" s="12">
        <f t="shared" si="39"/>
        <v>361</v>
      </c>
      <c r="B362" s="12" t="s">
        <v>2</v>
      </c>
      <c r="C362" s="12" t="s">
        <v>318</v>
      </c>
      <c r="D362" s="12" t="s">
        <v>316</v>
      </c>
      <c r="E362" s="89">
        <f t="shared" ca="1" si="40"/>
        <v>40951</v>
      </c>
      <c r="F362" s="11">
        <f>DATE(40,11,16)</f>
        <v>14931</v>
      </c>
      <c r="G362" s="12">
        <f t="shared" ca="1" si="36"/>
        <v>72</v>
      </c>
      <c r="H362" s="12">
        <f t="shared" ca="1" si="37"/>
        <v>-9</v>
      </c>
      <c r="I362" s="13">
        <f t="shared" ca="1" si="38"/>
        <v>-4</v>
      </c>
      <c r="J362" s="14">
        <f t="shared" ca="1" si="35"/>
        <v>71</v>
      </c>
      <c r="K362" s="12" t="s">
        <v>41</v>
      </c>
      <c r="L362" s="12">
        <v>30</v>
      </c>
      <c r="M362" s="12" t="s">
        <v>40</v>
      </c>
      <c r="N362" s="12">
        <v>82</v>
      </c>
    </row>
    <row r="363" spans="1:15">
      <c r="A363" s="12">
        <f t="shared" si="39"/>
        <v>362</v>
      </c>
      <c r="B363" s="12" t="s">
        <v>2</v>
      </c>
      <c r="C363" s="12" t="s">
        <v>319</v>
      </c>
      <c r="D363" s="12" t="s">
        <v>316</v>
      </c>
      <c r="E363" s="89">
        <f t="shared" ca="1" si="40"/>
        <v>40951</v>
      </c>
      <c r="F363" s="11">
        <f>DATE(66,1,22)</f>
        <v>24129</v>
      </c>
      <c r="G363" s="12">
        <f t="shared" ca="1" si="36"/>
        <v>46</v>
      </c>
      <c r="H363" s="12">
        <f t="shared" ca="1" si="37"/>
        <v>1</v>
      </c>
      <c r="I363" s="13">
        <f t="shared" ca="1" si="38"/>
        <v>-10</v>
      </c>
      <c r="J363" s="14">
        <f t="shared" ca="1" si="35"/>
        <v>46</v>
      </c>
      <c r="K363" s="12" t="s">
        <v>41</v>
      </c>
      <c r="L363" s="12">
        <v>30</v>
      </c>
      <c r="M363" s="12" t="s">
        <v>44</v>
      </c>
      <c r="N363" s="12">
        <v>82</v>
      </c>
    </row>
    <row r="364" spans="1:15">
      <c r="A364" s="12">
        <f t="shared" si="39"/>
        <v>363</v>
      </c>
      <c r="B364" s="12" t="s">
        <v>2</v>
      </c>
      <c r="C364" s="12" t="s">
        <v>320</v>
      </c>
      <c r="D364" s="12" t="s">
        <v>316</v>
      </c>
      <c r="E364" s="89">
        <f t="shared" ca="1" si="40"/>
        <v>40951</v>
      </c>
      <c r="F364" s="11">
        <f>DATE(48,11,3)</f>
        <v>17840</v>
      </c>
      <c r="G364" s="12">
        <f t="shared" ca="1" si="36"/>
        <v>64</v>
      </c>
      <c r="H364" s="12">
        <f t="shared" ca="1" si="37"/>
        <v>-9</v>
      </c>
      <c r="I364" s="13">
        <f t="shared" ca="1" si="38"/>
        <v>9</v>
      </c>
      <c r="J364" s="14">
        <f t="shared" ca="1" si="35"/>
        <v>63</v>
      </c>
      <c r="K364" s="12" t="s">
        <v>40</v>
      </c>
      <c r="L364" s="12">
        <v>30</v>
      </c>
      <c r="M364" s="12" t="s">
        <v>40</v>
      </c>
      <c r="N364" s="12">
        <v>82</v>
      </c>
    </row>
    <row r="365" spans="1:15">
      <c r="A365" s="12">
        <f t="shared" si="39"/>
        <v>364</v>
      </c>
      <c r="B365" s="12" t="s">
        <v>2</v>
      </c>
      <c r="C365" s="12" t="s">
        <v>321</v>
      </c>
      <c r="D365" s="12" t="s">
        <v>322</v>
      </c>
      <c r="E365" s="89">
        <f t="shared" ca="1" si="40"/>
        <v>40951</v>
      </c>
      <c r="F365" s="11">
        <f>DATE(53,4,2)</f>
        <v>19451</v>
      </c>
      <c r="G365" s="12">
        <f t="shared" ca="1" si="36"/>
        <v>59</v>
      </c>
      <c r="H365" s="12">
        <f t="shared" ca="1" si="37"/>
        <v>-2</v>
      </c>
      <c r="I365" s="13">
        <f t="shared" ca="1" si="38"/>
        <v>10</v>
      </c>
      <c r="J365" s="14">
        <f t="shared" ca="1" si="35"/>
        <v>58</v>
      </c>
      <c r="K365" s="12" t="s">
        <v>41</v>
      </c>
      <c r="L365" s="12">
        <v>30</v>
      </c>
      <c r="M365" s="12" t="s">
        <v>40</v>
      </c>
      <c r="N365" s="12">
        <v>82</v>
      </c>
    </row>
    <row r="366" spans="1:15">
      <c r="A366" s="12">
        <f t="shared" si="39"/>
        <v>365</v>
      </c>
      <c r="B366" s="12" t="s">
        <v>2</v>
      </c>
      <c r="C366" s="12" t="s">
        <v>323</v>
      </c>
      <c r="D366" s="12" t="s">
        <v>322</v>
      </c>
      <c r="E366" s="89">
        <f t="shared" ca="1" si="40"/>
        <v>40951</v>
      </c>
      <c r="F366" s="11">
        <f>DATE(75,8,21)</f>
        <v>27627</v>
      </c>
      <c r="G366" s="12">
        <f t="shared" ca="1" si="36"/>
        <v>37</v>
      </c>
      <c r="H366" s="12">
        <f t="shared" ca="1" si="37"/>
        <v>-6</v>
      </c>
      <c r="I366" s="13">
        <f t="shared" ca="1" si="38"/>
        <v>-9</v>
      </c>
      <c r="J366" s="14">
        <f t="shared" ca="1" si="35"/>
        <v>36</v>
      </c>
      <c r="K366" s="12" t="s">
        <v>41</v>
      </c>
      <c r="L366" s="12">
        <v>30</v>
      </c>
      <c r="M366" s="12" t="s">
        <v>40</v>
      </c>
      <c r="N366" s="12">
        <v>82</v>
      </c>
    </row>
    <row r="367" spans="1:15">
      <c r="A367" s="12">
        <f t="shared" si="39"/>
        <v>366</v>
      </c>
      <c r="B367" s="12" t="s">
        <v>2</v>
      </c>
      <c r="C367" s="12" t="s">
        <v>324</v>
      </c>
      <c r="D367" s="12" t="s">
        <v>323</v>
      </c>
      <c r="E367" s="89">
        <f t="shared" ca="1" si="40"/>
        <v>40951</v>
      </c>
      <c r="F367" s="32"/>
      <c r="G367" s="12">
        <f t="shared" ca="1" si="36"/>
        <v>112</v>
      </c>
      <c r="H367" s="12">
        <f t="shared" ca="1" si="37"/>
        <v>1</v>
      </c>
      <c r="I367" s="13">
        <f t="shared" ca="1" si="38"/>
        <v>12</v>
      </c>
      <c r="J367" s="14">
        <f t="shared" ca="1" si="35"/>
        <v>112</v>
      </c>
      <c r="K367" s="12" t="s">
        <v>41</v>
      </c>
      <c r="L367" s="12">
        <v>30</v>
      </c>
      <c r="M367" s="12" t="s">
        <v>40</v>
      </c>
      <c r="N367" s="12">
        <v>82</v>
      </c>
    </row>
    <row r="368" spans="1:15">
      <c r="A368" s="12">
        <f t="shared" si="39"/>
        <v>367</v>
      </c>
      <c r="B368" s="12" t="s">
        <v>2</v>
      </c>
      <c r="C368" s="12" t="s">
        <v>325</v>
      </c>
      <c r="D368" s="12" t="s">
        <v>322</v>
      </c>
      <c r="E368" s="89">
        <f t="shared" ca="1" si="40"/>
        <v>40951</v>
      </c>
      <c r="F368" s="11">
        <f>DATE(82,10,28)</f>
        <v>30252</v>
      </c>
      <c r="G368" s="12">
        <f t="shared" ca="1" si="36"/>
        <v>30</v>
      </c>
      <c r="H368" s="12">
        <f t="shared" ca="1" si="37"/>
        <v>-8</v>
      </c>
      <c r="I368" s="13">
        <f t="shared" ca="1" si="38"/>
        <v>-16</v>
      </c>
      <c r="J368" s="14">
        <f t="shared" ca="1" si="35"/>
        <v>29</v>
      </c>
      <c r="K368" s="12" t="s">
        <v>40</v>
      </c>
      <c r="L368" s="12">
        <v>30</v>
      </c>
      <c r="M368" s="12" t="s">
        <v>44</v>
      </c>
      <c r="N368" s="12">
        <v>82</v>
      </c>
    </row>
    <row r="369" spans="1:15">
      <c r="A369" s="12">
        <f t="shared" si="39"/>
        <v>368</v>
      </c>
      <c r="B369" s="12" t="s">
        <v>2</v>
      </c>
      <c r="C369" s="12" t="s">
        <v>326</v>
      </c>
      <c r="D369" s="12" t="s">
        <v>316</v>
      </c>
      <c r="E369" s="89">
        <f t="shared" ca="1" si="40"/>
        <v>40951</v>
      </c>
      <c r="F369" s="11">
        <f>DATE(57,3,20)</f>
        <v>20899</v>
      </c>
      <c r="G369" s="12">
        <f t="shared" ca="1" si="36"/>
        <v>55</v>
      </c>
      <c r="H369" s="12">
        <f t="shared" ca="1" si="37"/>
        <v>-1</v>
      </c>
      <c r="I369" s="13">
        <f t="shared" ca="1" si="38"/>
        <v>-8</v>
      </c>
      <c r="J369" s="14">
        <f t="shared" ca="1" si="35"/>
        <v>54</v>
      </c>
      <c r="K369" s="12" t="s">
        <v>40</v>
      </c>
      <c r="L369" s="12">
        <v>31</v>
      </c>
      <c r="M369" s="12" t="s">
        <v>40</v>
      </c>
      <c r="N369" s="12">
        <v>83</v>
      </c>
      <c r="O369" s="90" t="s">
        <v>2748</v>
      </c>
    </row>
    <row r="370" spans="1:15">
      <c r="A370" s="12">
        <f t="shared" si="39"/>
        <v>369</v>
      </c>
      <c r="B370" s="12" t="s">
        <v>2</v>
      </c>
      <c r="C370" s="12" t="s">
        <v>327</v>
      </c>
      <c r="D370" s="12" t="s">
        <v>326</v>
      </c>
      <c r="E370" s="89">
        <f t="shared" ca="1" si="40"/>
        <v>40951</v>
      </c>
      <c r="F370" s="11">
        <f>DATE(66,5,26)</f>
        <v>24253</v>
      </c>
      <c r="G370" s="12">
        <f t="shared" ca="1" si="36"/>
        <v>46</v>
      </c>
      <c r="H370" s="12">
        <f t="shared" ca="1" si="37"/>
        <v>-3</v>
      </c>
      <c r="I370" s="13">
        <f t="shared" ca="1" si="38"/>
        <v>-14</v>
      </c>
      <c r="J370" s="14">
        <f t="shared" ca="1" si="35"/>
        <v>45</v>
      </c>
      <c r="K370" s="12" t="s">
        <v>41</v>
      </c>
      <c r="L370" s="12">
        <v>31</v>
      </c>
      <c r="M370" s="12" t="s">
        <v>40</v>
      </c>
      <c r="N370" s="12">
        <v>83</v>
      </c>
    </row>
    <row r="371" spans="1:15">
      <c r="A371" s="12">
        <f t="shared" si="39"/>
        <v>370</v>
      </c>
      <c r="B371" s="12" t="s">
        <v>2</v>
      </c>
      <c r="C371" s="12" t="s">
        <v>328</v>
      </c>
      <c r="D371" s="12" t="s">
        <v>326</v>
      </c>
      <c r="E371" s="89">
        <f t="shared" ca="1" si="40"/>
        <v>40951</v>
      </c>
      <c r="F371" s="11">
        <f>DATE(86,3,6)</f>
        <v>31477</v>
      </c>
      <c r="G371" s="12">
        <f t="shared" ca="1" si="36"/>
        <v>26</v>
      </c>
      <c r="H371" s="12">
        <f t="shared" ca="1" si="37"/>
        <v>-1</v>
      </c>
      <c r="I371" s="13">
        <f t="shared" ca="1" si="38"/>
        <v>6</v>
      </c>
      <c r="J371" s="14">
        <f t="shared" ca="1" si="35"/>
        <v>25</v>
      </c>
      <c r="K371" s="12" t="s">
        <v>41</v>
      </c>
      <c r="L371" s="12">
        <v>31</v>
      </c>
      <c r="M371" s="12" t="s">
        <v>40</v>
      </c>
      <c r="N371" s="12">
        <v>83</v>
      </c>
    </row>
    <row r="372" spans="1:15">
      <c r="A372" s="12">
        <f t="shared" si="39"/>
        <v>371</v>
      </c>
      <c r="B372" s="12" t="s">
        <v>2</v>
      </c>
      <c r="C372" s="12" t="s">
        <v>329</v>
      </c>
      <c r="D372" s="12" t="s">
        <v>326</v>
      </c>
      <c r="E372" s="89">
        <f t="shared" ca="1" si="40"/>
        <v>40951</v>
      </c>
      <c r="F372" s="11">
        <f>DATE(89,4,26)</f>
        <v>32624</v>
      </c>
      <c r="G372" s="12">
        <f t="shared" ca="1" si="36"/>
        <v>23</v>
      </c>
      <c r="H372" s="12">
        <f t="shared" ca="1" si="37"/>
        <v>-2</v>
      </c>
      <c r="I372" s="13">
        <f t="shared" ca="1" si="38"/>
        <v>-14</v>
      </c>
      <c r="J372" s="14">
        <f t="shared" ca="1" si="35"/>
        <v>22</v>
      </c>
      <c r="K372" s="12" t="s">
        <v>40</v>
      </c>
      <c r="L372" s="12">
        <v>31</v>
      </c>
      <c r="M372" s="12" t="s">
        <v>40</v>
      </c>
      <c r="N372" s="12">
        <v>83</v>
      </c>
    </row>
    <row r="373" spans="1:15">
      <c r="A373" s="12">
        <f t="shared" si="39"/>
        <v>372</v>
      </c>
      <c r="B373" s="12" t="s">
        <v>2</v>
      </c>
      <c r="C373" s="12" t="s">
        <v>330</v>
      </c>
      <c r="D373" s="12" t="s">
        <v>209</v>
      </c>
      <c r="E373" s="89">
        <f t="shared" ca="1" si="40"/>
        <v>40951</v>
      </c>
      <c r="F373" s="11">
        <f>DATE(54,10,17)</f>
        <v>20014</v>
      </c>
      <c r="G373" s="12">
        <f t="shared" ca="1" si="36"/>
        <v>58</v>
      </c>
      <c r="H373" s="12">
        <f t="shared" ca="1" si="37"/>
        <v>-8</v>
      </c>
      <c r="I373" s="13">
        <f t="shared" ca="1" si="38"/>
        <v>-5</v>
      </c>
      <c r="J373" s="14">
        <f t="shared" ca="1" si="35"/>
        <v>57</v>
      </c>
      <c r="K373" s="12" t="s">
        <v>40</v>
      </c>
      <c r="L373" s="12">
        <v>31</v>
      </c>
      <c r="M373" s="12" t="s">
        <v>40</v>
      </c>
      <c r="N373" s="12">
        <v>84</v>
      </c>
      <c r="O373" s="90" t="s">
        <v>2748</v>
      </c>
    </row>
    <row r="374" spans="1:15">
      <c r="A374" s="12">
        <f t="shared" si="39"/>
        <v>373</v>
      </c>
      <c r="B374" s="12" t="s">
        <v>2</v>
      </c>
      <c r="C374" s="12" t="s">
        <v>194</v>
      </c>
      <c r="D374" s="12" t="s">
        <v>331</v>
      </c>
      <c r="E374" s="89">
        <f t="shared" ca="1" si="40"/>
        <v>40951</v>
      </c>
      <c r="F374" s="11">
        <f>DATE(57,8,18)</f>
        <v>21050</v>
      </c>
      <c r="G374" s="12">
        <f t="shared" ca="1" si="36"/>
        <v>55</v>
      </c>
      <c r="H374" s="12">
        <f t="shared" ca="1" si="37"/>
        <v>-6</v>
      </c>
      <c r="I374" s="13">
        <f t="shared" ca="1" si="38"/>
        <v>-6</v>
      </c>
      <c r="J374" s="14">
        <f t="shared" ca="1" si="35"/>
        <v>54</v>
      </c>
      <c r="K374" s="12" t="s">
        <v>41</v>
      </c>
      <c r="L374" s="12">
        <v>31</v>
      </c>
      <c r="M374" s="12" t="s">
        <v>40</v>
      </c>
      <c r="N374" s="12">
        <v>84</v>
      </c>
    </row>
    <row r="375" spans="1:15">
      <c r="A375" s="12">
        <f t="shared" si="39"/>
        <v>374</v>
      </c>
      <c r="B375" s="12" t="s">
        <v>2</v>
      </c>
      <c r="C375" s="12" t="s">
        <v>263</v>
      </c>
      <c r="D375" s="12" t="s">
        <v>331</v>
      </c>
      <c r="E375" s="89">
        <f t="shared" ca="1" si="40"/>
        <v>40951</v>
      </c>
      <c r="F375" s="11">
        <f>DATE(87,7,2)</f>
        <v>31960</v>
      </c>
      <c r="G375" s="12">
        <f t="shared" ca="1" si="36"/>
        <v>25</v>
      </c>
      <c r="H375" s="12">
        <f t="shared" ca="1" si="37"/>
        <v>-5</v>
      </c>
      <c r="I375" s="13">
        <f t="shared" ca="1" si="38"/>
        <v>10</v>
      </c>
      <c r="J375" s="14">
        <f t="shared" ca="1" si="35"/>
        <v>24</v>
      </c>
      <c r="K375" s="12" t="s">
        <v>40</v>
      </c>
      <c r="L375" s="12">
        <v>31</v>
      </c>
      <c r="M375" s="12" t="s">
        <v>40</v>
      </c>
      <c r="N375" s="12">
        <v>84</v>
      </c>
    </row>
    <row r="376" spans="1:15">
      <c r="A376" s="12">
        <f t="shared" si="39"/>
        <v>375</v>
      </c>
      <c r="B376" s="12" t="s">
        <v>2</v>
      </c>
      <c r="C376" s="12" t="s">
        <v>332</v>
      </c>
      <c r="D376" s="12" t="s">
        <v>333</v>
      </c>
      <c r="E376" s="89">
        <f t="shared" ca="1" si="40"/>
        <v>40951</v>
      </c>
      <c r="F376" s="11">
        <f>DATE(63,11,19)</f>
        <v>23334</v>
      </c>
      <c r="G376" s="12">
        <f t="shared" ca="1" si="36"/>
        <v>49</v>
      </c>
      <c r="H376" s="12">
        <f t="shared" ca="1" si="37"/>
        <v>-9</v>
      </c>
      <c r="I376" s="13">
        <f t="shared" ca="1" si="38"/>
        <v>-7</v>
      </c>
      <c r="J376" s="14">
        <f t="shared" ca="1" si="35"/>
        <v>48</v>
      </c>
      <c r="K376" s="12" t="s">
        <v>40</v>
      </c>
      <c r="L376" s="12">
        <v>31</v>
      </c>
      <c r="M376" s="12" t="s">
        <v>40</v>
      </c>
      <c r="N376" s="12">
        <v>85</v>
      </c>
      <c r="O376" s="90" t="s">
        <v>2748</v>
      </c>
    </row>
    <row r="377" spans="1:15">
      <c r="A377" s="12">
        <f t="shared" si="39"/>
        <v>376</v>
      </c>
      <c r="B377" s="12" t="s">
        <v>2</v>
      </c>
      <c r="C377" s="12" t="s">
        <v>334</v>
      </c>
      <c r="D377" s="12" t="s">
        <v>332</v>
      </c>
      <c r="E377" s="89">
        <f t="shared" ca="1" si="40"/>
        <v>40951</v>
      </c>
      <c r="F377" s="11">
        <f>DATE(69,5,16)</f>
        <v>25339</v>
      </c>
      <c r="G377" s="12">
        <f t="shared" ca="1" si="36"/>
        <v>43</v>
      </c>
      <c r="H377" s="12">
        <f t="shared" ca="1" si="37"/>
        <v>-3</v>
      </c>
      <c r="I377" s="13">
        <f t="shared" ca="1" si="38"/>
        <v>-4</v>
      </c>
      <c r="J377" s="14">
        <f t="shared" ca="1" si="35"/>
        <v>42</v>
      </c>
      <c r="K377" s="12" t="s">
        <v>41</v>
      </c>
      <c r="L377" s="12">
        <v>31</v>
      </c>
      <c r="M377" s="12" t="s">
        <v>40</v>
      </c>
      <c r="N377" s="12">
        <v>85</v>
      </c>
    </row>
    <row r="378" spans="1:15">
      <c r="A378" s="12">
        <f t="shared" si="39"/>
        <v>377</v>
      </c>
      <c r="B378" s="12" t="s">
        <v>2</v>
      </c>
      <c r="C378" s="12" t="s">
        <v>335</v>
      </c>
      <c r="D378" s="12" t="s">
        <v>332</v>
      </c>
      <c r="E378" s="89">
        <f t="shared" ca="1" si="40"/>
        <v>40951</v>
      </c>
      <c r="F378" s="11">
        <f>DATE(91,6,18)</f>
        <v>33407</v>
      </c>
      <c r="G378" s="12">
        <f t="shared" ca="1" si="36"/>
        <v>21</v>
      </c>
      <c r="H378" s="12">
        <f t="shared" ca="1" si="37"/>
        <v>-4</v>
      </c>
      <c r="I378" s="13">
        <f t="shared" ca="1" si="38"/>
        <v>-6</v>
      </c>
      <c r="J378" s="14">
        <f t="shared" ca="1" si="35"/>
        <v>20</v>
      </c>
      <c r="K378" s="12" t="s">
        <v>41</v>
      </c>
      <c r="L378" s="12">
        <v>31</v>
      </c>
      <c r="M378" s="12" t="s">
        <v>40</v>
      </c>
      <c r="N378" s="12">
        <v>85</v>
      </c>
    </row>
    <row r="379" spans="1:15">
      <c r="A379" s="12">
        <f t="shared" si="39"/>
        <v>378</v>
      </c>
      <c r="B379" s="12" t="s">
        <v>2</v>
      </c>
      <c r="C379" s="12" t="s">
        <v>336</v>
      </c>
      <c r="D379" s="12" t="s">
        <v>332</v>
      </c>
      <c r="E379" s="89">
        <f t="shared" ca="1" si="40"/>
        <v>40951</v>
      </c>
      <c r="F379" s="11">
        <f>DATE(96,12,28)</f>
        <v>35427</v>
      </c>
      <c r="G379" s="12">
        <f t="shared" ca="1" si="36"/>
        <v>16</v>
      </c>
      <c r="H379" s="12">
        <f t="shared" ca="1" si="37"/>
        <v>-10</v>
      </c>
      <c r="I379" s="13">
        <f t="shared" ca="1" si="38"/>
        <v>-16</v>
      </c>
      <c r="J379" s="14">
        <f t="shared" ca="1" si="35"/>
        <v>15</v>
      </c>
      <c r="K379" s="12" t="s">
        <v>40</v>
      </c>
      <c r="L379" s="12">
        <v>31</v>
      </c>
      <c r="M379" s="12" t="s">
        <v>40</v>
      </c>
      <c r="N379" s="12">
        <v>85</v>
      </c>
    </row>
    <row r="380" spans="1:15">
      <c r="A380" s="12">
        <f t="shared" si="39"/>
        <v>379</v>
      </c>
      <c r="B380" s="12" t="s">
        <v>2</v>
      </c>
      <c r="C380" s="12" t="s">
        <v>337</v>
      </c>
      <c r="D380" s="12" t="s">
        <v>338</v>
      </c>
      <c r="E380" s="89">
        <f t="shared" ca="1" si="40"/>
        <v>40951</v>
      </c>
      <c r="F380" s="11">
        <f>DATE(66,11,4)</f>
        <v>24415</v>
      </c>
      <c r="G380" s="12">
        <f t="shared" ca="1" si="36"/>
        <v>46</v>
      </c>
      <c r="H380" s="12">
        <f t="shared" ca="1" si="37"/>
        <v>-9</v>
      </c>
      <c r="I380" s="13">
        <f t="shared" ca="1" si="38"/>
        <v>8</v>
      </c>
      <c r="J380" s="14">
        <f t="shared" ca="1" si="35"/>
        <v>45</v>
      </c>
      <c r="K380" s="12" t="s">
        <v>40</v>
      </c>
      <c r="L380" s="12">
        <v>32</v>
      </c>
      <c r="M380" s="12" t="s">
        <v>40</v>
      </c>
      <c r="N380" s="12">
        <v>86</v>
      </c>
      <c r="O380" s="90" t="s">
        <v>2748</v>
      </c>
    </row>
    <row r="381" spans="1:15">
      <c r="A381" s="12">
        <f t="shared" si="39"/>
        <v>380</v>
      </c>
      <c r="B381" s="12" t="s">
        <v>2</v>
      </c>
      <c r="C381" s="12" t="s">
        <v>212</v>
      </c>
      <c r="D381" s="12" t="s">
        <v>337</v>
      </c>
      <c r="E381" s="89">
        <f t="shared" ca="1" si="40"/>
        <v>40951</v>
      </c>
      <c r="F381" s="11">
        <f>DATE(72,8,18)</f>
        <v>26529</v>
      </c>
      <c r="G381" s="12">
        <f t="shared" ca="1" si="36"/>
        <v>40</v>
      </c>
      <c r="H381" s="12">
        <f t="shared" ca="1" si="37"/>
        <v>-6</v>
      </c>
      <c r="I381" s="13">
        <f t="shared" ca="1" si="38"/>
        <v>-6</v>
      </c>
      <c r="J381" s="14">
        <f t="shared" ca="1" si="35"/>
        <v>39</v>
      </c>
      <c r="K381" s="12" t="s">
        <v>41</v>
      </c>
      <c r="L381" s="12">
        <v>32</v>
      </c>
      <c r="M381" s="12" t="s">
        <v>40</v>
      </c>
      <c r="N381" s="12">
        <v>86</v>
      </c>
    </row>
    <row r="382" spans="1:15">
      <c r="A382" s="12">
        <f t="shared" si="39"/>
        <v>381</v>
      </c>
      <c r="B382" s="12" t="s">
        <v>2</v>
      </c>
      <c r="C382" s="12" t="s">
        <v>339</v>
      </c>
      <c r="D382" s="12" t="s">
        <v>337</v>
      </c>
      <c r="E382" s="89">
        <f t="shared" ca="1" si="40"/>
        <v>40951</v>
      </c>
      <c r="F382" s="11">
        <f>DATE(96,8,21)</f>
        <v>35298</v>
      </c>
      <c r="G382" s="12">
        <f t="shared" ca="1" si="36"/>
        <v>16</v>
      </c>
      <c r="H382" s="12">
        <f t="shared" ca="1" si="37"/>
        <v>-6</v>
      </c>
      <c r="I382" s="13">
        <f t="shared" ca="1" si="38"/>
        <v>-9</v>
      </c>
      <c r="J382" s="14">
        <f t="shared" ca="1" si="35"/>
        <v>15</v>
      </c>
      <c r="K382" s="12" t="s">
        <v>40</v>
      </c>
      <c r="L382" s="12">
        <v>32</v>
      </c>
      <c r="M382" s="12" t="s">
        <v>44</v>
      </c>
      <c r="N382" s="12">
        <v>86</v>
      </c>
    </row>
    <row r="383" spans="1:15">
      <c r="A383" s="12">
        <f t="shared" si="39"/>
        <v>382</v>
      </c>
      <c r="B383" s="12" t="s">
        <v>2</v>
      </c>
      <c r="C383" s="12" t="s">
        <v>340</v>
      </c>
      <c r="D383" s="12" t="s">
        <v>337</v>
      </c>
      <c r="E383" s="89">
        <f t="shared" ca="1" si="40"/>
        <v>40951</v>
      </c>
      <c r="F383" s="11">
        <f>DATE(97,9,18)</f>
        <v>35691</v>
      </c>
      <c r="G383" s="12">
        <f t="shared" ca="1" si="36"/>
        <v>15</v>
      </c>
      <c r="H383" s="12">
        <f t="shared" ca="1" si="37"/>
        <v>-7</v>
      </c>
      <c r="I383" s="13">
        <f t="shared" ca="1" si="38"/>
        <v>-6</v>
      </c>
      <c r="J383" s="14">
        <f t="shared" ca="1" si="35"/>
        <v>14</v>
      </c>
      <c r="K383" s="12" t="s">
        <v>41</v>
      </c>
      <c r="L383" s="12">
        <v>32</v>
      </c>
      <c r="M383" s="12" t="s">
        <v>44</v>
      </c>
      <c r="N383" s="12">
        <v>86</v>
      </c>
    </row>
    <row r="384" spans="1:15">
      <c r="A384" s="12">
        <f t="shared" si="39"/>
        <v>383</v>
      </c>
      <c r="B384" s="12" t="s">
        <v>2</v>
      </c>
      <c r="C384" s="12" t="s">
        <v>341</v>
      </c>
      <c r="D384" s="12" t="s">
        <v>209</v>
      </c>
      <c r="E384" s="89">
        <f t="shared" ca="1" si="40"/>
        <v>40951</v>
      </c>
      <c r="F384" s="11">
        <f>DATE(57,4,22)</f>
        <v>20932</v>
      </c>
      <c r="G384" s="12">
        <f t="shared" ca="1" si="36"/>
        <v>55</v>
      </c>
      <c r="H384" s="12">
        <f t="shared" ca="1" si="37"/>
        <v>-2</v>
      </c>
      <c r="I384" s="13">
        <f t="shared" ca="1" si="38"/>
        <v>-10</v>
      </c>
      <c r="J384" s="14">
        <f t="shared" ca="1" si="35"/>
        <v>54</v>
      </c>
      <c r="K384" s="12" t="s">
        <v>40</v>
      </c>
      <c r="L384" s="12">
        <v>32</v>
      </c>
      <c r="M384" s="12" t="s">
        <v>40</v>
      </c>
      <c r="N384" s="12">
        <v>87</v>
      </c>
      <c r="O384" s="90" t="s">
        <v>2748</v>
      </c>
    </row>
    <row r="385" spans="1:15">
      <c r="A385" s="12">
        <f t="shared" si="39"/>
        <v>384</v>
      </c>
      <c r="B385" s="12" t="s">
        <v>2</v>
      </c>
      <c r="C385" s="12" t="s">
        <v>342</v>
      </c>
      <c r="D385" s="12" t="s">
        <v>341</v>
      </c>
      <c r="E385" s="89">
        <f t="shared" ca="1" si="40"/>
        <v>40951</v>
      </c>
      <c r="F385" s="11">
        <f>DATE(61,6,24)</f>
        <v>22456</v>
      </c>
      <c r="G385" s="12">
        <f t="shared" ca="1" si="36"/>
        <v>51</v>
      </c>
      <c r="H385" s="12">
        <f t="shared" ca="1" si="37"/>
        <v>-4</v>
      </c>
      <c r="I385" s="13">
        <f t="shared" ca="1" si="38"/>
        <v>-12</v>
      </c>
      <c r="J385" s="14">
        <f t="shared" ca="1" si="35"/>
        <v>50</v>
      </c>
      <c r="K385" s="12" t="s">
        <v>41</v>
      </c>
      <c r="L385" s="12">
        <v>32</v>
      </c>
      <c r="M385" s="12" t="s">
        <v>40</v>
      </c>
      <c r="N385" s="12">
        <v>87</v>
      </c>
    </row>
    <row r="386" spans="1:15">
      <c r="A386" s="12">
        <f t="shared" si="39"/>
        <v>385</v>
      </c>
      <c r="B386" s="12" t="s">
        <v>2</v>
      </c>
      <c r="C386" s="12" t="s">
        <v>343</v>
      </c>
      <c r="D386" s="12" t="s">
        <v>341</v>
      </c>
      <c r="E386" s="89">
        <f t="shared" ca="1" si="40"/>
        <v>40951</v>
      </c>
      <c r="F386" s="32"/>
      <c r="G386" s="12">
        <f t="shared" ca="1" si="36"/>
        <v>112</v>
      </c>
      <c r="H386" s="12">
        <f t="shared" ca="1" si="37"/>
        <v>1</v>
      </c>
      <c r="I386" s="13">
        <f t="shared" ca="1" si="38"/>
        <v>12</v>
      </c>
      <c r="J386" s="14">
        <f t="shared" ca="1" si="35"/>
        <v>112</v>
      </c>
      <c r="K386" s="12" t="s">
        <v>41</v>
      </c>
      <c r="L386" s="12">
        <v>32</v>
      </c>
      <c r="M386" s="12" t="s">
        <v>40</v>
      </c>
      <c r="N386" s="12">
        <v>87</v>
      </c>
    </row>
    <row r="387" spans="1:15">
      <c r="A387" s="12">
        <f t="shared" si="39"/>
        <v>386</v>
      </c>
      <c r="B387" s="12" t="s">
        <v>2</v>
      </c>
      <c r="C387" s="12" t="s">
        <v>280</v>
      </c>
      <c r="D387" s="12" t="s">
        <v>341</v>
      </c>
      <c r="E387" s="89">
        <f t="shared" ca="1" si="40"/>
        <v>40951</v>
      </c>
      <c r="F387" s="11">
        <f>DATE(85,4,30)</f>
        <v>31167</v>
      </c>
      <c r="G387" s="12">
        <f t="shared" ca="1" si="36"/>
        <v>27</v>
      </c>
      <c r="H387" s="12">
        <f t="shared" ca="1" si="37"/>
        <v>-2</v>
      </c>
      <c r="I387" s="13">
        <f t="shared" ca="1" si="38"/>
        <v>-18</v>
      </c>
      <c r="J387" s="14">
        <f t="shared" ref="J387:J450" ca="1" si="41">IF(H387&lt;0,G387-1,IF(H387&gt;0,G387,IF(I387&lt;0,G387-1,G387)))</f>
        <v>26</v>
      </c>
      <c r="K387" s="12" t="s">
        <v>41</v>
      </c>
      <c r="L387" s="12">
        <v>32</v>
      </c>
      <c r="M387" s="12" t="s">
        <v>44</v>
      </c>
      <c r="N387" s="12">
        <v>87</v>
      </c>
    </row>
    <row r="388" spans="1:15">
      <c r="A388" s="12">
        <f t="shared" si="39"/>
        <v>387</v>
      </c>
      <c r="B388" s="12" t="s">
        <v>2</v>
      </c>
      <c r="C388" s="12" t="s">
        <v>344</v>
      </c>
      <c r="D388" s="12" t="s">
        <v>341</v>
      </c>
      <c r="E388" s="89">
        <f t="shared" ca="1" si="40"/>
        <v>40951</v>
      </c>
      <c r="F388" s="11">
        <f>DATE(86,10,28)</f>
        <v>31713</v>
      </c>
      <c r="G388" s="12">
        <f t="shared" ca="1" si="36"/>
        <v>26</v>
      </c>
      <c r="H388" s="12">
        <f t="shared" ca="1" si="37"/>
        <v>-8</v>
      </c>
      <c r="I388" s="13">
        <f t="shared" ca="1" si="38"/>
        <v>-16</v>
      </c>
      <c r="J388" s="14">
        <f t="shared" ca="1" si="41"/>
        <v>25</v>
      </c>
      <c r="K388" s="12" t="s">
        <v>41</v>
      </c>
      <c r="L388" s="12">
        <v>32</v>
      </c>
      <c r="M388" s="12" t="s">
        <v>44</v>
      </c>
      <c r="N388" s="12">
        <v>87</v>
      </c>
    </row>
    <row r="389" spans="1:15">
      <c r="A389" s="12">
        <f t="shared" si="39"/>
        <v>388</v>
      </c>
      <c r="B389" s="12" t="s">
        <v>2</v>
      </c>
      <c r="C389" s="12" t="s">
        <v>107</v>
      </c>
      <c r="D389" s="12" t="s">
        <v>341</v>
      </c>
      <c r="E389" s="89">
        <f t="shared" ca="1" si="40"/>
        <v>40951</v>
      </c>
      <c r="F389" s="11">
        <f>DATE(97,12,25)</f>
        <v>35789</v>
      </c>
      <c r="G389" s="12">
        <f t="shared" ca="1" si="36"/>
        <v>15</v>
      </c>
      <c r="H389" s="12">
        <f t="shared" ca="1" si="37"/>
        <v>-10</v>
      </c>
      <c r="I389" s="13">
        <f t="shared" ca="1" si="38"/>
        <v>-13</v>
      </c>
      <c r="J389" s="14">
        <f t="shared" ca="1" si="41"/>
        <v>14</v>
      </c>
      <c r="K389" s="12" t="s">
        <v>41</v>
      </c>
      <c r="L389" s="12">
        <v>32</v>
      </c>
      <c r="M389" s="12" t="s">
        <v>44</v>
      </c>
      <c r="N389" s="12">
        <v>87</v>
      </c>
    </row>
    <row r="390" spans="1:15">
      <c r="A390" s="12">
        <f t="shared" si="39"/>
        <v>389</v>
      </c>
      <c r="B390" s="12" t="s">
        <v>2</v>
      </c>
      <c r="C390" s="12" t="s">
        <v>208</v>
      </c>
      <c r="D390" s="12" t="s">
        <v>316</v>
      </c>
      <c r="E390" s="89">
        <f t="shared" ca="1" si="40"/>
        <v>40951</v>
      </c>
      <c r="F390" s="11">
        <f>DATE(51,9,19)</f>
        <v>18890</v>
      </c>
      <c r="G390" s="12">
        <f t="shared" ca="1" si="36"/>
        <v>61</v>
      </c>
      <c r="H390" s="12">
        <f t="shared" ca="1" si="37"/>
        <v>-7</v>
      </c>
      <c r="I390" s="13">
        <f t="shared" ca="1" si="38"/>
        <v>-7</v>
      </c>
      <c r="J390" s="14">
        <f t="shared" ca="1" si="41"/>
        <v>60</v>
      </c>
      <c r="K390" s="12" t="s">
        <v>40</v>
      </c>
      <c r="L390" s="12">
        <v>33</v>
      </c>
      <c r="M390" s="12" t="s">
        <v>40</v>
      </c>
      <c r="N390" s="12">
        <v>88</v>
      </c>
      <c r="O390" s="90" t="s">
        <v>2748</v>
      </c>
    </row>
    <row r="391" spans="1:15">
      <c r="A391" s="12">
        <f t="shared" si="39"/>
        <v>390</v>
      </c>
      <c r="B391" s="12" t="s">
        <v>2</v>
      </c>
      <c r="C391" s="12" t="s">
        <v>345</v>
      </c>
      <c r="D391" s="12" t="s">
        <v>208</v>
      </c>
      <c r="E391" s="89">
        <f t="shared" ca="1" si="40"/>
        <v>40951</v>
      </c>
      <c r="F391" s="11">
        <f>DATE(56,1,26)</f>
        <v>20480</v>
      </c>
      <c r="G391" s="12">
        <f t="shared" ca="1" si="36"/>
        <v>56</v>
      </c>
      <c r="H391" s="12">
        <f t="shared" ca="1" si="37"/>
        <v>1</v>
      </c>
      <c r="I391" s="13">
        <f t="shared" ca="1" si="38"/>
        <v>-14</v>
      </c>
      <c r="J391" s="14">
        <f t="shared" ca="1" si="41"/>
        <v>56</v>
      </c>
      <c r="K391" s="12" t="s">
        <v>41</v>
      </c>
      <c r="L391" s="12">
        <v>33</v>
      </c>
      <c r="M391" s="12" t="s">
        <v>40</v>
      </c>
      <c r="N391" s="12">
        <v>88</v>
      </c>
    </row>
    <row r="392" spans="1:15">
      <c r="A392" s="12">
        <f t="shared" si="39"/>
        <v>391</v>
      </c>
      <c r="B392" s="12" t="s">
        <v>2</v>
      </c>
      <c r="C392" s="12" t="s">
        <v>346</v>
      </c>
      <c r="D392" s="12" t="s">
        <v>208</v>
      </c>
      <c r="E392" s="89">
        <f t="shared" ca="1" si="40"/>
        <v>40951</v>
      </c>
      <c r="F392" s="11">
        <f>DATE(86,9,19)</f>
        <v>31674</v>
      </c>
      <c r="G392" s="12">
        <f t="shared" ca="1" si="36"/>
        <v>26</v>
      </c>
      <c r="H392" s="12">
        <f t="shared" ca="1" si="37"/>
        <v>-7</v>
      </c>
      <c r="I392" s="13">
        <f t="shared" ca="1" si="38"/>
        <v>-7</v>
      </c>
      <c r="J392" s="14">
        <f t="shared" ca="1" si="41"/>
        <v>25</v>
      </c>
      <c r="K392" s="12" t="s">
        <v>40</v>
      </c>
      <c r="L392" s="12">
        <v>33</v>
      </c>
      <c r="M392" s="12" t="s">
        <v>44</v>
      </c>
      <c r="N392" s="12">
        <v>88</v>
      </c>
    </row>
    <row r="393" spans="1:15">
      <c r="A393" s="12">
        <f t="shared" si="39"/>
        <v>392</v>
      </c>
      <c r="B393" s="12" t="s">
        <v>2</v>
      </c>
      <c r="C393" s="12" t="s">
        <v>347</v>
      </c>
      <c r="D393" s="12" t="s">
        <v>208</v>
      </c>
      <c r="E393" s="89">
        <f t="shared" ca="1" si="40"/>
        <v>40951</v>
      </c>
      <c r="F393" s="11">
        <f>DATE(88,12,5)</f>
        <v>32482</v>
      </c>
      <c r="G393" s="12">
        <f t="shared" ca="1" si="36"/>
        <v>24</v>
      </c>
      <c r="H393" s="12">
        <f t="shared" ca="1" si="37"/>
        <v>-10</v>
      </c>
      <c r="I393" s="13">
        <f t="shared" ca="1" si="38"/>
        <v>7</v>
      </c>
      <c r="J393" s="14">
        <f t="shared" ca="1" si="41"/>
        <v>23</v>
      </c>
      <c r="K393" s="12" t="s">
        <v>41</v>
      </c>
      <c r="L393" s="12">
        <v>33</v>
      </c>
      <c r="M393" s="12" t="s">
        <v>44</v>
      </c>
      <c r="N393" s="12">
        <v>88</v>
      </c>
    </row>
    <row r="394" spans="1:15">
      <c r="A394" s="12">
        <f t="shared" si="39"/>
        <v>393</v>
      </c>
      <c r="B394" s="12" t="s">
        <v>2</v>
      </c>
      <c r="C394" s="12" t="s">
        <v>135</v>
      </c>
      <c r="D394" s="12" t="s">
        <v>316</v>
      </c>
      <c r="E394" s="89">
        <f t="shared" ca="1" si="40"/>
        <v>40951</v>
      </c>
      <c r="F394" s="32"/>
      <c r="G394" s="12">
        <f t="shared" ca="1" si="36"/>
        <v>112</v>
      </c>
      <c r="H394" s="12">
        <f t="shared" ca="1" si="37"/>
        <v>1</v>
      </c>
      <c r="I394" s="13">
        <f t="shared" ca="1" si="38"/>
        <v>12</v>
      </c>
      <c r="J394" s="14">
        <f t="shared" ca="1" si="41"/>
        <v>112</v>
      </c>
      <c r="K394" s="12" t="s">
        <v>40</v>
      </c>
      <c r="L394" s="12">
        <v>33</v>
      </c>
      <c r="M394" s="12" t="s">
        <v>44</v>
      </c>
      <c r="N394" s="12">
        <v>88</v>
      </c>
    </row>
    <row r="395" spans="1:15">
      <c r="A395" s="12">
        <f t="shared" si="39"/>
        <v>394</v>
      </c>
      <c r="B395" s="12" t="s">
        <v>2</v>
      </c>
      <c r="C395" s="12" t="s">
        <v>348</v>
      </c>
      <c r="D395" s="12" t="s">
        <v>349</v>
      </c>
      <c r="E395" s="89">
        <f t="shared" ca="1" si="40"/>
        <v>40951</v>
      </c>
      <c r="F395" s="11">
        <f>DATE(69,10,3)</f>
        <v>25479</v>
      </c>
      <c r="G395" s="12">
        <f t="shared" ca="1" si="36"/>
        <v>43</v>
      </c>
      <c r="H395" s="12">
        <f t="shared" ca="1" si="37"/>
        <v>-8</v>
      </c>
      <c r="I395" s="13">
        <f t="shared" ca="1" si="38"/>
        <v>9</v>
      </c>
      <c r="J395" s="14">
        <f t="shared" ca="1" si="41"/>
        <v>42</v>
      </c>
      <c r="K395" s="12" t="s">
        <v>40</v>
      </c>
      <c r="L395" s="12">
        <v>33</v>
      </c>
      <c r="M395" s="12" t="s">
        <v>40</v>
      </c>
      <c r="N395" s="12">
        <v>89</v>
      </c>
      <c r="O395" s="90" t="s">
        <v>2748</v>
      </c>
    </row>
    <row r="396" spans="1:15">
      <c r="A396" s="12">
        <f t="shared" si="39"/>
        <v>395</v>
      </c>
      <c r="B396" s="12" t="s">
        <v>2</v>
      </c>
      <c r="C396" s="12" t="s">
        <v>350</v>
      </c>
      <c r="D396" s="12" t="s">
        <v>348</v>
      </c>
      <c r="E396" s="89">
        <f t="shared" ca="1" si="40"/>
        <v>40951</v>
      </c>
      <c r="F396" s="11">
        <f>DATE(74,11,12)</f>
        <v>27345</v>
      </c>
      <c r="G396" s="12">
        <f t="shared" ca="1" si="36"/>
        <v>38</v>
      </c>
      <c r="H396" s="12">
        <f t="shared" ca="1" si="37"/>
        <v>-9</v>
      </c>
      <c r="I396" s="13">
        <f t="shared" ca="1" si="38"/>
        <v>0</v>
      </c>
      <c r="J396" s="14">
        <f t="shared" ca="1" si="41"/>
        <v>37</v>
      </c>
      <c r="K396" s="12" t="s">
        <v>41</v>
      </c>
      <c r="L396" s="12">
        <v>33</v>
      </c>
      <c r="M396" s="12" t="s">
        <v>40</v>
      </c>
      <c r="N396" s="12">
        <v>89</v>
      </c>
    </row>
    <row r="397" spans="1:15">
      <c r="A397" s="12">
        <f t="shared" si="39"/>
        <v>396</v>
      </c>
      <c r="B397" s="12" t="s">
        <v>2</v>
      </c>
      <c r="C397" s="12" t="s">
        <v>351</v>
      </c>
      <c r="D397" s="12" t="s">
        <v>348</v>
      </c>
      <c r="E397" s="89">
        <f t="shared" ca="1" si="40"/>
        <v>40951</v>
      </c>
      <c r="F397" s="11">
        <f>DATE(98,10,24)</f>
        <v>36092</v>
      </c>
      <c r="G397" s="12">
        <f t="shared" ca="1" si="36"/>
        <v>14</v>
      </c>
      <c r="H397" s="12">
        <f t="shared" ca="1" si="37"/>
        <v>-8</v>
      </c>
      <c r="I397" s="13">
        <f t="shared" ca="1" si="38"/>
        <v>-12</v>
      </c>
      <c r="J397" s="14">
        <f t="shared" ca="1" si="41"/>
        <v>13</v>
      </c>
      <c r="K397" s="12" t="s">
        <v>41</v>
      </c>
      <c r="L397" s="12">
        <v>33</v>
      </c>
      <c r="M397" s="12" t="s">
        <v>44</v>
      </c>
      <c r="N397" s="12">
        <v>89</v>
      </c>
    </row>
    <row r="398" spans="1:15">
      <c r="A398" s="12">
        <f t="shared" si="39"/>
        <v>397</v>
      </c>
      <c r="B398" s="12" t="s">
        <v>2</v>
      </c>
      <c r="C398" s="12" t="s">
        <v>353</v>
      </c>
      <c r="D398" s="12" t="s">
        <v>352</v>
      </c>
      <c r="E398" s="89">
        <f t="shared" ca="1" si="40"/>
        <v>40951</v>
      </c>
      <c r="F398" s="11">
        <f>DATE(79,3,7)</f>
        <v>28921</v>
      </c>
      <c r="G398" s="12">
        <f t="shared" ca="1" si="36"/>
        <v>33</v>
      </c>
      <c r="H398" s="12">
        <f t="shared" ca="1" si="37"/>
        <v>-1</v>
      </c>
      <c r="I398" s="13">
        <f t="shared" ca="1" si="38"/>
        <v>5</v>
      </c>
      <c r="J398" s="14">
        <f t="shared" ca="1" si="41"/>
        <v>32</v>
      </c>
      <c r="K398" s="12" t="s">
        <v>40</v>
      </c>
      <c r="L398" s="12">
        <v>34</v>
      </c>
      <c r="M398" s="12" t="s">
        <v>40</v>
      </c>
      <c r="N398" s="12">
        <v>90</v>
      </c>
      <c r="O398" s="90" t="s">
        <v>2748</v>
      </c>
    </row>
    <row r="399" spans="1:15">
      <c r="A399" s="12">
        <f t="shared" si="39"/>
        <v>398</v>
      </c>
      <c r="B399" s="12" t="s">
        <v>2</v>
      </c>
      <c r="C399" s="12" t="s">
        <v>354</v>
      </c>
      <c r="D399" s="12" t="s">
        <v>353</v>
      </c>
      <c r="E399" s="89">
        <f t="shared" ca="1" si="40"/>
        <v>40951</v>
      </c>
      <c r="F399" s="11">
        <f>DATE(92,10,30)</f>
        <v>33907</v>
      </c>
      <c r="G399" s="12">
        <f t="shared" ca="1" si="36"/>
        <v>20</v>
      </c>
      <c r="H399" s="12">
        <f t="shared" ca="1" si="37"/>
        <v>-8</v>
      </c>
      <c r="I399" s="13">
        <f t="shared" ca="1" si="38"/>
        <v>-18</v>
      </c>
      <c r="J399" s="14">
        <f t="shared" ca="1" si="41"/>
        <v>19</v>
      </c>
      <c r="K399" s="12" t="s">
        <v>41</v>
      </c>
      <c r="L399" s="12">
        <v>34</v>
      </c>
      <c r="M399" s="12" t="s">
        <v>40</v>
      </c>
      <c r="N399" s="12">
        <v>90</v>
      </c>
    </row>
    <row r="400" spans="1:15">
      <c r="A400" s="12">
        <f t="shared" si="39"/>
        <v>399</v>
      </c>
      <c r="B400" s="12" t="s">
        <v>2</v>
      </c>
      <c r="C400" s="12" t="s">
        <v>355</v>
      </c>
      <c r="D400" s="12" t="s">
        <v>356</v>
      </c>
      <c r="E400" s="89">
        <f t="shared" ca="1" si="40"/>
        <v>40951</v>
      </c>
      <c r="F400" s="32"/>
      <c r="G400" s="12">
        <f t="shared" ca="1" si="36"/>
        <v>112</v>
      </c>
      <c r="H400" s="12">
        <f t="shared" ca="1" si="37"/>
        <v>1</v>
      </c>
      <c r="I400" s="13">
        <f t="shared" ca="1" si="38"/>
        <v>12</v>
      </c>
      <c r="J400" s="14">
        <f t="shared" ca="1" si="41"/>
        <v>112</v>
      </c>
      <c r="K400" s="12" t="s">
        <v>40</v>
      </c>
      <c r="L400" s="12">
        <v>34</v>
      </c>
      <c r="M400" s="12" t="s">
        <v>40</v>
      </c>
      <c r="N400" s="12">
        <v>91</v>
      </c>
      <c r="O400" s="90" t="s">
        <v>2748</v>
      </c>
    </row>
    <row r="401" spans="1:15">
      <c r="A401" s="12">
        <f t="shared" si="39"/>
        <v>400</v>
      </c>
      <c r="B401" s="12" t="s">
        <v>2</v>
      </c>
      <c r="C401" s="12" t="s">
        <v>357</v>
      </c>
      <c r="D401" s="12" t="s">
        <v>358</v>
      </c>
      <c r="E401" s="89">
        <f t="shared" ca="1" si="40"/>
        <v>40951</v>
      </c>
      <c r="F401" s="11">
        <f>DATE(60,1,18)</f>
        <v>21933</v>
      </c>
      <c r="G401" s="12">
        <f t="shared" ca="1" si="36"/>
        <v>52</v>
      </c>
      <c r="H401" s="12">
        <f t="shared" ca="1" si="37"/>
        <v>1</v>
      </c>
      <c r="I401" s="13">
        <f t="shared" ca="1" si="38"/>
        <v>-6</v>
      </c>
      <c r="J401" s="14">
        <f t="shared" ca="1" si="41"/>
        <v>52</v>
      </c>
      <c r="K401" s="12" t="s">
        <v>40</v>
      </c>
      <c r="L401" s="12">
        <v>34</v>
      </c>
      <c r="M401" s="12" t="s">
        <v>40</v>
      </c>
      <c r="N401" s="12">
        <v>91</v>
      </c>
    </row>
    <row r="402" spans="1:15">
      <c r="A402" s="12">
        <f t="shared" si="39"/>
        <v>401</v>
      </c>
      <c r="B402" s="12" t="s">
        <v>2</v>
      </c>
      <c r="C402" s="12" t="s">
        <v>359</v>
      </c>
      <c r="D402" s="12" t="s">
        <v>360</v>
      </c>
      <c r="E402" s="89">
        <f t="shared" ca="1" si="40"/>
        <v>40951</v>
      </c>
      <c r="F402" s="11">
        <f>DATE(61,11,26)</f>
        <v>22611</v>
      </c>
      <c r="G402" s="12">
        <f t="shared" ca="1" si="36"/>
        <v>51</v>
      </c>
      <c r="H402" s="12">
        <f t="shared" ca="1" si="37"/>
        <v>-9</v>
      </c>
      <c r="I402" s="13">
        <f t="shared" ca="1" si="38"/>
        <v>-14</v>
      </c>
      <c r="J402" s="14">
        <f t="shared" ca="1" si="41"/>
        <v>50</v>
      </c>
      <c r="K402" s="12" t="s">
        <v>41</v>
      </c>
      <c r="L402" s="12">
        <v>34</v>
      </c>
      <c r="M402" s="12" t="s">
        <v>40</v>
      </c>
      <c r="N402" s="12">
        <v>91</v>
      </c>
    </row>
    <row r="403" spans="1:15">
      <c r="A403" s="12">
        <f t="shared" si="39"/>
        <v>402</v>
      </c>
      <c r="B403" s="12" t="s">
        <v>2</v>
      </c>
      <c r="C403" s="12" t="s">
        <v>361</v>
      </c>
      <c r="D403" s="12" t="s">
        <v>360</v>
      </c>
      <c r="E403" s="89">
        <f t="shared" ca="1" si="40"/>
        <v>40951</v>
      </c>
      <c r="F403" s="11">
        <f>DATE(87,12,8)</f>
        <v>32119</v>
      </c>
      <c r="G403" s="12">
        <f t="shared" ca="1" si="36"/>
        <v>25</v>
      </c>
      <c r="H403" s="12">
        <f t="shared" ca="1" si="37"/>
        <v>-10</v>
      </c>
      <c r="I403" s="13">
        <f t="shared" ca="1" si="38"/>
        <v>4</v>
      </c>
      <c r="J403" s="14">
        <f t="shared" ca="1" si="41"/>
        <v>24</v>
      </c>
      <c r="K403" s="12" t="s">
        <v>41</v>
      </c>
      <c r="L403" s="12">
        <v>34</v>
      </c>
      <c r="M403" s="12" t="s">
        <v>44</v>
      </c>
      <c r="N403" s="12">
        <v>91</v>
      </c>
    </row>
    <row r="404" spans="1:15">
      <c r="A404" s="12">
        <f t="shared" si="39"/>
        <v>403</v>
      </c>
      <c r="B404" s="12" t="s">
        <v>2</v>
      </c>
      <c r="C404" s="12" t="s">
        <v>362</v>
      </c>
      <c r="D404" s="12" t="s">
        <v>360</v>
      </c>
      <c r="E404" s="89">
        <f t="shared" ca="1" si="40"/>
        <v>40951</v>
      </c>
      <c r="F404" s="11">
        <f>DATE(94,10,2)</f>
        <v>34609</v>
      </c>
      <c r="G404" s="12">
        <f t="shared" ca="1" si="36"/>
        <v>18</v>
      </c>
      <c r="H404" s="12">
        <f t="shared" ca="1" si="37"/>
        <v>-8</v>
      </c>
      <c r="I404" s="13">
        <f t="shared" ca="1" si="38"/>
        <v>10</v>
      </c>
      <c r="J404" s="14">
        <f t="shared" ca="1" si="41"/>
        <v>17</v>
      </c>
      <c r="K404" s="12" t="s">
        <v>40</v>
      </c>
      <c r="L404" s="12">
        <v>34</v>
      </c>
      <c r="M404" s="12" t="s">
        <v>44</v>
      </c>
      <c r="N404" s="12">
        <v>91</v>
      </c>
    </row>
    <row r="405" spans="1:15">
      <c r="A405" s="12">
        <f t="shared" si="39"/>
        <v>404</v>
      </c>
      <c r="B405" s="12" t="s">
        <v>2</v>
      </c>
      <c r="C405" s="12" t="s">
        <v>112</v>
      </c>
      <c r="D405" s="12" t="s">
        <v>363</v>
      </c>
      <c r="E405" s="89">
        <f t="shared" ca="1" si="40"/>
        <v>40951</v>
      </c>
      <c r="F405" s="11">
        <f>DATE(65,6,6)</f>
        <v>23899</v>
      </c>
      <c r="G405" s="12">
        <f t="shared" ca="1" si="36"/>
        <v>47</v>
      </c>
      <c r="H405" s="12">
        <f t="shared" ca="1" si="37"/>
        <v>-4</v>
      </c>
      <c r="I405" s="13">
        <f t="shared" ca="1" si="38"/>
        <v>6</v>
      </c>
      <c r="J405" s="14">
        <f t="shared" ca="1" si="41"/>
        <v>46</v>
      </c>
      <c r="K405" s="12" t="s">
        <v>40</v>
      </c>
      <c r="L405" s="12">
        <v>34</v>
      </c>
      <c r="M405" s="12" t="s">
        <v>40</v>
      </c>
      <c r="N405" s="12">
        <v>92</v>
      </c>
      <c r="O405" s="90" t="s">
        <v>2748</v>
      </c>
    </row>
    <row r="406" spans="1:15">
      <c r="A406" s="12">
        <f t="shared" si="39"/>
        <v>405</v>
      </c>
      <c r="B406" s="12" t="s">
        <v>2</v>
      </c>
      <c r="C406" s="12" t="s">
        <v>364</v>
      </c>
      <c r="D406" s="12" t="s">
        <v>112</v>
      </c>
      <c r="E406" s="89">
        <f t="shared" ca="1" si="40"/>
        <v>40951</v>
      </c>
      <c r="F406" s="11">
        <f>DATE(69,8,28)</f>
        <v>25443</v>
      </c>
      <c r="G406" s="12">
        <f t="shared" ca="1" si="36"/>
        <v>43</v>
      </c>
      <c r="H406" s="12">
        <f t="shared" ca="1" si="37"/>
        <v>-6</v>
      </c>
      <c r="I406" s="13">
        <f t="shared" ca="1" si="38"/>
        <v>-16</v>
      </c>
      <c r="J406" s="14">
        <f t="shared" ca="1" si="41"/>
        <v>42</v>
      </c>
      <c r="K406" s="12" t="s">
        <v>41</v>
      </c>
      <c r="L406" s="12">
        <v>34</v>
      </c>
      <c r="M406" s="12" t="s">
        <v>40</v>
      </c>
      <c r="N406" s="12">
        <v>92</v>
      </c>
    </row>
    <row r="407" spans="1:15">
      <c r="A407" s="12">
        <f t="shared" si="39"/>
        <v>406</v>
      </c>
      <c r="B407" s="12" t="s">
        <v>2</v>
      </c>
      <c r="C407" s="12" t="s">
        <v>365</v>
      </c>
      <c r="D407" s="12" t="s">
        <v>112</v>
      </c>
      <c r="E407" s="89">
        <f t="shared" ca="1" si="40"/>
        <v>40951</v>
      </c>
      <c r="F407" s="11">
        <f>DATE(96,2,10)</f>
        <v>35105</v>
      </c>
      <c r="G407" s="12">
        <f t="shared" ca="1" si="36"/>
        <v>16</v>
      </c>
      <c r="H407" s="12">
        <f t="shared" ca="1" si="37"/>
        <v>0</v>
      </c>
      <c r="I407" s="13">
        <f t="shared" ca="1" si="38"/>
        <v>2</v>
      </c>
      <c r="J407" s="14">
        <f t="shared" ca="1" si="41"/>
        <v>16</v>
      </c>
      <c r="K407" s="12" t="s">
        <v>40</v>
      </c>
      <c r="L407" s="12">
        <v>34</v>
      </c>
      <c r="M407" s="12" t="s">
        <v>44</v>
      </c>
      <c r="N407" s="12">
        <v>92</v>
      </c>
    </row>
    <row r="408" spans="1:15">
      <c r="A408" s="12">
        <f t="shared" si="39"/>
        <v>407</v>
      </c>
      <c r="B408" s="12" t="s">
        <v>2</v>
      </c>
      <c r="C408" s="12" t="s">
        <v>366</v>
      </c>
      <c r="D408" s="12" t="s">
        <v>112</v>
      </c>
      <c r="E408" s="89">
        <f t="shared" ca="1" si="40"/>
        <v>40951</v>
      </c>
      <c r="F408" s="11">
        <f>DATE(97,5,15)</f>
        <v>35565</v>
      </c>
      <c r="G408" s="12">
        <f t="shared" ca="1" si="36"/>
        <v>15</v>
      </c>
      <c r="H408" s="12">
        <f t="shared" ca="1" si="37"/>
        <v>-3</v>
      </c>
      <c r="I408" s="13">
        <f t="shared" ca="1" si="38"/>
        <v>-3</v>
      </c>
      <c r="J408" s="14">
        <f t="shared" ca="1" si="41"/>
        <v>14</v>
      </c>
      <c r="K408" s="12" t="s">
        <v>41</v>
      </c>
      <c r="L408" s="12">
        <v>34</v>
      </c>
      <c r="M408" s="12" t="s">
        <v>44</v>
      </c>
      <c r="N408" s="12">
        <v>92</v>
      </c>
    </row>
    <row r="409" spans="1:15">
      <c r="A409" s="12">
        <f t="shared" si="39"/>
        <v>408</v>
      </c>
      <c r="B409" s="12" t="s">
        <v>2</v>
      </c>
      <c r="C409" s="12" t="s">
        <v>367</v>
      </c>
      <c r="D409" s="12" t="s">
        <v>349</v>
      </c>
      <c r="E409" s="89">
        <f t="shared" ca="1" si="40"/>
        <v>40951</v>
      </c>
      <c r="F409" s="11">
        <f>DATE(65,6,6)</f>
        <v>23899</v>
      </c>
      <c r="G409" s="12">
        <f t="shared" ref="G409:G472" ca="1" si="42">YEAR(E409)-YEAR(F409)</f>
        <v>47</v>
      </c>
      <c r="H409" s="12">
        <f t="shared" ref="H409:H472" ca="1" si="43">MONTH(E409)-MONTH(F409)</f>
        <v>-4</v>
      </c>
      <c r="I409" s="13">
        <f t="shared" ref="I409:I472" ca="1" si="44">DAY(E409)-DAY(F409)</f>
        <v>6</v>
      </c>
      <c r="J409" s="14">
        <f t="shared" ca="1" si="41"/>
        <v>46</v>
      </c>
      <c r="K409" s="12" t="s">
        <v>40</v>
      </c>
      <c r="L409" s="12">
        <v>35</v>
      </c>
      <c r="M409" s="12" t="s">
        <v>40</v>
      </c>
      <c r="N409" s="12">
        <v>93</v>
      </c>
      <c r="O409" s="90" t="s">
        <v>2748</v>
      </c>
    </row>
    <row r="410" spans="1:15">
      <c r="A410" s="12">
        <f t="shared" si="39"/>
        <v>409</v>
      </c>
      <c r="B410" s="12" t="s">
        <v>2</v>
      </c>
      <c r="C410" s="12" t="s">
        <v>368</v>
      </c>
      <c r="D410" s="12" t="s">
        <v>367</v>
      </c>
      <c r="E410" s="89">
        <f t="shared" ca="1" si="40"/>
        <v>40951</v>
      </c>
      <c r="F410" s="11">
        <f>DATE(61,8,28)</f>
        <v>22521</v>
      </c>
      <c r="G410" s="12">
        <f t="shared" ca="1" si="42"/>
        <v>51</v>
      </c>
      <c r="H410" s="12">
        <f t="shared" ca="1" si="43"/>
        <v>-6</v>
      </c>
      <c r="I410" s="13">
        <f t="shared" ca="1" si="44"/>
        <v>-16</v>
      </c>
      <c r="J410" s="14">
        <f t="shared" ca="1" si="41"/>
        <v>50</v>
      </c>
      <c r="K410" s="12" t="s">
        <v>41</v>
      </c>
      <c r="L410" s="12">
        <v>35</v>
      </c>
      <c r="M410" s="12" t="s">
        <v>40</v>
      </c>
      <c r="N410" s="12">
        <v>93</v>
      </c>
    </row>
    <row r="411" spans="1:15">
      <c r="A411" s="12">
        <f t="shared" si="39"/>
        <v>410</v>
      </c>
      <c r="B411" s="12" t="s">
        <v>2</v>
      </c>
      <c r="C411" s="12" t="s">
        <v>369</v>
      </c>
      <c r="D411" s="12" t="s">
        <v>367</v>
      </c>
      <c r="E411" s="89">
        <f t="shared" ca="1" si="40"/>
        <v>40951</v>
      </c>
      <c r="F411" s="11">
        <f>DATE(93,6,15)</f>
        <v>34135</v>
      </c>
      <c r="G411" s="12">
        <f t="shared" ca="1" si="42"/>
        <v>19</v>
      </c>
      <c r="H411" s="12">
        <f t="shared" ca="1" si="43"/>
        <v>-4</v>
      </c>
      <c r="I411" s="13">
        <f t="shared" ca="1" si="44"/>
        <v>-3</v>
      </c>
      <c r="J411" s="14">
        <f t="shared" ca="1" si="41"/>
        <v>18</v>
      </c>
      <c r="K411" s="12" t="s">
        <v>40</v>
      </c>
      <c r="L411" s="12">
        <v>35</v>
      </c>
      <c r="M411" s="12" t="s">
        <v>44</v>
      </c>
      <c r="N411" s="12">
        <v>93</v>
      </c>
    </row>
    <row r="412" spans="1:15">
      <c r="A412" s="12">
        <f t="shared" si="39"/>
        <v>411</v>
      </c>
      <c r="B412" s="12" t="s">
        <v>2</v>
      </c>
      <c r="C412" s="12" t="s">
        <v>370</v>
      </c>
      <c r="D412" s="12" t="s">
        <v>367</v>
      </c>
      <c r="E412" s="89">
        <f t="shared" ca="1" si="40"/>
        <v>40951</v>
      </c>
      <c r="F412" s="11">
        <f>DATE(98,6,28)</f>
        <v>35974</v>
      </c>
      <c r="G412" s="12">
        <f t="shared" ca="1" si="42"/>
        <v>14</v>
      </c>
      <c r="H412" s="12">
        <f t="shared" ca="1" si="43"/>
        <v>-4</v>
      </c>
      <c r="I412" s="13">
        <f t="shared" ca="1" si="44"/>
        <v>-16</v>
      </c>
      <c r="J412" s="14">
        <f t="shared" ca="1" si="41"/>
        <v>13</v>
      </c>
      <c r="K412" s="12" t="s">
        <v>40</v>
      </c>
      <c r="L412" s="12">
        <v>35</v>
      </c>
      <c r="M412" s="12" t="s">
        <v>44</v>
      </c>
      <c r="N412" s="12">
        <v>93</v>
      </c>
    </row>
    <row r="413" spans="1:15">
      <c r="A413" s="12">
        <f t="shared" si="39"/>
        <v>412</v>
      </c>
      <c r="B413" s="12" t="s">
        <v>2</v>
      </c>
      <c r="C413" s="12" t="s">
        <v>371</v>
      </c>
      <c r="D413" s="12" t="s">
        <v>372</v>
      </c>
      <c r="E413" s="89">
        <f t="shared" ca="1" si="40"/>
        <v>40951</v>
      </c>
      <c r="F413" s="11">
        <f>DATE(43,1,1)</f>
        <v>15707</v>
      </c>
      <c r="G413" s="12">
        <f t="shared" ca="1" si="42"/>
        <v>69</v>
      </c>
      <c r="H413" s="12">
        <f t="shared" ca="1" si="43"/>
        <v>1</v>
      </c>
      <c r="I413" s="13">
        <f t="shared" ca="1" si="44"/>
        <v>11</v>
      </c>
      <c r="J413" s="14">
        <f t="shared" ca="1" si="41"/>
        <v>69</v>
      </c>
      <c r="K413" s="12" t="s">
        <v>40</v>
      </c>
      <c r="L413" s="12">
        <v>35</v>
      </c>
      <c r="M413" s="12" t="s">
        <v>40</v>
      </c>
      <c r="N413" s="12">
        <v>94</v>
      </c>
      <c r="O413" s="90" t="s">
        <v>2748</v>
      </c>
    </row>
    <row r="414" spans="1:15">
      <c r="A414" s="12">
        <f t="shared" ref="A414:A477" si="45">A413+1</f>
        <v>413</v>
      </c>
      <c r="B414" s="12" t="s">
        <v>2</v>
      </c>
      <c r="C414" s="12" t="s">
        <v>318</v>
      </c>
      <c r="D414" s="12" t="s">
        <v>371</v>
      </c>
      <c r="E414" s="89">
        <f t="shared" ca="1" si="40"/>
        <v>40951</v>
      </c>
      <c r="F414" s="11">
        <f>DATE(49,5,30)</f>
        <v>18048</v>
      </c>
      <c r="G414" s="12">
        <f t="shared" ca="1" si="42"/>
        <v>63</v>
      </c>
      <c r="H414" s="12">
        <f t="shared" ca="1" si="43"/>
        <v>-3</v>
      </c>
      <c r="I414" s="13">
        <f t="shared" ca="1" si="44"/>
        <v>-18</v>
      </c>
      <c r="J414" s="14">
        <f t="shared" ca="1" si="41"/>
        <v>62</v>
      </c>
      <c r="K414" s="12" t="s">
        <v>41</v>
      </c>
      <c r="L414" s="12">
        <v>35</v>
      </c>
      <c r="M414" s="12" t="s">
        <v>40</v>
      </c>
      <c r="N414" s="12">
        <v>94</v>
      </c>
    </row>
    <row r="415" spans="1:15">
      <c r="A415" s="12">
        <f t="shared" si="45"/>
        <v>414</v>
      </c>
      <c r="B415" s="12" t="s">
        <v>2</v>
      </c>
      <c r="C415" s="12" t="s">
        <v>373</v>
      </c>
      <c r="D415" s="12" t="s">
        <v>372</v>
      </c>
      <c r="E415" s="89">
        <f t="shared" ca="1" si="40"/>
        <v>40951</v>
      </c>
      <c r="F415" s="11">
        <f>DATE(48,1,7)</f>
        <v>17539</v>
      </c>
      <c r="G415" s="12">
        <f t="shared" ca="1" si="42"/>
        <v>64</v>
      </c>
      <c r="H415" s="12">
        <f t="shared" ca="1" si="43"/>
        <v>1</v>
      </c>
      <c r="I415" s="13">
        <f t="shared" ca="1" si="44"/>
        <v>5</v>
      </c>
      <c r="J415" s="14">
        <f t="shared" ca="1" si="41"/>
        <v>64</v>
      </c>
      <c r="K415" s="12" t="s">
        <v>40</v>
      </c>
      <c r="L415" s="12">
        <v>35</v>
      </c>
      <c r="M415" s="12" t="s">
        <v>40</v>
      </c>
      <c r="N415" s="12">
        <v>95</v>
      </c>
      <c r="O415" s="90" t="s">
        <v>2748</v>
      </c>
    </row>
    <row r="416" spans="1:15">
      <c r="A416" s="12">
        <f t="shared" si="45"/>
        <v>415</v>
      </c>
      <c r="B416" s="12" t="s">
        <v>2</v>
      </c>
      <c r="C416" s="12" t="s">
        <v>261</v>
      </c>
      <c r="D416" s="12" t="s">
        <v>374</v>
      </c>
      <c r="E416" s="89">
        <f t="shared" ca="1" si="40"/>
        <v>40951</v>
      </c>
      <c r="F416" s="11">
        <f>DATE(55,7,7)</f>
        <v>20277</v>
      </c>
      <c r="G416" s="12">
        <f t="shared" ca="1" si="42"/>
        <v>57</v>
      </c>
      <c r="H416" s="12">
        <f t="shared" ca="1" si="43"/>
        <v>-5</v>
      </c>
      <c r="I416" s="13">
        <f t="shared" ca="1" si="44"/>
        <v>5</v>
      </c>
      <c r="J416" s="14">
        <f t="shared" ca="1" si="41"/>
        <v>56</v>
      </c>
      <c r="K416" s="12" t="s">
        <v>41</v>
      </c>
      <c r="L416" s="12">
        <v>35</v>
      </c>
      <c r="M416" s="12" t="s">
        <v>40</v>
      </c>
      <c r="N416" s="12">
        <v>95</v>
      </c>
    </row>
    <row r="417" spans="1:15">
      <c r="A417" s="12">
        <f t="shared" si="45"/>
        <v>416</v>
      </c>
      <c r="B417" s="12" t="s">
        <v>2</v>
      </c>
      <c r="C417" s="12" t="s">
        <v>375</v>
      </c>
      <c r="D417" s="12" t="s">
        <v>94</v>
      </c>
      <c r="E417" s="89">
        <f t="shared" ca="1" si="40"/>
        <v>40951</v>
      </c>
      <c r="F417" s="32"/>
      <c r="G417" s="12">
        <f t="shared" ca="1" si="42"/>
        <v>112</v>
      </c>
      <c r="H417" s="12">
        <f t="shared" ca="1" si="43"/>
        <v>1</v>
      </c>
      <c r="I417" s="13">
        <f t="shared" ca="1" si="44"/>
        <v>12</v>
      </c>
      <c r="J417" s="14">
        <f t="shared" ca="1" si="41"/>
        <v>112</v>
      </c>
      <c r="K417" s="12" t="s">
        <v>40</v>
      </c>
      <c r="L417" s="12">
        <v>35</v>
      </c>
      <c r="M417" s="12" t="s">
        <v>40</v>
      </c>
      <c r="N417" s="12">
        <v>96</v>
      </c>
      <c r="O417" s="90" t="s">
        <v>2748</v>
      </c>
    </row>
    <row r="418" spans="1:15">
      <c r="A418" s="12">
        <f t="shared" si="45"/>
        <v>417</v>
      </c>
      <c r="B418" s="12" t="s">
        <v>2</v>
      </c>
      <c r="C418" s="12" t="s">
        <v>113</v>
      </c>
      <c r="D418" s="12" t="s">
        <v>254</v>
      </c>
      <c r="E418" s="89">
        <f t="shared" ref="E418:E481" ca="1" si="46">TODAY()</f>
        <v>40951</v>
      </c>
      <c r="F418" s="11">
        <f>DATE(69,5,4)</f>
        <v>25327</v>
      </c>
      <c r="G418" s="12">
        <f t="shared" ca="1" si="42"/>
        <v>43</v>
      </c>
      <c r="H418" s="12">
        <f t="shared" ca="1" si="43"/>
        <v>-3</v>
      </c>
      <c r="I418" s="13">
        <f t="shared" ca="1" si="44"/>
        <v>8</v>
      </c>
      <c r="J418" s="14">
        <f t="shared" ca="1" si="41"/>
        <v>42</v>
      </c>
      <c r="K418" s="12" t="s">
        <v>41</v>
      </c>
      <c r="L418" s="12">
        <v>35</v>
      </c>
      <c r="M418" s="12" t="s">
        <v>40</v>
      </c>
      <c r="N418" s="12">
        <v>96</v>
      </c>
    </row>
    <row r="419" spans="1:15">
      <c r="A419" s="12">
        <f t="shared" si="45"/>
        <v>418</v>
      </c>
      <c r="B419" s="12" t="s">
        <v>2</v>
      </c>
      <c r="C419" s="12" t="s">
        <v>376</v>
      </c>
      <c r="D419" s="12" t="s">
        <v>254</v>
      </c>
      <c r="E419" s="89">
        <f t="shared" ca="1" si="46"/>
        <v>40951</v>
      </c>
      <c r="F419" s="11">
        <f>DATE(90,10,6)</f>
        <v>33152</v>
      </c>
      <c r="G419" s="12">
        <f t="shared" ca="1" si="42"/>
        <v>22</v>
      </c>
      <c r="H419" s="12">
        <f t="shared" ca="1" si="43"/>
        <v>-8</v>
      </c>
      <c r="I419" s="13">
        <f t="shared" ca="1" si="44"/>
        <v>6</v>
      </c>
      <c r="J419" s="14">
        <f t="shared" ca="1" si="41"/>
        <v>21</v>
      </c>
      <c r="K419" s="12" t="s">
        <v>40</v>
      </c>
      <c r="L419" s="12">
        <v>35</v>
      </c>
      <c r="M419" s="12" t="s">
        <v>44</v>
      </c>
      <c r="N419" s="12">
        <v>96</v>
      </c>
    </row>
    <row r="420" spans="1:15">
      <c r="A420" s="12">
        <f t="shared" si="45"/>
        <v>419</v>
      </c>
      <c r="B420" s="12" t="s">
        <v>2</v>
      </c>
      <c r="C420" s="12" t="s">
        <v>377</v>
      </c>
      <c r="D420" s="12" t="s">
        <v>254</v>
      </c>
      <c r="E420" s="89">
        <f t="shared" ca="1" si="46"/>
        <v>40951</v>
      </c>
      <c r="F420" s="11">
        <f>DATE(95,8,30)</f>
        <v>34941</v>
      </c>
      <c r="G420" s="12">
        <f t="shared" ca="1" si="42"/>
        <v>17</v>
      </c>
      <c r="H420" s="12">
        <f t="shared" ca="1" si="43"/>
        <v>-6</v>
      </c>
      <c r="I420" s="13">
        <f t="shared" ca="1" si="44"/>
        <v>-18</v>
      </c>
      <c r="J420" s="14">
        <f t="shared" ca="1" si="41"/>
        <v>16</v>
      </c>
      <c r="K420" s="12" t="s">
        <v>40</v>
      </c>
      <c r="L420" s="12">
        <v>35</v>
      </c>
      <c r="M420" s="12" t="s">
        <v>44</v>
      </c>
      <c r="N420" s="12">
        <v>96</v>
      </c>
    </row>
    <row r="421" spans="1:15">
      <c r="A421" s="12">
        <f t="shared" si="45"/>
        <v>420</v>
      </c>
      <c r="B421" s="12" t="s">
        <v>2</v>
      </c>
      <c r="C421" s="12" t="s">
        <v>378</v>
      </c>
      <c r="D421" s="12" t="s">
        <v>379</v>
      </c>
      <c r="E421" s="89">
        <f t="shared" ca="1" si="46"/>
        <v>40951</v>
      </c>
      <c r="F421" s="11">
        <f>DATE(49,8,1)</f>
        <v>18111</v>
      </c>
      <c r="G421" s="12">
        <f t="shared" ca="1" si="42"/>
        <v>63</v>
      </c>
      <c r="H421" s="12">
        <f t="shared" ca="1" si="43"/>
        <v>-6</v>
      </c>
      <c r="I421" s="13">
        <f t="shared" ca="1" si="44"/>
        <v>11</v>
      </c>
      <c r="J421" s="14">
        <f t="shared" ca="1" si="41"/>
        <v>62</v>
      </c>
      <c r="K421" s="12" t="s">
        <v>40</v>
      </c>
      <c r="L421" s="12">
        <v>36</v>
      </c>
      <c r="M421" s="12" t="s">
        <v>40</v>
      </c>
      <c r="N421" s="12">
        <v>97</v>
      </c>
      <c r="O421" s="90" t="s">
        <v>2748</v>
      </c>
    </row>
    <row r="422" spans="1:15">
      <c r="A422" s="12">
        <f t="shared" si="45"/>
        <v>421</v>
      </c>
      <c r="B422" s="12" t="s">
        <v>2</v>
      </c>
      <c r="C422" s="12" t="s">
        <v>380</v>
      </c>
      <c r="D422" s="12" t="s">
        <v>378</v>
      </c>
      <c r="E422" s="89">
        <f t="shared" ca="1" si="46"/>
        <v>40951</v>
      </c>
      <c r="F422" s="11">
        <f>DATE(52,4,1)</f>
        <v>19085</v>
      </c>
      <c r="G422" s="12">
        <f t="shared" ca="1" si="42"/>
        <v>60</v>
      </c>
      <c r="H422" s="12">
        <f t="shared" ca="1" si="43"/>
        <v>-2</v>
      </c>
      <c r="I422" s="13">
        <f t="shared" ca="1" si="44"/>
        <v>11</v>
      </c>
      <c r="J422" s="14">
        <f t="shared" ca="1" si="41"/>
        <v>59</v>
      </c>
      <c r="K422" s="12" t="s">
        <v>41</v>
      </c>
      <c r="L422" s="12">
        <v>36</v>
      </c>
      <c r="M422" s="12" t="s">
        <v>40</v>
      </c>
      <c r="N422" s="12">
        <v>97</v>
      </c>
    </row>
    <row r="423" spans="1:15">
      <c r="A423" s="12">
        <f t="shared" si="45"/>
        <v>422</v>
      </c>
      <c r="B423" s="12" t="s">
        <v>2</v>
      </c>
      <c r="C423" s="30" t="s">
        <v>382</v>
      </c>
      <c r="D423" s="12" t="s">
        <v>378</v>
      </c>
      <c r="E423" s="89">
        <f t="shared" ca="1" si="46"/>
        <v>40951</v>
      </c>
      <c r="F423" s="11">
        <f>DATE(81,2,7)</f>
        <v>29624</v>
      </c>
      <c r="G423" s="12">
        <f t="shared" ca="1" si="42"/>
        <v>31</v>
      </c>
      <c r="H423" s="12">
        <f t="shared" ca="1" si="43"/>
        <v>0</v>
      </c>
      <c r="I423" s="13">
        <f t="shared" ca="1" si="44"/>
        <v>5</v>
      </c>
      <c r="J423" s="14">
        <f t="shared" ca="1" si="41"/>
        <v>31</v>
      </c>
      <c r="K423" s="12" t="s">
        <v>41</v>
      </c>
      <c r="L423" s="12">
        <v>36</v>
      </c>
      <c r="M423" s="12" t="s">
        <v>44</v>
      </c>
      <c r="N423" s="12">
        <v>97</v>
      </c>
    </row>
    <row r="424" spans="1:15">
      <c r="A424" s="12">
        <f t="shared" si="45"/>
        <v>423</v>
      </c>
      <c r="B424" s="12" t="s">
        <v>2</v>
      </c>
      <c r="C424" s="12" t="s">
        <v>231</v>
      </c>
      <c r="D424" s="12" t="s">
        <v>378</v>
      </c>
      <c r="E424" s="89">
        <f t="shared" ca="1" si="46"/>
        <v>40951</v>
      </c>
      <c r="F424" s="11">
        <f>DATE(81,12,30)</f>
        <v>29950</v>
      </c>
      <c r="G424" s="12">
        <f t="shared" ca="1" si="42"/>
        <v>31</v>
      </c>
      <c r="H424" s="12">
        <f t="shared" ca="1" si="43"/>
        <v>-10</v>
      </c>
      <c r="I424" s="13">
        <f t="shared" ca="1" si="44"/>
        <v>-18</v>
      </c>
      <c r="J424" s="14">
        <f t="shared" ca="1" si="41"/>
        <v>30</v>
      </c>
      <c r="K424" s="12" t="s">
        <v>41</v>
      </c>
      <c r="L424" s="12">
        <v>36</v>
      </c>
      <c r="M424" s="12" t="s">
        <v>44</v>
      </c>
      <c r="N424" s="12">
        <v>97</v>
      </c>
    </row>
    <row r="425" spans="1:15">
      <c r="A425" s="12">
        <f t="shared" si="45"/>
        <v>424</v>
      </c>
      <c r="B425" s="12" t="s">
        <v>2</v>
      </c>
      <c r="C425" s="12" t="s">
        <v>381</v>
      </c>
      <c r="D425" s="12" t="s">
        <v>378</v>
      </c>
      <c r="E425" s="89">
        <f t="shared" ca="1" si="46"/>
        <v>40951</v>
      </c>
      <c r="F425" s="11">
        <f>DATE(83,3,8)</f>
        <v>30383</v>
      </c>
      <c r="G425" s="12">
        <f t="shared" ca="1" si="42"/>
        <v>29</v>
      </c>
      <c r="H425" s="12">
        <f t="shared" ca="1" si="43"/>
        <v>-1</v>
      </c>
      <c r="I425" s="13">
        <f t="shared" ca="1" si="44"/>
        <v>4</v>
      </c>
      <c r="J425" s="14">
        <f t="shared" ca="1" si="41"/>
        <v>28</v>
      </c>
      <c r="K425" s="12" t="s">
        <v>40</v>
      </c>
      <c r="L425" s="12">
        <v>36</v>
      </c>
      <c r="M425" s="12" t="s">
        <v>44</v>
      </c>
      <c r="N425" s="12">
        <v>97</v>
      </c>
    </row>
    <row r="426" spans="1:15">
      <c r="A426" s="12">
        <f t="shared" si="45"/>
        <v>425</v>
      </c>
      <c r="B426" s="12" t="s">
        <v>2</v>
      </c>
      <c r="C426" s="12" t="s">
        <v>383</v>
      </c>
      <c r="D426" s="12" t="s">
        <v>378</v>
      </c>
      <c r="E426" s="89">
        <f t="shared" ca="1" si="46"/>
        <v>40951</v>
      </c>
      <c r="F426" s="11">
        <f>DATE(88,7,14)</f>
        <v>32338</v>
      </c>
      <c r="G426" s="12">
        <f t="shared" ca="1" si="42"/>
        <v>24</v>
      </c>
      <c r="H426" s="12">
        <f t="shared" ca="1" si="43"/>
        <v>-5</v>
      </c>
      <c r="I426" s="13">
        <f t="shared" ca="1" si="44"/>
        <v>-2</v>
      </c>
      <c r="J426" s="14">
        <f t="shared" ca="1" si="41"/>
        <v>23</v>
      </c>
      <c r="K426" s="12" t="s">
        <v>40</v>
      </c>
      <c r="L426" s="12">
        <v>36</v>
      </c>
      <c r="M426" s="12" t="s">
        <v>44</v>
      </c>
      <c r="N426" s="12">
        <v>97</v>
      </c>
    </row>
    <row r="427" spans="1:15">
      <c r="A427" s="12">
        <f t="shared" si="45"/>
        <v>426</v>
      </c>
      <c r="B427" s="12" t="s">
        <v>2</v>
      </c>
      <c r="C427" s="12" t="s">
        <v>384</v>
      </c>
      <c r="D427" s="12" t="s">
        <v>372</v>
      </c>
      <c r="E427" s="89">
        <f t="shared" ca="1" si="46"/>
        <v>40951</v>
      </c>
      <c r="F427" s="11">
        <f>DATE(36,11,5)</f>
        <v>13459</v>
      </c>
      <c r="G427" s="12">
        <f t="shared" ca="1" si="42"/>
        <v>76</v>
      </c>
      <c r="H427" s="12">
        <f t="shared" ca="1" si="43"/>
        <v>-9</v>
      </c>
      <c r="I427" s="13">
        <f t="shared" ca="1" si="44"/>
        <v>7</v>
      </c>
      <c r="J427" s="14">
        <f t="shared" ca="1" si="41"/>
        <v>75</v>
      </c>
      <c r="K427" s="12" t="s">
        <v>40</v>
      </c>
      <c r="L427" s="12">
        <v>36</v>
      </c>
      <c r="M427" s="12" t="s">
        <v>40</v>
      </c>
      <c r="N427" s="12">
        <v>98</v>
      </c>
      <c r="O427" s="90" t="s">
        <v>2748</v>
      </c>
    </row>
    <row r="428" spans="1:15">
      <c r="A428" s="12">
        <f t="shared" si="45"/>
        <v>427</v>
      </c>
      <c r="B428" s="12" t="s">
        <v>2</v>
      </c>
      <c r="C428" s="12" t="s">
        <v>218</v>
      </c>
      <c r="D428" s="12" t="s">
        <v>384</v>
      </c>
      <c r="E428" s="89">
        <f t="shared" ca="1" si="46"/>
        <v>40951</v>
      </c>
      <c r="F428" s="11">
        <f>DATE(41,7,23)</f>
        <v>15180</v>
      </c>
      <c r="G428" s="12">
        <f t="shared" ca="1" si="42"/>
        <v>71</v>
      </c>
      <c r="H428" s="12">
        <f t="shared" ca="1" si="43"/>
        <v>-5</v>
      </c>
      <c r="I428" s="13">
        <f t="shared" ca="1" si="44"/>
        <v>-11</v>
      </c>
      <c r="J428" s="14">
        <f t="shared" ca="1" si="41"/>
        <v>70</v>
      </c>
      <c r="K428" s="12" t="s">
        <v>41</v>
      </c>
      <c r="L428" s="12">
        <v>36</v>
      </c>
      <c r="M428" s="12" t="s">
        <v>40</v>
      </c>
      <c r="N428" s="12">
        <v>98</v>
      </c>
    </row>
    <row r="429" spans="1:15">
      <c r="A429" s="12">
        <f t="shared" si="45"/>
        <v>428</v>
      </c>
      <c r="B429" s="12" t="s">
        <v>2</v>
      </c>
      <c r="C429" s="12" t="s">
        <v>114</v>
      </c>
      <c r="D429" s="12" t="s">
        <v>384</v>
      </c>
      <c r="E429" s="89">
        <f t="shared" ca="1" si="46"/>
        <v>40951</v>
      </c>
      <c r="F429" s="11">
        <f>DATE(61,9,7)</f>
        <v>22531</v>
      </c>
      <c r="G429" s="12">
        <f t="shared" ca="1" si="42"/>
        <v>51</v>
      </c>
      <c r="H429" s="12">
        <f t="shared" ca="1" si="43"/>
        <v>-7</v>
      </c>
      <c r="I429" s="13">
        <f t="shared" ca="1" si="44"/>
        <v>5</v>
      </c>
      <c r="J429" s="14">
        <f t="shared" ca="1" si="41"/>
        <v>50</v>
      </c>
      <c r="K429" s="12" t="s">
        <v>40</v>
      </c>
      <c r="L429" s="12">
        <v>36</v>
      </c>
      <c r="M429" s="12" t="s">
        <v>40</v>
      </c>
      <c r="N429" s="12">
        <v>98</v>
      </c>
    </row>
    <row r="430" spans="1:15">
      <c r="A430" s="12">
        <f t="shared" si="45"/>
        <v>429</v>
      </c>
      <c r="B430" s="12" t="s">
        <v>2</v>
      </c>
      <c r="C430" s="12" t="s">
        <v>175</v>
      </c>
      <c r="D430" s="12" t="s">
        <v>114</v>
      </c>
      <c r="E430" s="89">
        <f t="shared" ca="1" si="46"/>
        <v>40951</v>
      </c>
      <c r="F430" s="32"/>
      <c r="G430" s="12">
        <f t="shared" ca="1" si="42"/>
        <v>112</v>
      </c>
      <c r="H430" s="12">
        <f t="shared" ca="1" si="43"/>
        <v>1</v>
      </c>
      <c r="I430" s="13">
        <f t="shared" ca="1" si="44"/>
        <v>12</v>
      </c>
      <c r="J430" s="14">
        <f t="shared" ca="1" si="41"/>
        <v>112</v>
      </c>
      <c r="K430" s="12" t="s">
        <v>41</v>
      </c>
      <c r="L430" s="12">
        <v>36</v>
      </c>
      <c r="M430" s="12" t="s">
        <v>40</v>
      </c>
      <c r="N430" s="12">
        <v>98</v>
      </c>
    </row>
    <row r="431" spans="1:15">
      <c r="A431" s="12">
        <f t="shared" si="45"/>
        <v>430</v>
      </c>
      <c r="B431" s="12" t="s">
        <v>2</v>
      </c>
      <c r="C431" s="12" t="s">
        <v>385</v>
      </c>
      <c r="D431" s="12" t="s">
        <v>114</v>
      </c>
      <c r="E431" s="89">
        <f t="shared" ca="1" si="46"/>
        <v>40951</v>
      </c>
      <c r="F431" s="11">
        <f>DATE(87,10,5)</f>
        <v>32055</v>
      </c>
      <c r="G431" s="12">
        <f t="shared" ca="1" si="42"/>
        <v>25</v>
      </c>
      <c r="H431" s="12">
        <f t="shared" ca="1" si="43"/>
        <v>-8</v>
      </c>
      <c r="I431" s="13">
        <f t="shared" ca="1" si="44"/>
        <v>7</v>
      </c>
      <c r="J431" s="14">
        <f t="shared" ca="1" si="41"/>
        <v>24</v>
      </c>
      <c r="K431" s="12" t="s">
        <v>41</v>
      </c>
      <c r="L431" s="12">
        <v>36</v>
      </c>
      <c r="M431" s="12" t="s">
        <v>44</v>
      </c>
      <c r="N431" s="12">
        <v>98</v>
      </c>
    </row>
    <row r="432" spans="1:15">
      <c r="A432" s="12">
        <f t="shared" si="45"/>
        <v>431</v>
      </c>
      <c r="B432" s="12" t="s">
        <v>2</v>
      </c>
      <c r="C432" s="12" t="s">
        <v>386</v>
      </c>
      <c r="D432" s="12" t="s">
        <v>114</v>
      </c>
      <c r="E432" s="89">
        <f t="shared" ca="1" si="46"/>
        <v>40951</v>
      </c>
      <c r="F432" s="11">
        <f>DATE(91,7,5)</f>
        <v>33424</v>
      </c>
      <c r="G432" s="12">
        <f t="shared" ca="1" si="42"/>
        <v>21</v>
      </c>
      <c r="H432" s="12">
        <f t="shared" ca="1" si="43"/>
        <v>-5</v>
      </c>
      <c r="I432" s="13">
        <f t="shared" ca="1" si="44"/>
        <v>7</v>
      </c>
      <c r="J432" s="14">
        <f t="shared" ca="1" si="41"/>
        <v>20</v>
      </c>
      <c r="K432" s="12" t="s">
        <v>40</v>
      </c>
      <c r="L432" s="12">
        <v>36</v>
      </c>
      <c r="M432" s="12" t="s">
        <v>44</v>
      </c>
      <c r="N432" s="12">
        <v>98</v>
      </c>
    </row>
    <row r="433" spans="1:15">
      <c r="A433" s="12">
        <f t="shared" si="45"/>
        <v>432</v>
      </c>
      <c r="B433" s="12" t="s">
        <v>2</v>
      </c>
      <c r="C433" s="12" t="s">
        <v>387</v>
      </c>
      <c r="D433" s="12" t="s">
        <v>94</v>
      </c>
      <c r="E433" s="89">
        <f t="shared" ca="1" si="46"/>
        <v>40951</v>
      </c>
      <c r="F433" s="11">
        <f>DATE(56,6,4)</f>
        <v>20610</v>
      </c>
      <c r="G433" s="12">
        <f t="shared" ca="1" si="42"/>
        <v>56</v>
      </c>
      <c r="H433" s="12">
        <f t="shared" ca="1" si="43"/>
        <v>-4</v>
      </c>
      <c r="I433" s="13">
        <f t="shared" ca="1" si="44"/>
        <v>8</v>
      </c>
      <c r="J433" s="14">
        <f t="shared" ca="1" si="41"/>
        <v>55</v>
      </c>
      <c r="K433" s="12" t="s">
        <v>40</v>
      </c>
      <c r="L433" s="12">
        <v>36</v>
      </c>
      <c r="M433" s="12" t="s">
        <v>40</v>
      </c>
      <c r="N433" s="12">
        <v>99</v>
      </c>
      <c r="O433" s="90" t="s">
        <v>2748</v>
      </c>
    </row>
    <row r="434" spans="1:15">
      <c r="A434" s="12">
        <f t="shared" si="45"/>
        <v>433</v>
      </c>
      <c r="B434" s="12" t="s">
        <v>2</v>
      </c>
      <c r="C434" s="12" t="s">
        <v>388</v>
      </c>
      <c r="D434" s="12" t="s">
        <v>387</v>
      </c>
      <c r="E434" s="89">
        <f t="shared" ca="1" si="46"/>
        <v>40951</v>
      </c>
      <c r="F434" s="11">
        <f>DATE(56,4,20)</f>
        <v>20565</v>
      </c>
      <c r="G434" s="12">
        <f t="shared" ca="1" si="42"/>
        <v>56</v>
      </c>
      <c r="H434" s="12">
        <f t="shared" ca="1" si="43"/>
        <v>-2</v>
      </c>
      <c r="I434" s="13">
        <f t="shared" ca="1" si="44"/>
        <v>-8</v>
      </c>
      <c r="J434" s="14">
        <f t="shared" ca="1" si="41"/>
        <v>55</v>
      </c>
      <c r="K434" s="12" t="s">
        <v>41</v>
      </c>
      <c r="L434" s="12">
        <v>36</v>
      </c>
      <c r="M434" s="12" t="s">
        <v>40</v>
      </c>
      <c r="N434" s="12">
        <v>99</v>
      </c>
    </row>
    <row r="435" spans="1:15">
      <c r="A435" s="12">
        <f t="shared" si="45"/>
        <v>434</v>
      </c>
      <c r="B435" s="12" t="s">
        <v>2</v>
      </c>
      <c r="C435" s="12" t="s">
        <v>305</v>
      </c>
      <c r="D435" s="12" t="s">
        <v>387</v>
      </c>
      <c r="E435" s="89">
        <f t="shared" ca="1" si="46"/>
        <v>40951</v>
      </c>
      <c r="F435" s="11">
        <f>DATE(82,1,7)</f>
        <v>29958</v>
      </c>
      <c r="G435" s="12">
        <f t="shared" ca="1" si="42"/>
        <v>30</v>
      </c>
      <c r="H435" s="12">
        <f t="shared" ca="1" si="43"/>
        <v>1</v>
      </c>
      <c r="I435" s="13">
        <f t="shared" ca="1" si="44"/>
        <v>5</v>
      </c>
      <c r="J435" s="14">
        <f t="shared" ca="1" si="41"/>
        <v>30</v>
      </c>
      <c r="K435" s="12" t="s">
        <v>40</v>
      </c>
      <c r="L435" s="12">
        <v>36</v>
      </c>
      <c r="M435" s="12" t="s">
        <v>44</v>
      </c>
      <c r="N435" s="12">
        <v>99</v>
      </c>
    </row>
    <row r="436" spans="1:15">
      <c r="A436" s="12">
        <f t="shared" si="45"/>
        <v>435</v>
      </c>
      <c r="B436" s="12" t="s">
        <v>2</v>
      </c>
      <c r="C436" s="12" t="s">
        <v>389</v>
      </c>
      <c r="D436" s="12" t="s">
        <v>387</v>
      </c>
      <c r="E436" s="89">
        <f t="shared" ca="1" si="46"/>
        <v>40951</v>
      </c>
      <c r="F436" s="11">
        <f>DATE(86,6,4)</f>
        <v>31567</v>
      </c>
      <c r="G436" s="12">
        <f t="shared" ca="1" si="42"/>
        <v>26</v>
      </c>
      <c r="H436" s="12">
        <f t="shared" ca="1" si="43"/>
        <v>-4</v>
      </c>
      <c r="I436" s="13">
        <f t="shared" ca="1" si="44"/>
        <v>8</v>
      </c>
      <c r="J436" s="14">
        <f t="shared" ca="1" si="41"/>
        <v>25</v>
      </c>
      <c r="K436" s="12" t="s">
        <v>40</v>
      </c>
      <c r="L436" s="12">
        <v>36</v>
      </c>
      <c r="M436" s="12" t="s">
        <v>44</v>
      </c>
      <c r="N436" s="12">
        <v>99</v>
      </c>
    </row>
    <row r="437" spans="1:15">
      <c r="A437" s="12">
        <f t="shared" si="45"/>
        <v>436</v>
      </c>
      <c r="B437" s="12" t="s">
        <v>2</v>
      </c>
      <c r="C437" s="12" t="s">
        <v>234</v>
      </c>
      <c r="D437" s="12" t="s">
        <v>387</v>
      </c>
      <c r="E437" s="89">
        <f t="shared" ca="1" si="46"/>
        <v>40951</v>
      </c>
      <c r="F437" s="11">
        <f>DATE(88,8,11)</f>
        <v>32366</v>
      </c>
      <c r="G437" s="12">
        <f t="shared" ca="1" si="42"/>
        <v>24</v>
      </c>
      <c r="H437" s="12">
        <f t="shared" ca="1" si="43"/>
        <v>-6</v>
      </c>
      <c r="I437" s="13">
        <f t="shared" ca="1" si="44"/>
        <v>1</v>
      </c>
      <c r="J437" s="14">
        <f t="shared" ca="1" si="41"/>
        <v>23</v>
      </c>
      <c r="K437" s="12" t="s">
        <v>40</v>
      </c>
      <c r="L437" s="12">
        <v>36</v>
      </c>
      <c r="M437" s="12" t="s">
        <v>44</v>
      </c>
      <c r="N437" s="12">
        <v>99</v>
      </c>
    </row>
    <row r="438" spans="1:15">
      <c r="A438" s="12">
        <f t="shared" si="45"/>
        <v>437</v>
      </c>
      <c r="B438" s="12" t="s">
        <v>2</v>
      </c>
      <c r="C438" s="12" t="s">
        <v>93</v>
      </c>
      <c r="D438" s="12" t="s">
        <v>390</v>
      </c>
      <c r="E438" s="89">
        <f t="shared" ca="1" si="46"/>
        <v>40951</v>
      </c>
      <c r="F438" s="11">
        <f>DATE(60,3,21)</f>
        <v>21996</v>
      </c>
      <c r="G438" s="12">
        <f t="shared" ca="1" si="42"/>
        <v>52</v>
      </c>
      <c r="H438" s="12">
        <f t="shared" ca="1" si="43"/>
        <v>-1</v>
      </c>
      <c r="I438" s="13">
        <f t="shared" ca="1" si="44"/>
        <v>-9</v>
      </c>
      <c r="J438" s="14">
        <f t="shared" ca="1" si="41"/>
        <v>51</v>
      </c>
      <c r="K438" s="12" t="s">
        <v>40</v>
      </c>
      <c r="L438" s="12">
        <v>37</v>
      </c>
      <c r="M438" s="12" t="s">
        <v>40</v>
      </c>
      <c r="N438" s="12">
        <v>100</v>
      </c>
      <c r="O438" s="90" t="s">
        <v>2748</v>
      </c>
    </row>
    <row r="439" spans="1:15">
      <c r="A439" s="12">
        <f t="shared" si="45"/>
        <v>438</v>
      </c>
      <c r="B439" s="12" t="s">
        <v>2</v>
      </c>
      <c r="C439" s="12" t="s">
        <v>62</v>
      </c>
      <c r="D439" s="12" t="s">
        <v>93</v>
      </c>
      <c r="E439" s="89">
        <f t="shared" ca="1" si="46"/>
        <v>40951</v>
      </c>
      <c r="F439" s="11">
        <f>DATE(66,3,7)</f>
        <v>24173</v>
      </c>
      <c r="G439" s="12">
        <f t="shared" ca="1" si="42"/>
        <v>46</v>
      </c>
      <c r="H439" s="12">
        <f t="shared" ca="1" si="43"/>
        <v>-1</v>
      </c>
      <c r="I439" s="13">
        <f t="shared" ca="1" si="44"/>
        <v>5</v>
      </c>
      <c r="J439" s="14">
        <f t="shared" ca="1" si="41"/>
        <v>45</v>
      </c>
      <c r="K439" s="12" t="s">
        <v>41</v>
      </c>
      <c r="L439" s="12">
        <v>37</v>
      </c>
      <c r="M439" s="12" t="s">
        <v>40</v>
      </c>
      <c r="N439" s="12">
        <v>100</v>
      </c>
    </row>
    <row r="440" spans="1:15">
      <c r="A440" s="12">
        <f t="shared" si="45"/>
        <v>439</v>
      </c>
      <c r="B440" s="12" t="s">
        <v>2</v>
      </c>
      <c r="C440" s="12" t="s">
        <v>75</v>
      </c>
      <c r="D440" s="12" t="s">
        <v>93</v>
      </c>
      <c r="E440" s="89">
        <f t="shared" ca="1" si="46"/>
        <v>40951</v>
      </c>
      <c r="F440" s="11">
        <f>DATE(94,4,1)</f>
        <v>34425</v>
      </c>
      <c r="G440" s="12">
        <f t="shared" ca="1" si="42"/>
        <v>18</v>
      </c>
      <c r="H440" s="12">
        <f t="shared" ca="1" si="43"/>
        <v>-2</v>
      </c>
      <c r="I440" s="13">
        <f t="shared" ca="1" si="44"/>
        <v>11</v>
      </c>
      <c r="J440" s="14">
        <f t="shared" ca="1" si="41"/>
        <v>17</v>
      </c>
      <c r="K440" s="12" t="s">
        <v>41</v>
      </c>
      <c r="L440" s="12">
        <v>37</v>
      </c>
      <c r="M440" s="12" t="s">
        <v>44</v>
      </c>
      <c r="N440" s="12">
        <v>100</v>
      </c>
    </row>
    <row r="441" spans="1:15">
      <c r="A441" s="12">
        <f t="shared" si="45"/>
        <v>440</v>
      </c>
      <c r="B441" s="12" t="s">
        <v>2</v>
      </c>
      <c r="C441" s="12" t="s">
        <v>96</v>
      </c>
      <c r="D441" s="12" t="s">
        <v>391</v>
      </c>
      <c r="E441" s="89">
        <f t="shared" ca="1" si="46"/>
        <v>40951</v>
      </c>
      <c r="F441" s="11">
        <f>DATE(63,8,22)</f>
        <v>23245</v>
      </c>
      <c r="G441" s="12">
        <f t="shared" ca="1" si="42"/>
        <v>49</v>
      </c>
      <c r="H441" s="12">
        <f t="shared" ca="1" si="43"/>
        <v>-6</v>
      </c>
      <c r="I441" s="13">
        <f t="shared" ca="1" si="44"/>
        <v>-10</v>
      </c>
      <c r="J441" s="14">
        <f t="shared" ca="1" si="41"/>
        <v>48</v>
      </c>
      <c r="K441" s="12" t="s">
        <v>40</v>
      </c>
      <c r="L441" s="12">
        <v>37</v>
      </c>
      <c r="M441" s="12" t="s">
        <v>40</v>
      </c>
      <c r="N441" s="12">
        <v>101</v>
      </c>
      <c r="O441" s="90" t="s">
        <v>2748</v>
      </c>
    </row>
    <row r="442" spans="1:15">
      <c r="A442" s="12">
        <f t="shared" si="45"/>
        <v>441</v>
      </c>
      <c r="B442" s="12" t="s">
        <v>2</v>
      </c>
      <c r="C442" s="12" t="s">
        <v>95</v>
      </c>
      <c r="D442" s="12" t="s">
        <v>96</v>
      </c>
      <c r="E442" s="89">
        <f t="shared" ca="1" si="46"/>
        <v>40951</v>
      </c>
      <c r="F442" s="11">
        <f>DATE(70,8,9)</f>
        <v>25789</v>
      </c>
      <c r="G442" s="12">
        <f t="shared" ca="1" si="42"/>
        <v>42</v>
      </c>
      <c r="H442" s="12">
        <f t="shared" ca="1" si="43"/>
        <v>-6</v>
      </c>
      <c r="I442" s="13">
        <f t="shared" ca="1" si="44"/>
        <v>3</v>
      </c>
      <c r="J442" s="14">
        <f t="shared" ca="1" si="41"/>
        <v>41</v>
      </c>
      <c r="K442" s="12" t="s">
        <v>41</v>
      </c>
      <c r="L442" s="12">
        <v>37</v>
      </c>
      <c r="M442" s="12" t="s">
        <v>40</v>
      </c>
      <c r="N442" s="12">
        <v>101</v>
      </c>
    </row>
    <row r="443" spans="1:15">
      <c r="A443" s="12">
        <f t="shared" si="45"/>
        <v>442</v>
      </c>
      <c r="B443" s="12" t="s">
        <v>2</v>
      </c>
      <c r="C443" s="12" t="s">
        <v>392</v>
      </c>
      <c r="D443" s="12" t="s">
        <v>96</v>
      </c>
      <c r="E443" s="89">
        <f t="shared" ca="1" si="46"/>
        <v>40951</v>
      </c>
      <c r="F443" s="11">
        <f>DATE(89,11,14)</f>
        <v>32826</v>
      </c>
      <c r="G443" s="12">
        <f t="shared" ca="1" si="42"/>
        <v>23</v>
      </c>
      <c r="H443" s="12">
        <f t="shared" ca="1" si="43"/>
        <v>-9</v>
      </c>
      <c r="I443" s="13">
        <f t="shared" ca="1" si="44"/>
        <v>-2</v>
      </c>
      <c r="J443" s="14">
        <f t="shared" ca="1" si="41"/>
        <v>22</v>
      </c>
      <c r="K443" s="12" t="s">
        <v>40</v>
      </c>
      <c r="L443" s="12">
        <v>37</v>
      </c>
      <c r="M443" s="12" t="s">
        <v>44</v>
      </c>
      <c r="N443" s="12">
        <v>101</v>
      </c>
    </row>
    <row r="444" spans="1:15">
      <c r="A444" s="12">
        <f t="shared" si="45"/>
        <v>443</v>
      </c>
      <c r="B444" s="12" t="s">
        <v>2</v>
      </c>
      <c r="C444" s="12" t="s">
        <v>234</v>
      </c>
      <c r="D444" s="12" t="s">
        <v>96</v>
      </c>
      <c r="E444" s="89">
        <f t="shared" ca="1" si="46"/>
        <v>40951</v>
      </c>
      <c r="F444" s="11">
        <f>DATE(92,8,7)</f>
        <v>33823</v>
      </c>
      <c r="G444" s="12">
        <f t="shared" ca="1" si="42"/>
        <v>20</v>
      </c>
      <c r="H444" s="12">
        <f t="shared" ca="1" si="43"/>
        <v>-6</v>
      </c>
      <c r="I444" s="13">
        <f t="shared" ca="1" si="44"/>
        <v>5</v>
      </c>
      <c r="J444" s="14">
        <f t="shared" ca="1" si="41"/>
        <v>19</v>
      </c>
      <c r="K444" s="12" t="s">
        <v>40</v>
      </c>
      <c r="L444" s="12">
        <v>37</v>
      </c>
      <c r="M444" s="12" t="s">
        <v>44</v>
      </c>
      <c r="N444" s="12">
        <v>101</v>
      </c>
    </row>
    <row r="445" spans="1:15">
      <c r="A445" s="12">
        <f t="shared" si="45"/>
        <v>444</v>
      </c>
      <c r="B445" s="12" t="s">
        <v>2</v>
      </c>
      <c r="C445" s="12" t="s">
        <v>393</v>
      </c>
      <c r="D445" s="12" t="s">
        <v>96</v>
      </c>
      <c r="E445" s="89">
        <f t="shared" ca="1" si="46"/>
        <v>40951</v>
      </c>
      <c r="F445" s="11">
        <f>DATE(98,11,4)</f>
        <v>36103</v>
      </c>
      <c r="G445" s="12">
        <f t="shared" ca="1" si="42"/>
        <v>14</v>
      </c>
      <c r="H445" s="12">
        <f t="shared" ca="1" si="43"/>
        <v>-9</v>
      </c>
      <c r="I445" s="13">
        <f t="shared" ca="1" si="44"/>
        <v>8</v>
      </c>
      <c r="J445" s="14">
        <f t="shared" ca="1" si="41"/>
        <v>13</v>
      </c>
      <c r="K445" s="12" t="s">
        <v>41</v>
      </c>
      <c r="L445" s="12">
        <v>37</v>
      </c>
      <c r="M445" s="12" t="s">
        <v>44</v>
      </c>
      <c r="N445" s="12">
        <v>101</v>
      </c>
    </row>
    <row r="446" spans="1:15">
      <c r="A446" s="12">
        <f t="shared" si="45"/>
        <v>445</v>
      </c>
      <c r="B446" s="12" t="s">
        <v>2</v>
      </c>
      <c r="C446" s="12" t="s">
        <v>109</v>
      </c>
      <c r="D446" s="12" t="s">
        <v>394</v>
      </c>
      <c r="E446" s="89">
        <f t="shared" ca="1" si="46"/>
        <v>40951</v>
      </c>
      <c r="F446" s="11">
        <f>DATE(49,3,5)</f>
        <v>17962</v>
      </c>
      <c r="G446" s="12">
        <f t="shared" ca="1" si="42"/>
        <v>63</v>
      </c>
      <c r="H446" s="12">
        <f t="shared" ca="1" si="43"/>
        <v>-1</v>
      </c>
      <c r="I446" s="13">
        <f t="shared" ca="1" si="44"/>
        <v>7</v>
      </c>
      <c r="J446" s="14">
        <f t="shared" ca="1" si="41"/>
        <v>62</v>
      </c>
      <c r="K446" s="12" t="s">
        <v>40</v>
      </c>
      <c r="L446" s="12">
        <v>37</v>
      </c>
      <c r="M446" s="12" t="s">
        <v>40</v>
      </c>
      <c r="N446" s="12">
        <v>102</v>
      </c>
      <c r="O446" s="90" t="s">
        <v>2748</v>
      </c>
    </row>
    <row r="447" spans="1:15">
      <c r="A447" s="12">
        <f t="shared" si="45"/>
        <v>446</v>
      </c>
      <c r="B447" s="12" t="s">
        <v>2</v>
      </c>
      <c r="C447" s="12" t="s">
        <v>395</v>
      </c>
      <c r="D447" s="12" t="s">
        <v>109</v>
      </c>
      <c r="E447" s="89">
        <f t="shared" ca="1" si="46"/>
        <v>40951</v>
      </c>
      <c r="F447" s="11">
        <f>DATE(52,3,12)</f>
        <v>19065</v>
      </c>
      <c r="G447" s="12">
        <f t="shared" ca="1" si="42"/>
        <v>60</v>
      </c>
      <c r="H447" s="12">
        <f t="shared" ca="1" si="43"/>
        <v>-1</v>
      </c>
      <c r="I447" s="13">
        <f t="shared" ca="1" si="44"/>
        <v>0</v>
      </c>
      <c r="J447" s="14">
        <f t="shared" ca="1" si="41"/>
        <v>59</v>
      </c>
      <c r="K447" s="12" t="s">
        <v>41</v>
      </c>
      <c r="L447" s="12">
        <v>37</v>
      </c>
      <c r="M447" s="12" t="s">
        <v>40</v>
      </c>
      <c r="N447" s="12">
        <v>102</v>
      </c>
    </row>
    <row r="448" spans="1:15">
      <c r="A448" s="12">
        <f t="shared" si="45"/>
        <v>447</v>
      </c>
      <c r="B448" s="12" t="s">
        <v>2</v>
      </c>
      <c r="C448" s="12" t="s">
        <v>396</v>
      </c>
      <c r="D448" s="12" t="s">
        <v>109</v>
      </c>
      <c r="E448" s="89">
        <f t="shared" ca="1" si="46"/>
        <v>40951</v>
      </c>
      <c r="F448" s="11">
        <f>DATE(73,4,1)</f>
        <v>26755</v>
      </c>
      <c r="G448" s="12">
        <f t="shared" ca="1" si="42"/>
        <v>39</v>
      </c>
      <c r="H448" s="12">
        <f t="shared" ca="1" si="43"/>
        <v>-2</v>
      </c>
      <c r="I448" s="13">
        <f t="shared" ca="1" si="44"/>
        <v>11</v>
      </c>
      <c r="J448" s="14">
        <f t="shared" ca="1" si="41"/>
        <v>38</v>
      </c>
      <c r="K448" s="12" t="s">
        <v>40</v>
      </c>
      <c r="L448" s="12">
        <v>37</v>
      </c>
      <c r="M448" s="12" t="s">
        <v>40</v>
      </c>
      <c r="N448" s="12">
        <v>102</v>
      </c>
    </row>
    <row r="449" spans="1:15">
      <c r="A449" s="12">
        <f t="shared" si="45"/>
        <v>448</v>
      </c>
      <c r="B449" s="12" t="s">
        <v>2</v>
      </c>
      <c r="C449" s="12" t="s">
        <v>397</v>
      </c>
      <c r="D449" s="12" t="s">
        <v>396</v>
      </c>
      <c r="E449" s="89">
        <f t="shared" ca="1" si="46"/>
        <v>40951</v>
      </c>
      <c r="F449" s="11">
        <f>DATE(78,11,15)</f>
        <v>28809</v>
      </c>
      <c r="G449" s="12">
        <f t="shared" ca="1" si="42"/>
        <v>34</v>
      </c>
      <c r="H449" s="12">
        <f t="shared" ca="1" si="43"/>
        <v>-9</v>
      </c>
      <c r="I449" s="13">
        <f t="shared" ca="1" si="44"/>
        <v>-3</v>
      </c>
      <c r="J449" s="14">
        <f t="shared" ca="1" si="41"/>
        <v>33</v>
      </c>
      <c r="K449" s="12" t="s">
        <v>41</v>
      </c>
      <c r="L449" s="12">
        <v>37</v>
      </c>
      <c r="M449" s="12" t="s">
        <v>40</v>
      </c>
      <c r="N449" s="12">
        <v>102</v>
      </c>
    </row>
    <row r="450" spans="1:15">
      <c r="A450" s="12">
        <f t="shared" si="45"/>
        <v>449</v>
      </c>
      <c r="B450" s="12" t="s">
        <v>2</v>
      </c>
      <c r="C450" s="12" t="s">
        <v>398</v>
      </c>
      <c r="D450" s="12" t="s">
        <v>396</v>
      </c>
      <c r="E450" s="89">
        <f t="shared" ca="1" si="46"/>
        <v>40951</v>
      </c>
      <c r="F450" s="11">
        <f>DATE(2002,12,9)</f>
        <v>37599</v>
      </c>
      <c r="G450" s="12">
        <f t="shared" ca="1" si="42"/>
        <v>10</v>
      </c>
      <c r="H450" s="12">
        <f t="shared" ca="1" si="43"/>
        <v>-10</v>
      </c>
      <c r="I450" s="13">
        <f t="shared" ca="1" si="44"/>
        <v>3</v>
      </c>
      <c r="J450" s="14">
        <f t="shared" ca="1" si="41"/>
        <v>9</v>
      </c>
      <c r="K450" s="12" t="s">
        <v>40</v>
      </c>
      <c r="L450" s="12">
        <v>37</v>
      </c>
      <c r="M450" s="12" t="s">
        <v>44</v>
      </c>
      <c r="N450" s="12">
        <v>102</v>
      </c>
    </row>
    <row r="451" spans="1:15">
      <c r="A451" s="12">
        <f t="shared" si="45"/>
        <v>450</v>
      </c>
      <c r="B451" s="12" t="s">
        <v>2</v>
      </c>
      <c r="C451" s="12" t="s">
        <v>123</v>
      </c>
      <c r="D451" s="12" t="s">
        <v>358</v>
      </c>
      <c r="E451" s="89">
        <f t="shared" ca="1" si="46"/>
        <v>40951</v>
      </c>
      <c r="F451" s="11">
        <f>DATE(65,6,17)</f>
        <v>23910</v>
      </c>
      <c r="G451" s="12">
        <f t="shared" ca="1" si="42"/>
        <v>47</v>
      </c>
      <c r="H451" s="12">
        <f t="shared" ca="1" si="43"/>
        <v>-4</v>
      </c>
      <c r="I451" s="13">
        <f t="shared" ca="1" si="44"/>
        <v>-5</v>
      </c>
      <c r="J451" s="14">
        <f t="shared" ref="J451:J514" ca="1" si="47">IF(H451&lt;0,G451-1,IF(H451&gt;0,G451,IF(I451&lt;0,G451-1,G451)))</f>
        <v>46</v>
      </c>
      <c r="K451" s="12" t="s">
        <v>40</v>
      </c>
      <c r="L451" s="12">
        <v>38</v>
      </c>
      <c r="M451" s="12" t="s">
        <v>40</v>
      </c>
      <c r="N451" s="12">
        <v>103</v>
      </c>
      <c r="O451" s="90" t="s">
        <v>2748</v>
      </c>
    </row>
    <row r="452" spans="1:15">
      <c r="A452" s="12">
        <f t="shared" si="45"/>
        <v>451</v>
      </c>
      <c r="B452" s="12" t="s">
        <v>2</v>
      </c>
      <c r="C452" s="12" t="s">
        <v>218</v>
      </c>
      <c r="D452" s="12" t="s">
        <v>123</v>
      </c>
      <c r="E452" s="89">
        <f t="shared" ca="1" si="46"/>
        <v>40951</v>
      </c>
      <c r="F452" s="11">
        <f>DATE(65,12,3)</f>
        <v>24079</v>
      </c>
      <c r="G452" s="12">
        <f t="shared" ca="1" si="42"/>
        <v>47</v>
      </c>
      <c r="H452" s="12">
        <f t="shared" ca="1" si="43"/>
        <v>-10</v>
      </c>
      <c r="I452" s="13">
        <f t="shared" ca="1" si="44"/>
        <v>9</v>
      </c>
      <c r="J452" s="14">
        <f t="shared" ca="1" si="47"/>
        <v>46</v>
      </c>
      <c r="K452" s="12" t="s">
        <v>41</v>
      </c>
      <c r="L452" s="12">
        <v>38</v>
      </c>
      <c r="M452" s="12" t="s">
        <v>40</v>
      </c>
      <c r="N452" s="12">
        <v>103</v>
      </c>
    </row>
    <row r="453" spans="1:15">
      <c r="A453" s="12">
        <f t="shared" si="45"/>
        <v>452</v>
      </c>
      <c r="B453" s="12" t="s">
        <v>2</v>
      </c>
      <c r="C453" s="12" t="s">
        <v>313</v>
      </c>
      <c r="D453" s="12" t="s">
        <v>123</v>
      </c>
      <c r="E453" s="89">
        <f t="shared" ca="1" si="46"/>
        <v>40951</v>
      </c>
      <c r="F453" s="11">
        <f>DATE(87,10,19)</f>
        <v>32069</v>
      </c>
      <c r="G453" s="12">
        <f t="shared" ca="1" si="42"/>
        <v>25</v>
      </c>
      <c r="H453" s="12">
        <f t="shared" ca="1" si="43"/>
        <v>-8</v>
      </c>
      <c r="I453" s="13">
        <f t="shared" ca="1" si="44"/>
        <v>-7</v>
      </c>
      <c r="J453" s="14">
        <f t="shared" ca="1" si="47"/>
        <v>24</v>
      </c>
      <c r="K453" s="12" t="s">
        <v>41</v>
      </c>
      <c r="L453" s="12">
        <v>38</v>
      </c>
      <c r="M453" s="12" t="s">
        <v>44</v>
      </c>
      <c r="N453" s="12">
        <v>103</v>
      </c>
    </row>
    <row r="454" spans="1:15">
      <c r="A454" s="12">
        <f t="shared" si="45"/>
        <v>453</v>
      </c>
      <c r="B454" s="12" t="s">
        <v>2</v>
      </c>
      <c r="C454" s="12" t="s">
        <v>183</v>
      </c>
      <c r="D454" s="12" t="s">
        <v>123</v>
      </c>
      <c r="E454" s="89">
        <f t="shared" ca="1" si="46"/>
        <v>40951</v>
      </c>
      <c r="F454" s="11">
        <f>DATE(92,10,10)</f>
        <v>33887</v>
      </c>
      <c r="G454" s="12">
        <f t="shared" ca="1" si="42"/>
        <v>20</v>
      </c>
      <c r="H454" s="12">
        <f t="shared" ca="1" si="43"/>
        <v>-8</v>
      </c>
      <c r="I454" s="13">
        <f t="shared" ca="1" si="44"/>
        <v>2</v>
      </c>
      <c r="J454" s="14">
        <f t="shared" ca="1" si="47"/>
        <v>19</v>
      </c>
      <c r="K454" s="12" t="s">
        <v>40</v>
      </c>
      <c r="L454" s="12">
        <v>38</v>
      </c>
      <c r="M454" s="12" t="s">
        <v>44</v>
      </c>
      <c r="N454" s="12">
        <v>103</v>
      </c>
    </row>
    <row r="455" spans="1:15">
      <c r="A455" s="12">
        <f t="shared" si="45"/>
        <v>454</v>
      </c>
      <c r="B455" s="12" t="s">
        <v>2</v>
      </c>
      <c r="C455" s="12" t="s">
        <v>399</v>
      </c>
      <c r="D455" s="12" t="s">
        <v>372</v>
      </c>
      <c r="E455" s="89">
        <f t="shared" ca="1" si="46"/>
        <v>40951</v>
      </c>
      <c r="F455" s="11">
        <f>DATE(41,9,14)</f>
        <v>15233</v>
      </c>
      <c r="G455" s="12">
        <f t="shared" ca="1" si="42"/>
        <v>71</v>
      </c>
      <c r="H455" s="12">
        <f t="shared" ca="1" si="43"/>
        <v>-7</v>
      </c>
      <c r="I455" s="13">
        <f t="shared" ca="1" si="44"/>
        <v>-2</v>
      </c>
      <c r="J455" s="14">
        <f t="shared" ca="1" si="47"/>
        <v>70</v>
      </c>
      <c r="K455" s="12" t="s">
        <v>40</v>
      </c>
      <c r="L455" s="12">
        <v>38</v>
      </c>
      <c r="M455" s="12" t="s">
        <v>40</v>
      </c>
      <c r="N455" s="12">
        <v>104</v>
      </c>
      <c r="O455" s="90" t="s">
        <v>2748</v>
      </c>
    </row>
    <row r="456" spans="1:15">
      <c r="A456" s="12">
        <f t="shared" si="45"/>
        <v>455</v>
      </c>
      <c r="B456" s="12" t="s">
        <v>2</v>
      </c>
      <c r="C456" s="12" t="s">
        <v>400</v>
      </c>
      <c r="D456" s="12" t="s">
        <v>399</v>
      </c>
      <c r="E456" s="89">
        <f t="shared" ca="1" si="46"/>
        <v>40951</v>
      </c>
      <c r="F456" s="11">
        <f>DATE(44,11,15)</f>
        <v>16391</v>
      </c>
      <c r="G456" s="12">
        <f t="shared" ca="1" si="42"/>
        <v>68</v>
      </c>
      <c r="H456" s="12">
        <f t="shared" ca="1" si="43"/>
        <v>-9</v>
      </c>
      <c r="I456" s="13">
        <f t="shared" ca="1" si="44"/>
        <v>-3</v>
      </c>
      <c r="J456" s="14">
        <f t="shared" ca="1" si="47"/>
        <v>67</v>
      </c>
      <c r="K456" s="12" t="s">
        <v>41</v>
      </c>
      <c r="L456" s="12">
        <v>38</v>
      </c>
      <c r="M456" s="12" t="s">
        <v>40</v>
      </c>
      <c r="N456" s="12">
        <v>104</v>
      </c>
    </row>
    <row r="457" spans="1:15">
      <c r="A457" s="12">
        <f t="shared" si="45"/>
        <v>456</v>
      </c>
      <c r="B457" s="12" t="s">
        <v>2</v>
      </c>
      <c r="C457" s="12" t="s">
        <v>401</v>
      </c>
      <c r="D457" s="12" t="s">
        <v>399</v>
      </c>
      <c r="E457" s="89">
        <f t="shared" ca="1" si="46"/>
        <v>40951</v>
      </c>
      <c r="F457" s="11">
        <f>DATE(69,6,12)</f>
        <v>25366</v>
      </c>
      <c r="G457" s="12">
        <f t="shared" ca="1" si="42"/>
        <v>43</v>
      </c>
      <c r="H457" s="12">
        <f t="shared" ca="1" si="43"/>
        <v>-4</v>
      </c>
      <c r="I457" s="13">
        <f t="shared" ca="1" si="44"/>
        <v>0</v>
      </c>
      <c r="J457" s="14">
        <f t="shared" ca="1" si="47"/>
        <v>42</v>
      </c>
      <c r="K457" s="12" t="s">
        <v>40</v>
      </c>
      <c r="L457" s="12">
        <v>38</v>
      </c>
      <c r="M457" s="12" t="s">
        <v>40</v>
      </c>
      <c r="N457" s="12">
        <v>104</v>
      </c>
    </row>
    <row r="458" spans="1:15">
      <c r="A458" s="12">
        <f t="shared" si="45"/>
        <v>457</v>
      </c>
      <c r="B458" s="12" t="s">
        <v>2</v>
      </c>
      <c r="C458" s="12" t="s">
        <v>402</v>
      </c>
      <c r="D458" s="12" t="s">
        <v>401</v>
      </c>
      <c r="E458" s="89">
        <f t="shared" ca="1" si="46"/>
        <v>40951</v>
      </c>
      <c r="F458" s="11">
        <f>DATE(74,3,20)</f>
        <v>27108</v>
      </c>
      <c r="G458" s="12">
        <f t="shared" ca="1" si="42"/>
        <v>38</v>
      </c>
      <c r="H458" s="12">
        <f t="shared" ca="1" si="43"/>
        <v>-1</v>
      </c>
      <c r="I458" s="13">
        <f t="shared" ca="1" si="44"/>
        <v>-8</v>
      </c>
      <c r="J458" s="14">
        <f t="shared" ca="1" si="47"/>
        <v>37</v>
      </c>
      <c r="K458" s="12" t="s">
        <v>41</v>
      </c>
      <c r="L458" s="12">
        <v>38</v>
      </c>
      <c r="M458" s="12" t="s">
        <v>40</v>
      </c>
      <c r="N458" s="12">
        <v>104</v>
      </c>
    </row>
    <row r="459" spans="1:15">
      <c r="A459" s="12">
        <f t="shared" si="45"/>
        <v>458</v>
      </c>
      <c r="B459" s="12" t="s">
        <v>2</v>
      </c>
      <c r="C459" s="12" t="s">
        <v>403</v>
      </c>
      <c r="D459" s="12" t="s">
        <v>401</v>
      </c>
      <c r="E459" s="89">
        <f t="shared" ca="1" si="46"/>
        <v>40951</v>
      </c>
      <c r="F459" s="11">
        <f>DATE(98,1,21)</f>
        <v>35816</v>
      </c>
      <c r="G459" s="12">
        <f t="shared" ca="1" si="42"/>
        <v>14</v>
      </c>
      <c r="H459" s="12">
        <f t="shared" ca="1" si="43"/>
        <v>1</v>
      </c>
      <c r="I459" s="13">
        <f t="shared" ca="1" si="44"/>
        <v>-9</v>
      </c>
      <c r="J459" s="14">
        <f t="shared" ca="1" si="47"/>
        <v>14</v>
      </c>
      <c r="K459" s="12" t="s">
        <v>41</v>
      </c>
      <c r="L459" s="12">
        <v>38</v>
      </c>
      <c r="M459" s="12" t="s">
        <v>44</v>
      </c>
      <c r="N459" s="12">
        <v>104</v>
      </c>
    </row>
    <row r="460" spans="1:15">
      <c r="A460" s="12">
        <f t="shared" si="45"/>
        <v>459</v>
      </c>
      <c r="B460" s="12" t="s">
        <v>2</v>
      </c>
      <c r="C460" s="12" t="s">
        <v>404</v>
      </c>
      <c r="D460" s="12" t="s">
        <v>401</v>
      </c>
      <c r="E460" s="89">
        <f t="shared" ca="1" si="46"/>
        <v>40951</v>
      </c>
      <c r="F460" s="11">
        <f>DATE(2000,6,21)</f>
        <v>36698</v>
      </c>
      <c r="G460" s="12">
        <f t="shared" ca="1" si="42"/>
        <v>12</v>
      </c>
      <c r="H460" s="12">
        <f t="shared" ca="1" si="43"/>
        <v>-4</v>
      </c>
      <c r="I460" s="13">
        <f t="shared" ca="1" si="44"/>
        <v>-9</v>
      </c>
      <c r="J460" s="14">
        <f t="shared" ca="1" si="47"/>
        <v>11</v>
      </c>
      <c r="K460" s="12" t="s">
        <v>41</v>
      </c>
      <c r="L460" s="12">
        <v>38</v>
      </c>
      <c r="M460" s="12" t="s">
        <v>44</v>
      </c>
      <c r="N460" s="12">
        <v>104</v>
      </c>
    </row>
    <row r="461" spans="1:15">
      <c r="A461" s="12">
        <f t="shared" si="45"/>
        <v>460</v>
      </c>
      <c r="B461" s="12" t="s">
        <v>2</v>
      </c>
      <c r="C461" s="12" t="s">
        <v>405</v>
      </c>
      <c r="D461" s="12" t="s">
        <v>399</v>
      </c>
      <c r="E461" s="89">
        <f t="shared" ca="1" si="46"/>
        <v>40951</v>
      </c>
      <c r="F461" s="11">
        <f>DATE(77,3,16)</f>
        <v>28200</v>
      </c>
      <c r="G461" s="12">
        <f t="shared" ca="1" si="42"/>
        <v>35</v>
      </c>
      <c r="H461" s="12">
        <f t="shared" ca="1" si="43"/>
        <v>-1</v>
      </c>
      <c r="I461" s="13">
        <f t="shared" ca="1" si="44"/>
        <v>-4</v>
      </c>
      <c r="J461" s="14">
        <f t="shared" ca="1" si="47"/>
        <v>34</v>
      </c>
      <c r="K461" s="12" t="s">
        <v>40</v>
      </c>
      <c r="L461" s="12">
        <v>38</v>
      </c>
      <c r="M461" s="12" t="s">
        <v>44</v>
      </c>
      <c r="N461" s="12">
        <v>104</v>
      </c>
    </row>
    <row r="462" spans="1:15">
      <c r="A462" s="12">
        <f t="shared" si="45"/>
        <v>461</v>
      </c>
      <c r="B462" s="12" t="s">
        <v>2</v>
      </c>
      <c r="C462" s="12" t="s">
        <v>406</v>
      </c>
      <c r="D462" s="12" t="s">
        <v>405</v>
      </c>
      <c r="E462" s="89">
        <f t="shared" ca="1" si="46"/>
        <v>40951</v>
      </c>
      <c r="F462" s="11">
        <f>DATE(83,1,3)</f>
        <v>30319</v>
      </c>
      <c r="G462" s="12">
        <f t="shared" ca="1" si="42"/>
        <v>29</v>
      </c>
      <c r="H462" s="12">
        <f t="shared" ca="1" si="43"/>
        <v>1</v>
      </c>
      <c r="I462" s="13">
        <f t="shared" ca="1" si="44"/>
        <v>9</v>
      </c>
      <c r="J462" s="14">
        <f t="shared" ca="1" si="47"/>
        <v>29</v>
      </c>
      <c r="K462" s="12" t="s">
        <v>41</v>
      </c>
      <c r="L462" s="12">
        <v>38</v>
      </c>
      <c r="M462" s="12" t="s">
        <v>44</v>
      </c>
      <c r="N462" s="12">
        <v>104</v>
      </c>
    </row>
    <row r="463" spans="1:15">
      <c r="A463" s="12">
        <f t="shared" si="45"/>
        <v>462</v>
      </c>
      <c r="B463" s="12" t="s">
        <v>2</v>
      </c>
      <c r="C463" s="12" t="s">
        <v>407</v>
      </c>
      <c r="D463" s="12" t="s">
        <v>408</v>
      </c>
      <c r="E463" s="89">
        <f t="shared" ca="1" si="46"/>
        <v>40951</v>
      </c>
      <c r="F463" s="11">
        <f>DATE(49,3,3)</f>
        <v>17960</v>
      </c>
      <c r="G463" s="12">
        <f t="shared" ca="1" si="42"/>
        <v>63</v>
      </c>
      <c r="H463" s="12">
        <f t="shared" ca="1" si="43"/>
        <v>-1</v>
      </c>
      <c r="I463" s="13">
        <f t="shared" ca="1" si="44"/>
        <v>9</v>
      </c>
      <c r="J463" s="14">
        <f t="shared" ca="1" si="47"/>
        <v>62</v>
      </c>
      <c r="K463" s="12" t="s">
        <v>41</v>
      </c>
      <c r="L463" s="12">
        <v>39</v>
      </c>
      <c r="M463" s="12" t="s">
        <v>40</v>
      </c>
      <c r="N463" s="12">
        <v>105</v>
      </c>
      <c r="O463" s="90" t="s">
        <v>2748</v>
      </c>
    </row>
    <row r="464" spans="1:15">
      <c r="A464" s="12">
        <f t="shared" si="45"/>
        <v>463</v>
      </c>
      <c r="B464" s="12" t="s">
        <v>2</v>
      </c>
      <c r="C464" s="12" t="s">
        <v>305</v>
      </c>
      <c r="D464" s="12" t="s">
        <v>408</v>
      </c>
      <c r="E464" s="89">
        <f t="shared" ca="1" si="46"/>
        <v>40951</v>
      </c>
      <c r="F464" s="11">
        <f>DATE(70,8,16)</f>
        <v>25796</v>
      </c>
      <c r="G464" s="12">
        <f t="shared" ca="1" si="42"/>
        <v>42</v>
      </c>
      <c r="H464" s="12">
        <f t="shared" ca="1" si="43"/>
        <v>-6</v>
      </c>
      <c r="I464" s="13">
        <f t="shared" ca="1" si="44"/>
        <v>-4</v>
      </c>
      <c r="J464" s="14">
        <f t="shared" ca="1" si="47"/>
        <v>41</v>
      </c>
      <c r="K464" s="12" t="s">
        <v>40</v>
      </c>
      <c r="L464" s="12">
        <v>39</v>
      </c>
      <c r="M464" s="12" t="s">
        <v>40</v>
      </c>
      <c r="N464" s="12">
        <v>105</v>
      </c>
    </row>
    <row r="465" spans="1:15">
      <c r="A465" s="12">
        <f t="shared" si="45"/>
        <v>464</v>
      </c>
      <c r="B465" s="12" t="s">
        <v>2</v>
      </c>
      <c r="C465" s="12" t="s">
        <v>122</v>
      </c>
      <c r="D465" s="12" t="s">
        <v>305</v>
      </c>
      <c r="E465" s="89">
        <f t="shared" ca="1" si="46"/>
        <v>40951</v>
      </c>
      <c r="F465" s="11">
        <f>DATE(75,7,15)</f>
        <v>27590</v>
      </c>
      <c r="G465" s="12">
        <f t="shared" ca="1" si="42"/>
        <v>37</v>
      </c>
      <c r="H465" s="12">
        <f t="shared" ca="1" si="43"/>
        <v>-5</v>
      </c>
      <c r="I465" s="13">
        <f t="shared" ca="1" si="44"/>
        <v>-3</v>
      </c>
      <c r="J465" s="14">
        <f t="shared" ca="1" si="47"/>
        <v>36</v>
      </c>
      <c r="K465" s="12" t="s">
        <v>41</v>
      </c>
      <c r="L465" s="12">
        <v>39</v>
      </c>
      <c r="M465" s="12" t="s">
        <v>40</v>
      </c>
      <c r="N465" s="12">
        <v>105</v>
      </c>
    </row>
    <row r="466" spans="1:15">
      <c r="A466" s="12">
        <f t="shared" si="45"/>
        <v>465</v>
      </c>
      <c r="B466" s="12" t="s">
        <v>2</v>
      </c>
      <c r="C466" s="12" t="s">
        <v>203</v>
      </c>
      <c r="D466" s="12" t="s">
        <v>305</v>
      </c>
      <c r="E466" s="89">
        <f t="shared" ca="1" si="46"/>
        <v>40951</v>
      </c>
      <c r="F466" s="11">
        <f>DATE(98,2,14)</f>
        <v>35840</v>
      </c>
      <c r="G466" s="12">
        <f t="shared" ca="1" si="42"/>
        <v>14</v>
      </c>
      <c r="H466" s="12">
        <f t="shared" ca="1" si="43"/>
        <v>0</v>
      </c>
      <c r="I466" s="13">
        <f t="shared" ca="1" si="44"/>
        <v>-2</v>
      </c>
      <c r="J466" s="14">
        <f t="shared" ca="1" si="47"/>
        <v>13</v>
      </c>
      <c r="K466" s="12" t="s">
        <v>40</v>
      </c>
      <c r="L466" s="12">
        <v>39</v>
      </c>
      <c r="M466" s="12" t="s">
        <v>44</v>
      </c>
      <c r="N466" s="12">
        <v>105</v>
      </c>
    </row>
    <row r="467" spans="1:15">
      <c r="A467" s="12">
        <f t="shared" si="45"/>
        <v>466</v>
      </c>
      <c r="B467" s="12" t="s">
        <v>2</v>
      </c>
      <c r="C467" s="12" t="s">
        <v>117</v>
      </c>
      <c r="D467" s="12" t="s">
        <v>305</v>
      </c>
      <c r="E467" s="89">
        <f t="shared" ca="1" si="46"/>
        <v>40951</v>
      </c>
      <c r="F467" s="11">
        <f>DATE(4,8,20)</f>
        <v>1694</v>
      </c>
      <c r="G467" s="12">
        <f t="shared" ca="1" si="42"/>
        <v>108</v>
      </c>
      <c r="H467" s="12">
        <f t="shared" ca="1" si="43"/>
        <v>-6</v>
      </c>
      <c r="I467" s="13">
        <f t="shared" ca="1" si="44"/>
        <v>-8</v>
      </c>
      <c r="J467" s="14">
        <f t="shared" ca="1" si="47"/>
        <v>107</v>
      </c>
      <c r="K467" s="12" t="s">
        <v>41</v>
      </c>
      <c r="L467" s="12">
        <v>39</v>
      </c>
      <c r="M467" s="12" t="s">
        <v>44</v>
      </c>
      <c r="N467" s="12">
        <v>105</v>
      </c>
    </row>
    <row r="468" spans="1:15">
      <c r="A468" s="12">
        <f t="shared" si="45"/>
        <v>467</v>
      </c>
      <c r="B468" s="12" t="s">
        <v>2</v>
      </c>
      <c r="C468" s="12" t="s">
        <v>234</v>
      </c>
      <c r="D468" s="12" t="s">
        <v>408</v>
      </c>
      <c r="E468" s="89">
        <f t="shared" ca="1" si="46"/>
        <v>40951</v>
      </c>
      <c r="F468" s="11">
        <f>DATE(76,5,27)</f>
        <v>27907</v>
      </c>
      <c r="G468" s="12">
        <f t="shared" ca="1" si="42"/>
        <v>36</v>
      </c>
      <c r="H468" s="12">
        <f t="shared" ca="1" si="43"/>
        <v>-3</v>
      </c>
      <c r="I468" s="13">
        <f t="shared" ca="1" si="44"/>
        <v>-15</v>
      </c>
      <c r="J468" s="14">
        <f t="shared" ca="1" si="47"/>
        <v>35</v>
      </c>
      <c r="K468" s="12" t="s">
        <v>40</v>
      </c>
      <c r="L468" s="12">
        <v>39</v>
      </c>
      <c r="M468" s="12" t="s">
        <v>40</v>
      </c>
      <c r="N468" s="12">
        <v>105</v>
      </c>
    </row>
    <row r="469" spans="1:15">
      <c r="A469" s="12">
        <f t="shared" si="45"/>
        <v>468</v>
      </c>
      <c r="B469" s="12" t="s">
        <v>2</v>
      </c>
      <c r="C469" s="12" t="s">
        <v>409</v>
      </c>
      <c r="D469" s="12" t="s">
        <v>234</v>
      </c>
      <c r="E469" s="89">
        <f t="shared" ca="1" si="46"/>
        <v>40951</v>
      </c>
      <c r="F469" s="11">
        <f>DATE(80,11,20)</f>
        <v>29545</v>
      </c>
      <c r="G469" s="12">
        <f t="shared" ca="1" si="42"/>
        <v>32</v>
      </c>
      <c r="H469" s="12">
        <f t="shared" ca="1" si="43"/>
        <v>-9</v>
      </c>
      <c r="I469" s="13">
        <f t="shared" ca="1" si="44"/>
        <v>-8</v>
      </c>
      <c r="J469" s="14">
        <f t="shared" ca="1" si="47"/>
        <v>31</v>
      </c>
      <c r="K469" s="12" t="s">
        <v>41</v>
      </c>
      <c r="L469" s="12">
        <v>39</v>
      </c>
      <c r="M469" s="12" t="s">
        <v>40</v>
      </c>
      <c r="N469" s="12">
        <v>105</v>
      </c>
    </row>
    <row r="470" spans="1:15">
      <c r="A470" s="12">
        <f t="shared" si="45"/>
        <v>469</v>
      </c>
      <c r="B470" s="12" t="s">
        <v>2</v>
      </c>
      <c r="C470" s="12" t="s">
        <v>410</v>
      </c>
      <c r="D470" s="12" t="s">
        <v>411</v>
      </c>
      <c r="E470" s="89">
        <f t="shared" ca="1" si="46"/>
        <v>40951</v>
      </c>
      <c r="F470" s="11">
        <f>DATE(53,9,15)</f>
        <v>19617</v>
      </c>
      <c r="G470" s="12">
        <f t="shared" ca="1" si="42"/>
        <v>59</v>
      </c>
      <c r="H470" s="12">
        <f t="shared" ca="1" si="43"/>
        <v>-7</v>
      </c>
      <c r="I470" s="13">
        <f t="shared" ca="1" si="44"/>
        <v>-3</v>
      </c>
      <c r="J470" s="14">
        <f t="shared" ca="1" si="47"/>
        <v>58</v>
      </c>
      <c r="K470" s="12" t="s">
        <v>40</v>
      </c>
      <c r="L470" s="12">
        <v>39</v>
      </c>
      <c r="M470" s="12" t="s">
        <v>40</v>
      </c>
      <c r="N470" s="12">
        <v>106</v>
      </c>
      <c r="O470" s="90" t="s">
        <v>2748</v>
      </c>
    </row>
    <row r="471" spans="1:15">
      <c r="A471" s="12">
        <f t="shared" si="45"/>
        <v>470</v>
      </c>
      <c r="B471" s="12" t="s">
        <v>2</v>
      </c>
      <c r="C471" s="12" t="s">
        <v>192</v>
      </c>
      <c r="D471" s="12" t="s">
        <v>410</v>
      </c>
      <c r="E471" s="89">
        <f t="shared" ca="1" si="46"/>
        <v>40951</v>
      </c>
      <c r="F471" s="11">
        <f>DATE(54,10,19)</f>
        <v>20016</v>
      </c>
      <c r="G471" s="12">
        <f t="shared" ca="1" si="42"/>
        <v>58</v>
      </c>
      <c r="H471" s="12">
        <f t="shared" ca="1" si="43"/>
        <v>-8</v>
      </c>
      <c r="I471" s="13">
        <f t="shared" ca="1" si="44"/>
        <v>-7</v>
      </c>
      <c r="J471" s="14">
        <f t="shared" ca="1" si="47"/>
        <v>57</v>
      </c>
      <c r="K471" s="12" t="s">
        <v>41</v>
      </c>
      <c r="L471" s="12">
        <v>39</v>
      </c>
      <c r="M471" s="12" t="s">
        <v>40</v>
      </c>
      <c r="N471" s="12">
        <v>106</v>
      </c>
    </row>
    <row r="472" spans="1:15">
      <c r="A472" s="12">
        <f t="shared" si="45"/>
        <v>471</v>
      </c>
      <c r="B472" s="12" t="s">
        <v>2</v>
      </c>
      <c r="C472" s="12" t="s">
        <v>140</v>
      </c>
      <c r="D472" s="12" t="s">
        <v>410</v>
      </c>
      <c r="E472" s="89">
        <f t="shared" ca="1" si="46"/>
        <v>40951</v>
      </c>
      <c r="F472" s="11">
        <f>DATE(84,7,28)</f>
        <v>30891</v>
      </c>
      <c r="G472" s="12">
        <f t="shared" ca="1" si="42"/>
        <v>28</v>
      </c>
      <c r="H472" s="12">
        <f t="shared" ca="1" si="43"/>
        <v>-5</v>
      </c>
      <c r="I472" s="13">
        <f t="shared" ca="1" si="44"/>
        <v>-16</v>
      </c>
      <c r="J472" s="14">
        <f t="shared" ca="1" si="47"/>
        <v>27</v>
      </c>
      <c r="K472" s="12" t="s">
        <v>40</v>
      </c>
      <c r="L472" s="12">
        <v>39</v>
      </c>
      <c r="M472" s="12" t="s">
        <v>44</v>
      </c>
      <c r="N472" s="12">
        <v>106</v>
      </c>
    </row>
    <row r="473" spans="1:15">
      <c r="A473" s="12">
        <f t="shared" si="45"/>
        <v>472</v>
      </c>
      <c r="B473" s="12" t="s">
        <v>2</v>
      </c>
      <c r="C473" s="12" t="s">
        <v>412</v>
      </c>
      <c r="D473" s="12" t="s">
        <v>372</v>
      </c>
      <c r="E473" s="89">
        <f t="shared" ca="1" si="46"/>
        <v>40951</v>
      </c>
      <c r="F473" s="11">
        <f>DATE(50,2,25)</f>
        <v>18319</v>
      </c>
      <c r="G473" s="12">
        <f t="shared" ref="G473:G536" ca="1" si="48">YEAR(E473)-YEAR(F473)</f>
        <v>62</v>
      </c>
      <c r="H473" s="12">
        <f t="shared" ref="H473:H536" ca="1" si="49">MONTH(E473)-MONTH(F473)</f>
        <v>0</v>
      </c>
      <c r="I473" s="13">
        <f t="shared" ref="I473:I536" ca="1" si="50">DAY(E473)-DAY(F473)</f>
        <v>-13</v>
      </c>
      <c r="J473" s="14">
        <f t="shared" ca="1" si="47"/>
        <v>61</v>
      </c>
      <c r="K473" s="12" t="s">
        <v>40</v>
      </c>
      <c r="L473" s="12">
        <v>40</v>
      </c>
      <c r="M473" s="12" t="s">
        <v>40</v>
      </c>
      <c r="N473" s="12">
        <v>107</v>
      </c>
      <c r="O473" s="90" t="s">
        <v>2748</v>
      </c>
    </row>
    <row r="474" spans="1:15">
      <c r="A474" s="12">
        <f t="shared" si="45"/>
        <v>473</v>
      </c>
      <c r="B474" s="12" t="s">
        <v>2</v>
      </c>
      <c r="C474" s="12" t="s">
        <v>102</v>
      </c>
      <c r="D474" s="12" t="s">
        <v>412</v>
      </c>
      <c r="E474" s="89">
        <f t="shared" ca="1" si="46"/>
        <v>40951</v>
      </c>
      <c r="F474" s="11">
        <f>DATE(52,12,25)</f>
        <v>19353</v>
      </c>
      <c r="G474" s="12">
        <f t="shared" ca="1" si="48"/>
        <v>60</v>
      </c>
      <c r="H474" s="12">
        <f t="shared" ca="1" si="49"/>
        <v>-10</v>
      </c>
      <c r="I474" s="13">
        <f t="shared" ca="1" si="50"/>
        <v>-13</v>
      </c>
      <c r="J474" s="14">
        <f t="shared" ca="1" si="47"/>
        <v>59</v>
      </c>
      <c r="K474" s="12" t="s">
        <v>41</v>
      </c>
      <c r="L474" s="12">
        <v>40</v>
      </c>
      <c r="M474" s="12" t="s">
        <v>40</v>
      </c>
      <c r="N474" s="12">
        <v>107</v>
      </c>
    </row>
    <row r="475" spans="1:15">
      <c r="A475" s="12">
        <f t="shared" si="45"/>
        <v>474</v>
      </c>
      <c r="B475" s="12" t="s">
        <v>2</v>
      </c>
      <c r="C475" s="12" t="s">
        <v>169</v>
      </c>
      <c r="D475" s="12" t="s">
        <v>412</v>
      </c>
      <c r="E475" s="89">
        <f t="shared" ca="1" si="46"/>
        <v>40951</v>
      </c>
      <c r="F475" s="11">
        <f>DATE(76,3,13)</f>
        <v>27832</v>
      </c>
      <c r="G475" s="12">
        <f t="shared" ca="1" si="48"/>
        <v>36</v>
      </c>
      <c r="H475" s="12">
        <f t="shared" ca="1" si="49"/>
        <v>-1</v>
      </c>
      <c r="I475" s="13">
        <f t="shared" ca="1" si="50"/>
        <v>-1</v>
      </c>
      <c r="J475" s="14">
        <f t="shared" ca="1" si="47"/>
        <v>35</v>
      </c>
      <c r="K475" s="12" t="s">
        <v>40</v>
      </c>
      <c r="L475" s="12">
        <v>40</v>
      </c>
      <c r="M475" s="12" t="s">
        <v>40</v>
      </c>
      <c r="N475" s="12">
        <v>107</v>
      </c>
    </row>
    <row r="476" spans="1:15">
      <c r="A476" s="12">
        <f t="shared" si="45"/>
        <v>475</v>
      </c>
      <c r="B476" s="12" t="s">
        <v>2</v>
      </c>
      <c r="C476" s="12" t="s">
        <v>231</v>
      </c>
      <c r="D476" s="12" t="s">
        <v>169</v>
      </c>
      <c r="E476" s="89">
        <f t="shared" ca="1" si="46"/>
        <v>40951</v>
      </c>
      <c r="F476" s="11">
        <f>DATE(78,4,10)</f>
        <v>28590</v>
      </c>
      <c r="G476" s="12">
        <f t="shared" ca="1" si="48"/>
        <v>34</v>
      </c>
      <c r="H476" s="12">
        <f t="shared" ca="1" si="49"/>
        <v>-2</v>
      </c>
      <c r="I476" s="13">
        <f t="shared" ca="1" si="50"/>
        <v>2</v>
      </c>
      <c r="J476" s="14">
        <f t="shared" ca="1" si="47"/>
        <v>33</v>
      </c>
      <c r="K476" s="12" t="s">
        <v>41</v>
      </c>
      <c r="L476" s="12">
        <v>40</v>
      </c>
      <c r="M476" s="12" t="s">
        <v>40</v>
      </c>
      <c r="N476" s="12">
        <v>107</v>
      </c>
    </row>
    <row r="477" spans="1:15">
      <c r="A477" s="12">
        <f t="shared" si="45"/>
        <v>476</v>
      </c>
      <c r="B477" s="12" t="s">
        <v>2</v>
      </c>
      <c r="C477" s="12" t="s">
        <v>413</v>
      </c>
      <c r="D477" s="12" t="s">
        <v>169</v>
      </c>
      <c r="E477" s="89">
        <f t="shared" ca="1" si="46"/>
        <v>40951</v>
      </c>
      <c r="F477" s="11">
        <f>DATE(2002,10,26)</f>
        <v>37555</v>
      </c>
      <c r="G477" s="12">
        <f t="shared" ca="1" si="48"/>
        <v>10</v>
      </c>
      <c r="H477" s="12">
        <f t="shared" ca="1" si="49"/>
        <v>-8</v>
      </c>
      <c r="I477" s="13">
        <f t="shared" ca="1" si="50"/>
        <v>-14</v>
      </c>
      <c r="J477" s="14">
        <f t="shared" ca="1" si="47"/>
        <v>9</v>
      </c>
      <c r="K477" s="12" t="s">
        <v>41</v>
      </c>
      <c r="L477" s="12">
        <v>40</v>
      </c>
      <c r="M477" s="12" t="s">
        <v>44</v>
      </c>
      <c r="N477" s="12">
        <v>107</v>
      </c>
    </row>
    <row r="478" spans="1:15">
      <c r="A478" s="12">
        <f t="shared" ref="A478:A541" si="51">A477+1</f>
        <v>477</v>
      </c>
      <c r="B478" s="12" t="s">
        <v>2</v>
      </c>
      <c r="C478" s="12" t="s">
        <v>301</v>
      </c>
      <c r="D478" s="12" t="s">
        <v>412</v>
      </c>
      <c r="E478" s="89">
        <f t="shared" ca="1" si="46"/>
        <v>40951</v>
      </c>
      <c r="F478" s="11">
        <f>DATE(80,2,24)</f>
        <v>29275</v>
      </c>
      <c r="G478" s="12">
        <f t="shared" ca="1" si="48"/>
        <v>32</v>
      </c>
      <c r="H478" s="12">
        <f t="shared" ca="1" si="49"/>
        <v>0</v>
      </c>
      <c r="I478" s="13">
        <f t="shared" ca="1" si="50"/>
        <v>-12</v>
      </c>
      <c r="J478" s="14">
        <f t="shared" ca="1" si="47"/>
        <v>31</v>
      </c>
      <c r="K478" s="12" t="s">
        <v>40</v>
      </c>
      <c r="L478" s="12">
        <v>40</v>
      </c>
      <c r="M478" s="12" t="s">
        <v>40</v>
      </c>
      <c r="N478" s="12">
        <v>107</v>
      </c>
    </row>
    <row r="479" spans="1:15">
      <c r="A479" s="12">
        <f t="shared" si="51"/>
        <v>478</v>
      </c>
      <c r="B479" s="12" t="s">
        <v>2</v>
      </c>
      <c r="C479" s="12" t="s">
        <v>288</v>
      </c>
      <c r="D479" s="12" t="s">
        <v>301</v>
      </c>
      <c r="E479" s="89">
        <f t="shared" ca="1" si="46"/>
        <v>40951</v>
      </c>
      <c r="F479" s="11">
        <f>DATE(83,6,22)</f>
        <v>30489</v>
      </c>
      <c r="G479" s="12">
        <f t="shared" ca="1" si="48"/>
        <v>29</v>
      </c>
      <c r="H479" s="12">
        <f t="shared" ca="1" si="49"/>
        <v>-4</v>
      </c>
      <c r="I479" s="13">
        <f t="shared" ca="1" si="50"/>
        <v>-10</v>
      </c>
      <c r="J479" s="14">
        <f t="shared" ca="1" si="47"/>
        <v>28</v>
      </c>
      <c r="K479" s="12" t="s">
        <v>41</v>
      </c>
      <c r="L479" s="12">
        <v>40</v>
      </c>
      <c r="M479" s="12" t="s">
        <v>40</v>
      </c>
      <c r="N479" s="12">
        <v>107</v>
      </c>
    </row>
    <row r="480" spans="1:15">
      <c r="A480" s="12">
        <f t="shared" si="51"/>
        <v>479</v>
      </c>
      <c r="B480" s="12" t="s">
        <v>2</v>
      </c>
      <c r="C480" s="12" t="s">
        <v>414</v>
      </c>
      <c r="D480" s="12" t="s">
        <v>209</v>
      </c>
      <c r="E480" s="89">
        <f t="shared" ca="1" si="46"/>
        <v>40951</v>
      </c>
      <c r="F480" s="11">
        <f>DATE(41,8,10)</f>
        <v>15198</v>
      </c>
      <c r="G480" s="12">
        <f t="shared" ca="1" si="48"/>
        <v>71</v>
      </c>
      <c r="H480" s="12">
        <f t="shared" ca="1" si="49"/>
        <v>-6</v>
      </c>
      <c r="I480" s="13">
        <f t="shared" ca="1" si="50"/>
        <v>2</v>
      </c>
      <c r="J480" s="14">
        <f t="shared" ca="1" si="47"/>
        <v>70</v>
      </c>
      <c r="K480" s="12" t="s">
        <v>40</v>
      </c>
      <c r="L480" s="12">
        <v>40</v>
      </c>
      <c r="M480" s="12" t="s">
        <v>40</v>
      </c>
      <c r="N480" s="12">
        <v>108</v>
      </c>
      <c r="O480" s="90" t="s">
        <v>2748</v>
      </c>
    </row>
    <row r="481" spans="1:15">
      <c r="A481" s="12">
        <f t="shared" si="51"/>
        <v>480</v>
      </c>
      <c r="B481" s="12" t="s">
        <v>2</v>
      </c>
      <c r="C481" s="12" t="s">
        <v>415</v>
      </c>
      <c r="D481" s="12" t="s">
        <v>414</v>
      </c>
      <c r="E481" s="89">
        <f t="shared" ca="1" si="46"/>
        <v>40951</v>
      </c>
      <c r="F481" s="11">
        <f>DATE(40,8,9)</f>
        <v>14832</v>
      </c>
      <c r="G481" s="12">
        <f t="shared" ca="1" si="48"/>
        <v>72</v>
      </c>
      <c r="H481" s="12">
        <f t="shared" ca="1" si="49"/>
        <v>-6</v>
      </c>
      <c r="I481" s="13">
        <f t="shared" ca="1" si="50"/>
        <v>3</v>
      </c>
      <c r="J481" s="14">
        <f t="shared" ca="1" si="47"/>
        <v>71</v>
      </c>
      <c r="K481" s="12" t="s">
        <v>41</v>
      </c>
      <c r="L481" s="12">
        <v>40</v>
      </c>
      <c r="M481" s="12" t="s">
        <v>40</v>
      </c>
      <c r="N481" s="12">
        <v>108</v>
      </c>
    </row>
    <row r="482" spans="1:15">
      <c r="A482" s="12">
        <f t="shared" si="51"/>
        <v>481</v>
      </c>
      <c r="B482" s="12" t="s">
        <v>2</v>
      </c>
      <c r="C482" s="12" t="s">
        <v>416</v>
      </c>
      <c r="D482" s="12" t="s">
        <v>414</v>
      </c>
      <c r="E482" s="89">
        <f t="shared" ref="E482:E545" ca="1" si="52">TODAY()</f>
        <v>40951</v>
      </c>
      <c r="F482" s="11">
        <f>DATE(70,2,3)</f>
        <v>25602</v>
      </c>
      <c r="G482" s="12">
        <f t="shared" ca="1" si="48"/>
        <v>42</v>
      </c>
      <c r="H482" s="12">
        <f t="shared" ca="1" si="49"/>
        <v>0</v>
      </c>
      <c r="I482" s="13">
        <f t="shared" ca="1" si="50"/>
        <v>9</v>
      </c>
      <c r="J482" s="14">
        <f t="shared" ca="1" si="47"/>
        <v>42</v>
      </c>
      <c r="K482" s="12" t="s">
        <v>40</v>
      </c>
      <c r="L482" s="12">
        <v>40</v>
      </c>
      <c r="M482" s="12" t="s">
        <v>40</v>
      </c>
      <c r="N482" s="12">
        <v>108</v>
      </c>
    </row>
    <row r="483" spans="1:15">
      <c r="A483" s="12">
        <f t="shared" si="51"/>
        <v>482</v>
      </c>
      <c r="B483" s="12" t="s">
        <v>2</v>
      </c>
      <c r="C483" s="12" t="s">
        <v>364</v>
      </c>
      <c r="D483" s="12" t="s">
        <v>416</v>
      </c>
      <c r="E483" s="89">
        <f t="shared" ca="1" si="52"/>
        <v>40951</v>
      </c>
      <c r="F483" s="11">
        <f>DATE(74,3,16)</f>
        <v>27104</v>
      </c>
      <c r="G483" s="12">
        <f t="shared" ca="1" si="48"/>
        <v>38</v>
      </c>
      <c r="H483" s="12">
        <f t="shared" ca="1" si="49"/>
        <v>-1</v>
      </c>
      <c r="I483" s="13">
        <f t="shared" ca="1" si="50"/>
        <v>-4</v>
      </c>
      <c r="J483" s="14">
        <f t="shared" ca="1" si="47"/>
        <v>37</v>
      </c>
      <c r="K483" s="12" t="s">
        <v>41</v>
      </c>
      <c r="L483" s="12">
        <v>40</v>
      </c>
      <c r="M483" s="12" t="s">
        <v>40</v>
      </c>
      <c r="N483" s="12">
        <v>108</v>
      </c>
    </row>
    <row r="484" spans="1:15">
      <c r="A484" s="12">
        <f t="shared" si="51"/>
        <v>483</v>
      </c>
      <c r="B484" s="12" t="s">
        <v>2</v>
      </c>
      <c r="C484" s="12" t="s">
        <v>351</v>
      </c>
      <c r="D484" s="12" t="s">
        <v>416</v>
      </c>
      <c r="E484" s="89">
        <f t="shared" ca="1" si="52"/>
        <v>40951</v>
      </c>
      <c r="F484" s="11">
        <f>DATE(97,1,22)</f>
        <v>35452</v>
      </c>
      <c r="G484" s="12">
        <f t="shared" ca="1" si="48"/>
        <v>15</v>
      </c>
      <c r="H484" s="12">
        <f t="shared" ca="1" si="49"/>
        <v>1</v>
      </c>
      <c r="I484" s="13">
        <f t="shared" ca="1" si="50"/>
        <v>-10</v>
      </c>
      <c r="J484" s="14">
        <f t="shared" ca="1" si="47"/>
        <v>15</v>
      </c>
      <c r="K484" s="12" t="s">
        <v>41</v>
      </c>
      <c r="L484" s="12">
        <v>40</v>
      </c>
      <c r="M484" s="12" t="s">
        <v>44</v>
      </c>
      <c r="N484" s="12">
        <v>108</v>
      </c>
    </row>
    <row r="485" spans="1:15">
      <c r="A485" s="12">
        <f t="shared" si="51"/>
        <v>484</v>
      </c>
      <c r="B485" s="12" t="s">
        <v>2</v>
      </c>
      <c r="C485" s="12" t="s">
        <v>202</v>
      </c>
      <c r="D485" s="12" t="s">
        <v>416</v>
      </c>
      <c r="E485" s="89">
        <f t="shared" ca="1" si="52"/>
        <v>40951</v>
      </c>
      <c r="F485" s="11">
        <f>DATE(83,6,22)</f>
        <v>30489</v>
      </c>
      <c r="G485" s="12">
        <f t="shared" ca="1" si="48"/>
        <v>29</v>
      </c>
      <c r="H485" s="12">
        <f t="shared" ca="1" si="49"/>
        <v>-4</v>
      </c>
      <c r="I485" s="13">
        <f t="shared" ca="1" si="50"/>
        <v>-10</v>
      </c>
      <c r="J485" s="14">
        <f t="shared" ca="1" si="47"/>
        <v>28</v>
      </c>
      <c r="K485" s="12" t="s">
        <v>41</v>
      </c>
      <c r="L485" s="12">
        <v>40</v>
      </c>
      <c r="M485" s="12" t="s">
        <v>44</v>
      </c>
      <c r="N485" s="12">
        <v>108</v>
      </c>
    </row>
    <row r="486" spans="1:15">
      <c r="A486" s="12">
        <f t="shared" si="51"/>
        <v>485</v>
      </c>
      <c r="B486" s="12" t="s">
        <v>7</v>
      </c>
      <c r="C486" s="12" t="s">
        <v>162</v>
      </c>
      <c r="D486" s="12" t="s">
        <v>417</v>
      </c>
      <c r="E486" s="89">
        <f t="shared" ca="1" si="52"/>
        <v>40951</v>
      </c>
      <c r="F486" s="11">
        <f>DATE(47,10,22)</f>
        <v>17462</v>
      </c>
      <c r="G486" s="12">
        <f t="shared" ca="1" si="48"/>
        <v>65</v>
      </c>
      <c r="H486" s="12">
        <f t="shared" ca="1" si="49"/>
        <v>-8</v>
      </c>
      <c r="I486" s="13">
        <f t="shared" ca="1" si="50"/>
        <v>-10</v>
      </c>
      <c r="J486" s="14">
        <f t="shared" ca="1" si="47"/>
        <v>64</v>
      </c>
      <c r="K486" s="12" t="s">
        <v>40</v>
      </c>
      <c r="L486" s="12">
        <v>41</v>
      </c>
      <c r="M486" s="12" t="s">
        <v>40</v>
      </c>
      <c r="N486" s="12">
        <v>109</v>
      </c>
      <c r="O486" s="90" t="s">
        <v>2748</v>
      </c>
    </row>
    <row r="487" spans="1:15">
      <c r="A487" s="12">
        <f t="shared" si="51"/>
        <v>486</v>
      </c>
      <c r="B487" s="12" t="s">
        <v>7</v>
      </c>
      <c r="C487" s="12" t="s">
        <v>418</v>
      </c>
      <c r="D487" s="12" t="s">
        <v>162</v>
      </c>
      <c r="E487" s="89">
        <f t="shared" ca="1" si="52"/>
        <v>40951</v>
      </c>
      <c r="F487" s="11">
        <f>DATE(54,9,24)</f>
        <v>19991</v>
      </c>
      <c r="G487" s="12">
        <f t="shared" ca="1" si="48"/>
        <v>58</v>
      </c>
      <c r="H487" s="12">
        <f t="shared" ca="1" si="49"/>
        <v>-7</v>
      </c>
      <c r="I487" s="13">
        <f t="shared" ca="1" si="50"/>
        <v>-12</v>
      </c>
      <c r="J487" s="14">
        <f t="shared" ca="1" si="47"/>
        <v>57</v>
      </c>
      <c r="K487" s="12" t="s">
        <v>41</v>
      </c>
      <c r="L487" s="12">
        <v>41</v>
      </c>
      <c r="M487" s="12" t="s">
        <v>40</v>
      </c>
      <c r="N487" s="12">
        <v>109</v>
      </c>
    </row>
    <row r="488" spans="1:15">
      <c r="A488" s="12">
        <f t="shared" si="51"/>
        <v>487</v>
      </c>
      <c r="B488" s="12" t="s">
        <v>7</v>
      </c>
      <c r="C488" s="12" t="s">
        <v>305</v>
      </c>
      <c r="D488" s="12" t="s">
        <v>162</v>
      </c>
      <c r="E488" s="89">
        <f t="shared" ca="1" si="52"/>
        <v>40951</v>
      </c>
      <c r="F488" s="11">
        <f>DATE(75,2,7)</f>
        <v>27432</v>
      </c>
      <c r="G488" s="12">
        <f t="shared" ca="1" si="48"/>
        <v>37</v>
      </c>
      <c r="H488" s="12">
        <f t="shared" ca="1" si="49"/>
        <v>0</v>
      </c>
      <c r="I488" s="13">
        <f t="shared" ca="1" si="50"/>
        <v>5</v>
      </c>
      <c r="J488" s="14">
        <f t="shared" ca="1" si="47"/>
        <v>37</v>
      </c>
      <c r="K488" s="12" t="s">
        <v>40</v>
      </c>
      <c r="L488" s="12">
        <v>41</v>
      </c>
      <c r="M488" s="12" t="s">
        <v>40</v>
      </c>
      <c r="N488" s="12">
        <v>109</v>
      </c>
    </row>
    <row r="489" spans="1:15">
      <c r="A489" s="12">
        <f t="shared" si="51"/>
        <v>488</v>
      </c>
      <c r="B489" s="12" t="s">
        <v>7</v>
      </c>
      <c r="C489" s="12" t="s">
        <v>419</v>
      </c>
      <c r="D489" s="12" t="s">
        <v>162</v>
      </c>
      <c r="E489" s="89">
        <f t="shared" ca="1" si="52"/>
        <v>40951</v>
      </c>
      <c r="F489" s="11">
        <f>DATE(77,7,11)</f>
        <v>28317</v>
      </c>
      <c r="G489" s="12">
        <f t="shared" ca="1" si="48"/>
        <v>35</v>
      </c>
      <c r="H489" s="12">
        <f t="shared" ca="1" si="49"/>
        <v>-5</v>
      </c>
      <c r="I489" s="13">
        <f t="shared" ca="1" si="50"/>
        <v>1</v>
      </c>
      <c r="J489" s="14">
        <f t="shared" ca="1" si="47"/>
        <v>34</v>
      </c>
      <c r="K489" s="12" t="s">
        <v>41</v>
      </c>
      <c r="L489" s="12">
        <v>41</v>
      </c>
      <c r="M489" s="12" t="s">
        <v>40</v>
      </c>
      <c r="N489" s="12">
        <v>109</v>
      </c>
    </row>
    <row r="490" spans="1:15">
      <c r="A490" s="12">
        <f t="shared" si="51"/>
        <v>489</v>
      </c>
      <c r="B490" s="12" t="s">
        <v>7</v>
      </c>
      <c r="C490" s="12" t="s">
        <v>420</v>
      </c>
      <c r="D490" s="12" t="s">
        <v>305</v>
      </c>
      <c r="E490" s="89">
        <f t="shared" ca="1" si="52"/>
        <v>40951</v>
      </c>
      <c r="F490" s="11">
        <f>DATE(4,8,25)</f>
        <v>1699</v>
      </c>
      <c r="G490" s="12">
        <f t="shared" ca="1" si="48"/>
        <v>108</v>
      </c>
      <c r="H490" s="12">
        <f t="shared" ca="1" si="49"/>
        <v>-6</v>
      </c>
      <c r="I490" s="13">
        <f t="shared" ca="1" si="50"/>
        <v>-13</v>
      </c>
      <c r="J490" s="14">
        <f t="shared" ca="1" si="47"/>
        <v>107</v>
      </c>
      <c r="K490" s="12" t="s">
        <v>41</v>
      </c>
      <c r="L490" s="12">
        <v>41</v>
      </c>
      <c r="M490" s="12" t="s">
        <v>44</v>
      </c>
      <c r="N490" s="12">
        <v>109</v>
      </c>
    </row>
    <row r="491" spans="1:15">
      <c r="A491" s="12">
        <f t="shared" si="51"/>
        <v>490</v>
      </c>
      <c r="B491" s="12" t="s">
        <v>7</v>
      </c>
      <c r="C491" s="12" t="s">
        <v>421</v>
      </c>
      <c r="D491" s="12" t="s">
        <v>305</v>
      </c>
      <c r="E491" s="89">
        <f t="shared" ca="1" si="52"/>
        <v>40951</v>
      </c>
      <c r="F491" s="11">
        <f>DATE(76,8,12)</f>
        <v>27984</v>
      </c>
      <c r="G491" s="12">
        <f t="shared" ca="1" si="48"/>
        <v>36</v>
      </c>
      <c r="H491" s="12">
        <f t="shared" ca="1" si="49"/>
        <v>-6</v>
      </c>
      <c r="I491" s="13">
        <f t="shared" ca="1" si="50"/>
        <v>0</v>
      </c>
      <c r="J491" s="14">
        <f t="shared" ca="1" si="47"/>
        <v>35</v>
      </c>
      <c r="K491" s="12" t="s">
        <v>40</v>
      </c>
      <c r="L491" s="12">
        <v>41</v>
      </c>
      <c r="M491" s="12" t="s">
        <v>40</v>
      </c>
      <c r="N491" s="12">
        <v>109</v>
      </c>
    </row>
    <row r="492" spans="1:15">
      <c r="A492" s="12">
        <f t="shared" si="51"/>
        <v>491</v>
      </c>
      <c r="B492" s="12" t="s">
        <v>7</v>
      </c>
      <c r="C492" s="12" t="s">
        <v>422</v>
      </c>
      <c r="D492" s="12" t="s">
        <v>421</v>
      </c>
      <c r="E492" s="89">
        <f t="shared" ca="1" si="52"/>
        <v>40951</v>
      </c>
      <c r="F492" s="11">
        <f>DATE(81,12,6)</f>
        <v>29926</v>
      </c>
      <c r="G492" s="12">
        <f t="shared" ca="1" si="48"/>
        <v>31</v>
      </c>
      <c r="H492" s="12">
        <f t="shared" ca="1" si="49"/>
        <v>-10</v>
      </c>
      <c r="I492" s="13">
        <f t="shared" ca="1" si="50"/>
        <v>6</v>
      </c>
      <c r="J492" s="14">
        <f t="shared" ca="1" si="47"/>
        <v>30</v>
      </c>
      <c r="K492" s="12" t="s">
        <v>41</v>
      </c>
      <c r="L492" s="12">
        <v>41</v>
      </c>
      <c r="M492" s="12" t="s">
        <v>40</v>
      </c>
      <c r="N492" s="12">
        <v>109</v>
      </c>
    </row>
    <row r="493" spans="1:15">
      <c r="A493" s="12">
        <f t="shared" si="51"/>
        <v>492</v>
      </c>
      <c r="B493" s="12" t="s">
        <v>7</v>
      </c>
      <c r="C493" s="12" t="s">
        <v>120</v>
      </c>
      <c r="D493" s="12" t="s">
        <v>421</v>
      </c>
      <c r="E493" s="89">
        <f t="shared" ca="1" si="52"/>
        <v>40951</v>
      </c>
      <c r="F493" s="11">
        <f>DATE(2004,8,25)</f>
        <v>38224</v>
      </c>
      <c r="G493" s="12">
        <f t="shared" ca="1" si="48"/>
        <v>8</v>
      </c>
      <c r="H493" s="12">
        <f t="shared" ca="1" si="49"/>
        <v>-6</v>
      </c>
      <c r="I493" s="13">
        <f t="shared" ca="1" si="50"/>
        <v>-13</v>
      </c>
      <c r="J493" s="14">
        <f t="shared" ca="1" si="47"/>
        <v>7</v>
      </c>
      <c r="K493" s="12" t="s">
        <v>40</v>
      </c>
      <c r="L493" s="12">
        <v>41</v>
      </c>
      <c r="M493" s="12" t="s">
        <v>44</v>
      </c>
      <c r="N493" s="12">
        <v>109</v>
      </c>
    </row>
    <row r="494" spans="1:15">
      <c r="A494" s="12">
        <f t="shared" si="51"/>
        <v>493</v>
      </c>
      <c r="B494" s="12" t="s">
        <v>7</v>
      </c>
      <c r="C494" s="12" t="s">
        <v>305</v>
      </c>
      <c r="D494" s="12" t="s">
        <v>423</v>
      </c>
      <c r="E494" s="89">
        <f t="shared" ca="1" si="52"/>
        <v>40951</v>
      </c>
      <c r="F494" s="11">
        <f>DATE(83,3,18)</f>
        <v>30393</v>
      </c>
      <c r="G494" s="12">
        <f t="shared" ca="1" si="48"/>
        <v>29</v>
      </c>
      <c r="H494" s="12">
        <f t="shared" ca="1" si="49"/>
        <v>-1</v>
      </c>
      <c r="I494" s="13">
        <f t="shared" ca="1" si="50"/>
        <v>-6</v>
      </c>
      <c r="J494" s="14">
        <f t="shared" ca="1" si="47"/>
        <v>28</v>
      </c>
      <c r="K494" s="12" t="s">
        <v>40</v>
      </c>
      <c r="L494" s="12">
        <v>41</v>
      </c>
      <c r="M494" s="12" t="s">
        <v>44</v>
      </c>
      <c r="N494" s="12">
        <v>110</v>
      </c>
      <c r="O494" s="90" t="s">
        <v>2748</v>
      </c>
    </row>
    <row r="495" spans="1:15">
      <c r="A495" s="12">
        <f t="shared" si="51"/>
        <v>494</v>
      </c>
      <c r="B495" s="12" t="s">
        <v>7</v>
      </c>
      <c r="C495" s="12" t="s">
        <v>424</v>
      </c>
      <c r="D495" s="12" t="s">
        <v>425</v>
      </c>
      <c r="E495" s="89">
        <f t="shared" ca="1" si="52"/>
        <v>40951</v>
      </c>
      <c r="F495" s="11">
        <f>DATE(52,5,24)</f>
        <v>19138</v>
      </c>
      <c r="G495" s="12">
        <f t="shared" ca="1" si="48"/>
        <v>60</v>
      </c>
      <c r="H495" s="12">
        <f t="shared" ca="1" si="49"/>
        <v>-3</v>
      </c>
      <c r="I495" s="13">
        <f t="shared" ca="1" si="50"/>
        <v>-12</v>
      </c>
      <c r="J495" s="14">
        <f t="shared" ca="1" si="47"/>
        <v>59</v>
      </c>
      <c r="K495" s="12" t="s">
        <v>40</v>
      </c>
      <c r="L495" s="12">
        <v>41</v>
      </c>
      <c r="M495" s="12" t="s">
        <v>40</v>
      </c>
      <c r="N495" s="12">
        <v>111</v>
      </c>
      <c r="O495" s="90" t="s">
        <v>2748</v>
      </c>
    </row>
    <row r="496" spans="1:15">
      <c r="A496" s="12">
        <f t="shared" si="51"/>
        <v>495</v>
      </c>
      <c r="B496" s="12" t="s">
        <v>7</v>
      </c>
      <c r="C496" s="12" t="s">
        <v>426</v>
      </c>
      <c r="D496" s="12" t="s">
        <v>424</v>
      </c>
      <c r="E496" s="89">
        <f t="shared" ca="1" si="52"/>
        <v>40951</v>
      </c>
      <c r="F496" s="11">
        <f>DATE(56,10,11)</f>
        <v>20739</v>
      </c>
      <c r="G496" s="12">
        <f t="shared" ca="1" si="48"/>
        <v>56</v>
      </c>
      <c r="H496" s="12">
        <f t="shared" ca="1" si="49"/>
        <v>-8</v>
      </c>
      <c r="I496" s="13">
        <f t="shared" ca="1" si="50"/>
        <v>1</v>
      </c>
      <c r="J496" s="14">
        <f t="shared" ca="1" si="47"/>
        <v>55</v>
      </c>
      <c r="K496" s="12" t="s">
        <v>41</v>
      </c>
      <c r="L496" s="12">
        <v>41</v>
      </c>
      <c r="M496" s="12" t="s">
        <v>40</v>
      </c>
      <c r="N496" s="12">
        <v>111</v>
      </c>
    </row>
    <row r="497" spans="1:15">
      <c r="A497" s="12">
        <f t="shared" si="51"/>
        <v>496</v>
      </c>
      <c r="B497" s="12" t="s">
        <v>7</v>
      </c>
      <c r="C497" s="12" t="s">
        <v>427</v>
      </c>
      <c r="D497" s="12" t="s">
        <v>424</v>
      </c>
      <c r="E497" s="89">
        <f t="shared" ca="1" si="52"/>
        <v>40951</v>
      </c>
      <c r="F497" s="11">
        <f>DATE(81,1,6)</f>
        <v>29592</v>
      </c>
      <c r="G497" s="12">
        <f t="shared" ca="1" si="48"/>
        <v>31</v>
      </c>
      <c r="H497" s="12">
        <f t="shared" ca="1" si="49"/>
        <v>1</v>
      </c>
      <c r="I497" s="13">
        <f t="shared" ca="1" si="50"/>
        <v>6</v>
      </c>
      <c r="J497" s="14">
        <f t="shared" ca="1" si="47"/>
        <v>31</v>
      </c>
      <c r="K497" s="12" t="s">
        <v>40</v>
      </c>
      <c r="L497" s="12">
        <v>41</v>
      </c>
      <c r="M497" s="12" t="s">
        <v>44</v>
      </c>
      <c r="N497" s="12">
        <v>111</v>
      </c>
    </row>
    <row r="498" spans="1:15">
      <c r="A498" s="12">
        <f t="shared" si="51"/>
        <v>497</v>
      </c>
      <c r="B498" s="12" t="s">
        <v>7</v>
      </c>
      <c r="C498" s="12" t="s">
        <v>225</v>
      </c>
      <c r="D498" s="12" t="s">
        <v>424</v>
      </c>
      <c r="E498" s="89">
        <f t="shared" ca="1" si="52"/>
        <v>40951</v>
      </c>
      <c r="F498" s="11">
        <f>DATE(85,8,21)</f>
        <v>31280</v>
      </c>
      <c r="G498" s="12">
        <f t="shared" ca="1" si="48"/>
        <v>27</v>
      </c>
      <c r="H498" s="12">
        <f t="shared" ca="1" si="49"/>
        <v>-6</v>
      </c>
      <c r="I498" s="13">
        <f t="shared" ca="1" si="50"/>
        <v>-9</v>
      </c>
      <c r="J498" s="14">
        <f t="shared" ca="1" si="47"/>
        <v>26</v>
      </c>
      <c r="K498" s="12" t="s">
        <v>40</v>
      </c>
      <c r="L498" s="12">
        <v>41</v>
      </c>
      <c r="M498" s="12" t="s">
        <v>44</v>
      </c>
      <c r="N498" s="12">
        <v>111</v>
      </c>
    </row>
    <row r="499" spans="1:15">
      <c r="A499" s="12">
        <f t="shared" si="51"/>
        <v>498</v>
      </c>
      <c r="B499" s="12" t="s">
        <v>7</v>
      </c>
      <c r="C499" s="12" t="s">
        <v>181</v>
      </c>
      <c r="D499" s="12" t="s">
        <v>94</v>
      </c>
      <c r="E499" s="89">
        <f t="shared" ca="1" si="52"/>
        <v>40951</v>
      </c>
      <c r="F499" s="11">
        <f>DATE(51,10,3)</f>
        <v>18904</v>
      </c>
      <c r="G499" s="12">
        <f t="shared" ca="1" si="48"/>
        <v>61</v>
      </c>
      <c r="H499" s="12">
        <f t="shared" ca="1" si="49"/>
        <v>-8</v>
      </c>
      <c r="I499" s="13">
        <f t="shared" ca="1" si="50"/>
        <v>9</v>
      </c>
      <c r="J499" s="14">
        <f t="shared" ca="1" si="47"/>
        <v>60</v>
      </c>
      <c r="K499" s="12" t="s">
        <v>40</v>
      </c>
      <c r="L499" s="12">
        <v>42</v>
      </c>
      <c r="M499" s="12" t="s">
        <v>40</v>
      </c>
      <c r="N499" s="12">
        <v>112</v>
      </c>
    </row>
    <row r="500" spans="1:15">
      <c r="A500" s="12">
        <f t="shared" si="51"/>
        <v>499</v>
      </c>
      <c r="B500" s="12" t="s">
        <v>7</v>
      </c>
      <c r="C500" s="12" t="s">
        <v>428</v>
      </c>
      <c r="D500" s="12" t="s">
        <v>181</v>
      </c>
      <c r="E500" s="89">
        <f t="shared" ca="1" si="52"/>
        <v>40951</v>
      </c>
      <c r="F500" s="11">
        <f>DATE(60,10,10)</f>
        <v>22199</v>
      </c>
      <c r="G500" s="12">
        <f t="shared" ca="1" si="48"/>
        <v>52</v>
      </c>
      <c r="H500" s="12">
        <f t="shared" ca="1" si="49"/>
        <v>-8</v>
      </c>
      <c r="I500" s="13">
        <f t="shared" ca="1" si="50"/>
        <v>2</v>
      </c>
      <c r="J500" s="14">
        <f t="shared" ca="1" si="47"/>
        <v>51</v>
      </c>
      <c r="K500" s="12" t="s">
        <v>41</v>
      </c>
      <c r="L500" s="12">
        <v>42</v>
      </c>
      <c r="M500" s="12" t="s">
        <v>40</v>
      </c>
      <c r="N500" s="12">
        <v>112</v>
      </c>
    </row>
    <row r="501" spans="1:15">
      <c r="A501" s="12">
        <f t="shared" si="51"/>
        <v>500</v>
      </c>
      <c r="B501" s="12" t="s">
        <v>7</v>
      </c>
      <c r="C501" s="12" t="s">
        <v>422</v>
      </c>
      <c r="D501" s="12" t="s">
        <v>181</v>
      </c>
      <c r="E501" s="89">
        <f t="shared" ca="1" si="52"/>
        <v>40951</v>
      </c>
      <c r="F501" s="11">
        <f>DATE(82,9,11)</f>
        <v>30205</v>
      </c>
      <c r="G501" s="12">
        <f t="shared" ca="1" si="48"/>
        <v>30</v>
      </c>
      <c r="H501" s="12">
        <f t="shared" ca="1" si="49"/>
        <v>-7</v>
      </c>
      <c r="I501" s="13">
        <f t="shared" ca="1" si="50"/>
        <v>1</v>
      </c>
      <c r="J501" s="14">
        <f t="shared" ca="1" si="47"/>
        <v>29</v>
      </c>
      <c r="K501" s="12" t="s">
        <v>41</v>
      </c>
      <c r="L501" s="12">
        <v>42</v>
      </c>
      <c r="M501" s="12" t="s">
        <v>44</v>
      </c>
      <c r="N501" s="12">
        <v>112</v>
      </c>
    </row>
    <row r="502" spans="1:15">
      <c r="A502" s="12">
        <f t="shared" si="51"/>
        <v>501</v>
      </c>
      <c r="B502" s="12" t="s">
        <v>7</v>
      </c>
      <c r="C502" s="12" t="s">
        <v>211</v>
      </c>
      <c r="D502" s="12" t="s">
        <v>181</v>
      </c>
      <c r="E502" s="89">
        <f t="shared" ca="1" si="52"/>
        <v>40951</v>
      </c>
      <c r="F502" s="11">
        <f>DATE(87,1,9)</f>
        <v>31786</v>
      </c>
      <c r="G502" s="12">
        <f t="shared" ca="1" si="48"/>
        <v>25</v>
      </c>
      <c r="H502" s="12">
        <f t="shared" ca="1" si="49"/>
        <v>1</v>
      </c>
      <c r="I502" s="13">
        <f t="shared" ca="1" si="50"/>
        <v>3</v>
      </c>
      <c r="J502" s="14">
        <f t="shared" ca="1" si="47"/>
        <v>25</v>
      </c>
      <c r="K502" s="12" t="s">
        <v>41</v>
      </c>
      <c r="L502" s="12">
        <v>42</v>
      </c>
      <c r="M502" s="12" t="s">
        <v>44</v>
      </c>
      <c r="N502" s="12">
        <v>112</v>
      </c>
    </row>
    <row r="503" spans="1:15">
      <c r="A503" s="12">
        <f t="shared" si="51"/>
        <v>502</v>
      </c>
      <c r="B503" s="12" t="s">
        <v>7</v>
      </c>
      <c r="C503" s="12" t="s">
        <v>163</v>
      </c>
      <c r="D503" s="12" t="s">
        <v>181</v>
      </c>
      <c r="E503" s="89">
        <f t="shared" ca="1" si="52"/>
        <v>40951</v>
      </c>
      <c r="F503" s="11">
        <f>DATE(94,12,30)</f>
        <v>34698</v>
      </c>
      <c r="G503" s="12">
        <f t="shared" ca="1" si="48"/>
        <v>18</v>
      </c>
      <c r="H503" s="12">
        <f t="shared" ca="1" si="49"/>
        <v>-10</v>
      </c>
      <c r="I503" s="13">
        <f t="shared" ca="1" si="50"/>
        <v>-18</v>
      </c>
      <c r="J503" s="14">
        <f t="shared" ca="1" si="47"/>
        <v>17</v>
      </c>
      <c r="K503" s="12" t="s">
        <v>41</v>
      </c>
      <c r="L503" s="12">
        <v>42</v>
      </c>
      <c r="M503" s="12" t="s">
        <v>44</v>
      </c>
      <c r="N503" s="12">
        <v>112</v>
      </c>
    </row>
    <row r="504" spans="1:15">
      <c r="A504" s="12">
        <f t="shared" si="51"/>
        <v>503</v>
      </c>
      <c r="B504" s="12" t="s">
        <v>7</v>
      </c>
      <c r="C504" s="12" t="s">
        <v>332</v>
      </c>
      <c r="D504" s="12" t="s">
        <v>429</v>
      </c>
      <c r="E504" s="89">
        <f t="shared" ca="1" si="52"/>
        <v>40951</v>
      </c>
      <c r="F504" s="11">
        <f>DATE(39,7,1)</f>
        <v>14427</v>
      </c>
      <c r="G504" s="12">
        <f t="shared" ca="1" si="48"/>
        <v>73</v>
      </c>
      <c r="H504" s="12">
        <f t="shared" ca="1" si="49"/>
        <v>-5</v>
      </c>
      <c r="I504" s="13">
        <f t="shared" ca="1" si="50"/>
        <v>11</v>
      </c>
      <c r="J504" s="14">
        <f t="shared" ca="1" si="47"/>
        <v>72</v>
      </c>
      <c r="K504" s="12" t="s">
        <v>40</v>
      </c>
      <c r="L504" s="12">
        <v>42</v>
      </c>
      <c r="M504" s="12" t="s">
        <v>40</v>
      </c>
      <c r="N504" s="12">
        <v>113</v>
      </c>
      <c r="O504" s="90" t="s">
        <v>2748</v>
      </c>
    </row>
    <row r="505" spans="1:15">
      <c r="A505" s="12">
        <f t="shared" si="51"/>
        <v>504</v>
      </c>
      <c r="B505" s="12" t="s">
        <v>7</v>
      </c>
      <c r="C505" s="12" t="s">
        <v>430</v>
      </c>
      <c r="D505" s="12" t="s">
        <v>332</v>
      </c>
      <c r="E505" s="89">
        <f t="shared" ca="1" si="52"/>
        <v>40951</v>
      </c>
      <c r="F505" s="11">
        <f>DATE(49,12,11)</f>
        <v>18243</v>
      </c>
      <c r="G505" s="12">
        <f t="shared" ca="1" si="48"/>
        <v>63</v>
      </c>
      <c r="H505" s="12">
        <f t="shared" ca="1" si="49"/>
        <v>-10</v>
      </c>
      <c r="I505" s="13">
        <f t="shared" ca="1" si="50"/>
        <v>1</v>
      </c>
      <c r="J505" s="14">
        <f t="shared" ca="1" si="47"/>
        <v>62</v>
      </c>
      <c r="K505" s="12" t="s">
        <v>41</v>
      </c>
      <c r="L505" s="12">
        <v>42</v>
      </c>
      <c r="M505" s="12" t="s">
        <v>40</v>
      </c>
      <c r="N505" s="12">
        <v>113</v>
      </c>
    </row>
    <row r="506" spans="1:15">
      <c r="A506" s="12">
        <f t="shared" si="51"/>
        <v>505</v>
      </c>
      <c r="B506" s="12" t="s">
        <v>7</v>
      </c>
      <c r="C506" s="12" t="s">
        <v>251</v>
      </c>
      <c r="D506" s="12" t="s">
        <v>332</v>
      </c>
      <c r="E506" s="89">
        <f t="shared" ca="1" si="52"/>
        <v>40951</v>
      </c>
      <c r="F506" s="11">
        <f>DATE(79,6,4)</f>
        <v>29010</v>
      </c>
      <c r="G506" s="12">
        <f t="shared" ca="1" si="48"/>
        <v>33</v>
      </c>
      <c r="H506" s="12">
        <f t="shared" ca="1" si="49"/>
        <v>-4</v>
      </c>
      <c r="I506" s="13">
        <f t="shared" ca="1" si="50"/>
        <v>8</v>
      </c>
      <c r="J506" s="14">
        <f t="shared" ca="1" si="47"/>
        <v>32</v>
      </c>
      <c r="K506" s="12" t="s">
        <v>40</v>
      </c>
      <c r="L506" s="12">
        <v>42</v>
      </c>
      <c r="M506" s="12" t="s">
        <v>44</v>
      </c>
      <c r="N506" s="12">
        <v>113</v>
      </c>
    </row>
    <row r="507" spans="1:15">
      <c r="A507" s="12">
        <f t="shared" si="51"/>
        <v>506</v>
      </c>
      <c r="B507" s="12" t="s">
        <v>7</v>
      </c>
      <c r="C507" s="12" t="s">
        <v>431</v>
      </c>
      <c r="D507" s="12" t="s">
        <v>429</v>
      </c>
      <c r="E507" s="89">
        <f t="shared" ca="1" si="52"/>
        <v>40951</v>
      </c>
      <c r="F507" s="32"/>
      <c r="G507" s="12">
        <f t="shared" ca="1" si="48"/>
        <v>112</v>
      </c>
      <c r="H507" s="12">
        <f t="shared" ca="1" si="49"/>
        <v>1</v>
      </c>
      <c r="I507" s="13">
        <f t="shared" ca="1" si="50"/>
        <v>12</v>
      </c>
      <c r="J507" s="14">
        <f t="shared" ca="1" si="47"/>
        <v>112</v>
      </c>
      <c r="K507" s="12" t="s">
        <v>41</v>
      </c>
      <c r="L507" s="12">
        <v>42</v>
      </c>
      <c r="M507" s="12" t="s">
        <v>40</v>
      </c>
      <c r="N507" s="12">
        <v>113</v>
      </c>
    </row>
    <row r="508" spans="1:15">
      <c r="A508" s="12">
        <f t="shared" si="51"/>
        <v>507</v>
      </c>
      <c r="B508" s="12" t="s">
        <v>7</v>
      </c>
      <c r="C508" s="12" t="s">
        <v>432</v>
      </c>
      <c r="D508" s="12" t="s">
        <v>332</v>
      </c>
      <c r="E508" s="89">
        <f t="shared" ca="1" si="52"/>
        <v>40951</v>
      </c>
      <c r="F508" s="11">
        <f>DATE(68,3,31)</f>
        <v>24928</v>
      </c>
      <c r="G508" s="12">
        <f t="shared" ca="1" si="48"/>
        <v>44</v>
      </c>
      <c r="H508" s="12">
        <f t="shared" ca="1" si="49"/>
        <v>-1</v>
      </c>
      <c r="I508" s="13">
        <f t="shared" ca="1" si="50"/>
        <v>-19</v>
      </c>
      <c r="J508" s="14">
        <f t="shared" ca="1" si="47"/>
        <v>43</v>
      </c>
      <c r="K508" s="12" t="s">
        <v>40</v>
      </c>
      <c r="L508" s="12">
        <v>42</v>
      </c>
      <c r="M508" s="12" t="s">
        <v>40</v>
      </c>
      <c r="N508" s="12">
        <v>113</v>
      </c>
    </row>
    <row r="509" spans="1:15">
      <c r="A509" s="12">
        <f t="shared" si="51"/>
        <v>508</v>
      </c>
      <c r="B509" s="12" t="s">
        <v>7</v>
      </c>
      <c r="C509" s="12" t="s">
        <v>433</v>
      </c>
      <c r="D509" s="12" t="s">
        <v>432</v>
      </c>
      <c r="E509" s="89">
        <f t="shared" ca="1" si="52"/>
        <v>40951</v>
      </c>
      <c r="F509" s="11">
        <f>DATE(69,5,23)</f>
        <v>25346</v>
      </c>
      <c r="G509" s="12">
        <f t="shared" ca="1" si="48"/>
        <v>43</v>
      </c>
      <c r="H509" s="12">
        <f t="shared" ca="1" si="49"/>
        <v>-3</v>
      </c>
      <c r="I509" s="13">
        <f t="shared" ca="1" si="50"/>
        <v>-11</v>
      </c>
      <c r="J509" s="14">
        <f t="shared" ca="1" si="47"/>
        <v>42</v>
      </c>
      <c r="K509" s="12" t="s">
        <v>41</v>
      </c>
      <c r="L509" s="12">
        <v>42</v>
      </c>
      <c r="M509" s="12" t="s">
        <v>40</v>
      </c>
      <c r="N509" s="12">
        <v>113</v>
      </c>
    </row>
    <row r="510" spans="1:15">
      <c r="A510" s="12">
        <f t="shared" si="51"/>
        <v>509</v>
      </c>
      <c r="B510" s="12" t="s">
        <v>7</v>
      </c>
      <c r="C510" s="12" t="s">
        <v>434</v>
      </c>
      <c r="D510" s="12" t="s">
        <v>435</v>
      </c>
      <c r="E510" s="89">
        <f t="shared" ca="1" si="52"/>
        <v>40951</v>
      </c>
      <c r="F510" s="11">
        <f>DATE(60,2,2)</f>
        <v>21948</v>
      </c>
      <c r="G510" s="12">
        <f t="shared" ca="1" si="48"/>
        <v>52</v>
      </c>
      <c r="H510" s="12">
        <f t="shared" ca="1" si="49"/>
        <v>0</v>
      </c>
      <c r="I510" s="13">
        <f t="shared" ca="1" si="50"/>
        <v>10</v>
      </c>
      <c r="J510" s="14">
        <f t="shared" ca="1" si="47"/>
        <v>52</v>
      </c>
      <c r="K510" s="12" t="s">
        <v>40</v>
      </c>
      <c r="L510" s="12">
        <v>42</v>
      </c>
      <c r="M510" s="12" t="s">
        <v>40</v>
      </c>
      <c r="N510" s="12">
        <v>114</v>
      </c>
      <c r="O510" s="90" t="s">
        <v>2748</v>
      </c>
    </row>
    <row r="511" spans="1:15">
      <c r="A511" s="12">
        <f t="shared" si="51"/>
        <v>510</v>
      </c>
      <c r="B511" s="12" t="s">
        <v>7</v>
      </c>
      <c r="C511" s="12" t="s">
        <v>222</v>
      </c>
      <c r="D511" s="12" t="s">
        <v>436</v>
      </c>
      <c r="E511" s="89">
        <f t="shared" ca="1" si="52"/>
        <v>40951</v>
      </c>
      <c r="F511" s="11">
        <f>DATE(64,8,21)</f>
        <v>23610</v>
      </c>
      <c r="G511" s="12">
        <f t="shared" ca="1" si="48"/>
        <v>48</v>
      </c>
      <c r="H511" s="12">
        <f t="shared" ca="1" si="49"/>
        <v>-6</v>
      </c>
      <c r="I511" s="13">
        <f t="shared" ca="1" si="50"/>
        <v>-9</v>
      </c>
      <c r="J511" s="14">
        <f t="shared" ca="1" si="47"/>
        <v>47</v>
      </c>
      <c r="K511" s="12" t="s">
        <v>41</v>
      </c>
      <c r="L511" s="12">
        <v>42</v>
      </c>
      <c r="M511" s="12" t="s">
        <v>40</v>
      </c>
      <c r="N511" s="12">
        <v>114</v>
      </c>
    </row>
    <row r="512" spans="1:15">
      <c r="A512" s="12">
        <f t="shared" si="51"/>
        <v>511</v>
      </c>
      <c r="B512" s="12" t="s">
        <v>7</v>
      </c>
      <c r="C512" s="12" t="s">
        <v>437</v>
      </c>
      <c r="D512" s="12" t="s">
        <v>436</v>
      </c>
      <c r="E512" s="89">
        <f t="shared" ca="1" si="52"/>
        <v>40951</v>
      </c>
      <c r="F512" s="11">
        <f>DATE(97,10,9)</f>
        <v>35712</v>
      </c>
      <c r="G512" s="12">
        <f t="shared" ca="1" si="48"/>
        <v>15</v>
      </c>
      <c r="H512" s="12">
        <f t="shared" ca="1" si="49"/>
        <v>-8</v>
      </c>
      <c r="I512" s="13">
        <f t="shared" ca="1" si="50"/>
        <v>3</v>
      </c>
      <c r="J512" s="14">
        <f t="shared" ca="1" si="47"/>
        <v>14</v>
      </c>
      <c r="K512" s="12" t="s">
        <v>40</v>
      </c>
      <c r="L512" s="12">
        <v>42</v>
      </c>
      <c r="M512" s="12" t="s">
        <v>44</v>
      </c>
      <c r="N512" s="12">
        <v>114</v>
      </c>
    </row>
    <row r="513" spans="1:15">
      <c r="A513" s="12">
        <f t="shared" si="51"/>
        <v>512</v>
      </c>
      <c r="B513" s="12" t="s">
        <v>7</v>
      </c>
      <c r="C513" s="12" t="s">
        <v>415</v>
      </c>
      <c r="D513" s="12" t="s">
        <v>438</v>
      </c>
      <c r="E513" s="89">
        <f t="shared" ca="1" si="52"/>
        <v>40951</v>
      </c>
      <c r="F513" s="32"/>
      <c r="G513" s="12">
        <f t="shared" ca="1" si="48"/>
        <v>112</v>
      </c>
      <c r="H513" s="12">
        <f t="shared" ca="1" si="49"/>
        <v>1</v>
      </c>
      <c r="I513" s="13">
        <f t="shared" ca="1" si="50"/>
        <v>12</v>
      </c>
      <c r="J513" s="14">
        <f t="shared" ca="1" si="47"/>
        <v>112</v>
      </c>
      <c r="K513" s="12" t="s">
        <v>41</v>
      </c>
      <c r="L513" s="12">
        <v>43</v>
      </c>
      <c r="M513" s="12" t="s">
        <v>40</v>
      </c>
      <c r="N513" s="12">
        <v>115</v>
      </c>
      <c r="O513" s="90" t="s">
        <v>2748</v>
      </c>
    </row>
    <row r="514" spans="1:15">
      <c r="A514" s="12">
        <f t="shared" si="51"/>
        <v>513</v>
      </c>
      <c r="B514" s="12" t="s">
        <v>7</v>
      </c>
      <c r="C514" s="12" t="s">
        <v>439</v>
      </c>
      <c r="D514" s="12" t="s">
        <v>438</v>
      </c>
      <c r="E514" s="89">
        <f t="shared" ca="1" si="52"/>
        <v>40951</v>
      </c>
      <c r="F514" s="11">
        <f>DATE(57,6,7)</f>
        <v>20978</v>
      </c>
      <c r="G514" s="12">
        <f t="shared" ca="1" si="48"/>
        <v>55</v>
      </c>
      <c r="H514" s="12">
        <f t="shared" ca="1" si="49"/>
        <v>-4</v>
      </c>
      <c r="I514" s="13">
        <f t="shared" ca="1" si="50"/>
        <v>5</v>
      </c>
      <c r="J514" s="14">
        <f t="shared" ca="1" si="47"/>
        <v>54</v>
      </c>
      <c r="K514" s="12" t="s">
        <v>40</v>
      </c>
      <c r="L514" s="12">
        <v>43</v>
      </c>
      <c r="M514" s="12" t="s">
        <v>40</v>
      </c>
      <c r="N514" s="12">
        <v>115</v>
      </c>
    </row>
    <row r="515" spans="1:15">
      <c r="A515" s="12">
        <f t="shared" si="51"/>
        <v>514</v>
      </c>
      <c r="B515" s="12" t="s">
        <v>7</v>
      </c>
      <c r="C515" s="12" t="s">
        <v>440</v>
      </c>
      <c r="D515" s="12" t="s">
        <v>439</v>
      </c>
      <c r="E515" s="89">
        <f t="shared" ca="1" si="52"/>
        <v>40951</v>
      </c>
      <c r="F515" s="11">
        <f>DATE(58,8,14)</f>
        <v>21411</v>
      </c>
      <c r="G515" s="12">
        <f t="shared" ca="1" si="48"/>
        <v>54</v>
      </c>
      <c r="H515" s="12">
        <f t="shared" ca="1" si="49"/>
        <v>-6</v>
      </c>
      <c r="I515" s="13">
        <f t="shared" ca="1" si="50"/>
        <v>-2</v>
      </c>
      <c r="J515" s="14">
        <f t="shared" ref="J515:J578" ca="1" si="53">IF(H515&lt;0,G515-1,IF(H515&gt;0,G515,IF(I515&lt;0,G515-1,G515)))</f>
        <v>53</v>
      </c>
      <c r="K515" s="12" t="s">
        <v>41</v>
      </c>
      <c r="L515" s="12">
        <v>43</v>
      </c>
      <c r="M515" s="12" t="s">
        <v>40</v>
      </c>
      <c r="N515" s="12">
        <v>115</v>
      </c>
    </row>
    <row r="516" spans="1:15">
      <c r="A516" s="12">
        <f t="shared" si="51"/>
        <v>515</v>
      </c>
      <c r="B516" s="12" t="s">
        <v>7</v>
      </c>
      <c r="C516" s="12" t="s">
        <v>410</v>
      </c>
      <c r="D516" s="12" t="s">
        <v>438</v>
      </c>
      <c r="E516" s="89">
        <f t="shared" ca="1" si="52"/>
        <v>40951</v>
      </c>
      <c r="F516" s="11">
        <f>DATE(65,9,8)</f>
        <v>23993</v>
      </c>
      <c r="G516" s="12">
        <f t="shared" ca="1" si="48"/>
        <v>47</v>
      </c>
      <c r="H516" s="12">
        <f t="shared" ca="1" si="49"/>
        <v>-7</v>
      </c>
      <c r="I516" s="13">
        <f t="shared" ca="1" si="50"/>
        <v>4</v>
      </c>
      <c r="J516" s="14">
        <f t="shared" ca="1" si="53"/>
        <v>46</v>
      </c>
      <c r="K516" s="12" t="s">
        <v>40</v>
      </c>
      <c r="L516" s="12">
        <v>43</v>
      </c>
      <c r="M516" s="12" t="s">
        <v>40</v>
      </c>
      <c r="N516" s="12">
        <v>115</v>
      </c>
    </row>
    <row r="517" spans="1:15">
      <c r="A517" s="12">
        <f t="shared" si="51"/>
        <v>516</v>
      </c>
      <c r="B517" s="12" t="s">
        <v>7</v>
      </c>
      <c r="C517" s="12" t="s">
        <v>441</v>
      </c>
      <c r="D517" s="12" t="s">
        <v>410</v>
      </c>
      <c r="E517" s="89">
        <f t="shared" ca="1" si="52"/>
        <v>40951</v>
      </c>
      <c r="F517" s="11">
        <f>DATE(66,4,22)</f>
        <v>24219</v>
      </c>
      <c r="G517" s="12">
        <f t="shared" ca="1" si="48"/>
        <v>46</v>
      </c>
      <c r="H517" s="12">
        <f t="shared" ca="1" si="49"/>
        <v>-2</v>
      </c>
      <c r="I517" s="13">
        <f t="shared" ca="1" si="50"/>
        <v>-10</v>
      </c>
      <c r="J517" s="14">
        <f t="shared" ca="1" si="53"/>
        <v>45</v>
      </c>
      <c r="K517" s="12" t="s">
        <v>41</v>
      </c>
      <c r="L517" s="12">
        <v>43</v>
      </c>
      <c r="M517" s="12" t="s">
        <v>40</v>
      </c>
      <c r="N517" s="12">
        <v>115</v>
      </c>
    </row>
    <row r="518" spans="1:15">
      <c r="A518" s="12">
        <f t="shared" si="51"/>
        <v>517</v>
      </c>
      <c r="B518" s="12" t="s">
        <v>7</v>
      </c>
      <c r="C518" s="12" t="s">
        <v>442</v>
      </c>
      <c r="D518" s="12" t="s">
        <v>410</v>
      </c>
      <c r="E518" s="89">
        <f t="shared" ca="1" si="52"/>
        <v>40951</v>
      </c>
      <c r="F518" s="11">
        <f>DATE(91,10,25)</f>
        <v>33536</v>
      </c>
      <c r="G518" s="12">
        <f t="shared" ca="1" si="48"/>
        <v>21</v>
      </c>
      <c r="H518" s="12">
        <f t="shared" ca="1" si="49"/>
        <v>-8</v>
      </c>
      <c r="I518" s="13">
        <f t="shared" ca="1" si="50"/>
        <v>-13</v>
      </c>
      <c r="J518" s="14">
        <f t="shared" ca="1" si="53"/>
        <v>20</v>
      </c>
      <c r="K518" s="12" t="s">
        <v>41</v>
      </c>
      <c r="L518" s="12">
        <v>43</v>
      </c>
      <c r="M518" s="12" t="s">
        <v>44</v>
      </c>
      <c r="N518" s="12">
        <v>115</v>
      </c>
    </row>
    <row r="519" spans="1:15">
      <c r="A519" s="12">
        <f t="shared" si="51"/>
        <v>518</v>
      </c>
      <c r="B519" s="12" t="s">
        <v>7</v>
      </c>
      <c r="C519" s="12" t="s">
        <v>365</v>
      </c>
      <c r="D519" s="12" t="s">
        <v>410</v>
      </c>
      <c r="E519" s="89">
        <f t="shared" ca="1" si="52"/>
        <v>40951</v>
      </c>
      <c r="F519" s="11">
        <f>DATE(96,6,6)</f>
        <v>35222</v>
      </c>
      <c r="G519" s="12">
        <f t="shared" ca="1" si="48"/>
        <v>16</v>
      </c>
      <c r="H519" s="12">
        <f t="shared" ca="1" si="49"/>
        <v>-4</v>
      </c>
      <c r="I519" s="13">
        <f t="shared" ca="1" si="50"/>
        <v>6</v>
      </c>
      <c r="J519" s="14">
        <f t="shared" ca="1" si="53"/>
        <v>15</v>
      </c>
      <c r="K519" s="12" t="s">
        <v>40</v>
      </c>
      <c r="L519" s="12">
        <v>43</v>
      </c>
      <c r="M519" s="12" t="s">
        <v>44</v>
      </c>
      <c r="N519" s="12">
        <v>115</v>
      </c>
    </row>
    <row r="520" spans="1:15">
      <c r="A520" s="12">
        <f t="shared" si="51"/>
        <v>519</v>
      </c>
      <c r="B520" s="12" t="s">
        <v>7</v>
      </c>
      <c r="C520" s="12" t="s">
        <v>230</v>
      </c>
      <c r="D520" s="12" t="s">
        <v>425</v>
      </c>
      <c r="E520" s="89">
        <f t="shared" ca="1" si="52"/>
        <v>40951</v>
      </c>
      <c r="F520" s="32"/>
      <c r="G520" s="12">
        <f t="shared" ca="1" si="48"/>
        <v>112</v>
      </c>
      <c r="H520" s="12">
        <f t="shared" ca="1" si="49"/>
        <v>1</v>
      </c>
      <c r="I520" s="13">
        <f t="shared" ca="1" si="50"/>
        <v>12</v>
      </c>
      <c r="J520" s="14">
        <f t="shared" ca="1" si="53"/>
        <v>112</v>
      </c>
      <c r="K520" s="12" t="s">
        <v>40</v>
      </c>
      <c r="L520" s="12">
        <v>43</v>
      </c>
      <c r="M520" s="12" t="s">
        <v>40</v>
      </c>
      <c r="N520" s="12">
        <v>116</v>
      </c>
      <c r="O520" s="90" t="s">
        <v>2748</v>
      </c>
    </row>
    <row r="521" spans="1:15">
      <c r="A521" s="12">
        <f t="shared" si="51"/>
        <v>520</v>
      </c>
      <c r="B521" s="12" t="s">
        <v>7</v>
      </c>
      <c r="C521" s="12" t="s">
        <v>133</v>
      </c>
      <c r="D521" s="12" t="s">
        <v>443</v>
      </c>
      <c r="E521" s="89">
        <f t="shared" ca="1" si="52"/>
        <v>40951</v>
      </c>
      <c r="F521" s="32"/>
      <c r="G521" s="12">
        <f t="shared" ca="1" si="48"/>
        <v>112</v>
      </c>
      <c r="H521" s="12">
        <f t="shared" ca="1" si="49"/>
        <v>1</v>
      </c>
      <c r="I521" s="13">
        <f t="shared" ca="1" si="50"/>
        <v>12</v>
      </c>
      <c r="J521" s="14">
        <f t="shared" ca="1" si="53"/>
        <v>112</v>
      </c>
      <c r="K521" s="12" t="s">
        <v>41</v>
      </c>
      <c r="L521" s="12">
        <v>43</v>
      </c>
      <c r="M521" s="12" t="s">
        <v>40</v>
      </c>
      <c r="N521" s="12">
        <v>116</v>
      </c>
    </row>
    <row r="522" spans="1:15">
      <c r="A522" s="12">
        <f t="shared" si="51"/>
        <v>521</v>
      </c>
      <c r="B522" s="12" t="s">
        <v>7</v>
      </c>
      <c r="C522" s="12" t="s">
        <v>444</v>
      </c>
      <c r="D522" s="12" t="s">
        <v>443</v>
      </c>
      <c r="E522" s="89">
        <f t="shared" ca="1" si="52"/>
        <v>40951</v>
      </c>
      <c r="F522" s="11">
        <f>DATE(72,10,26)</f>
        <v>26598</v>
      </c>
      <c r="G522" s="12">
        <f t="shared" ca="1" si="48"/>
        <v>40</v>
      </c>
      <c r="H522" s="12">
        <f t="shared" ca="1" si="49"/>
        <v>-8</v>
      </c>
      <c r="I522" s="13">
        <f t="shared" ca="1" si="50"/>
        <v>-14</v>
      </c>
      <c r="J522" s="14">
        <f t="shared" ca="1" si="53"/>
        <v>39</v>
      </c>
      <c r="K522" s="12" t="s">
        <v>40</v>
      </c>
      <c r="L522" s="12">
        <v>43</v>
      </c>
      <c r="M522" s="12" t="s">
        <v>40</v>
      </c>
      <c r="N522" s="12">
        <v>116</v>
      </c>
    </row>
    <row r="523" spans="1:15">
      <c r="A523" s="12">
        <f t="shared" si="51"/>
        <v>522</v>
      </c>
      <c r="B523" s="12" t="s">
        <v>7</v>
      </c>
      <c r="C523" s="12" t="s">
        <v>62</v>
      </c>
      <c r="D523" s="12" t="s">
        <v>444</v>
      </c>
      <c r="E523" s="89">
        <f t="shared" ca="1" si="52"/>
        <v>40951</v>
      </c>
      <c r="F523" s="11">
        <f>DATE(80,1,4)</f>
        <v>29224</v>
      </c>
      <c r="G523" s="12">
        <f t="shared" ca="1" si="48"/>
        <v>32</v>
      </c>
      <c r="H523" s="12">
        <f t="shared" ca="1" si="49"/>
        <v>1</v>
      </c>
      <c r="I523" s="13">
        <f t="shared" ca="1" si="50"/>
        <v>8</v>
      </c>
      <c r="J523" s="14">
        <f t="shared" ca="1" si="53"/>
        <v>32</v>
      </c>
      <c r="K523" s="12" t="s">
        <v>41</v>
      </c>
      <c r="L523" s="12">
        <v>43</v>
      </c>
      <c r="M523" s="12" t="s">
        <v>40</v>
      </c>
      <c r="N523" s="12">
        <v>116</v>
      </c>
    </row>
    <row r="524" spans="1:15">
      <c r="A524" s="12">
        <f t="shared" si="51"/>
        <v>523</v>
      </c>
      <c r="B524" s="12" t="s">
        <v>7</v>
      </c>
      <c r="C524" s="12" t="s">
        <v>445</v>
      </c>
      <c r="D524" s="12" t="s">
        <v>444</v>
      </c>
      <c r="E524" s="89">
        <f t="shared" ca="1" si="52"/>
        <v>40951</v>
      </c>
      <c r="F524" s="11">
        <f>DATE(2004,12,16)</f>
        <v>38337</v>
      </c>
      <c r="G524" s="12">
        <f t="shared" ca="1" si="48"/>
        <v>8</v>
      </c>
      <c r="H524" s="12">
        <f t="shared" ca="1" si="49"/>
        <v>-10</v>
      </c>
      <c r="I524" s="13">
        <f t="shared" ca="1" si="50"/>
        <v>-4</v>
      </c>
      <c r="J524" s="14">
        <f t="shared" ca="1" si="53"/>
        <v>7</v>
      </c>
      <c r="K524" s="12" t="s">
        <v>40</v>
      </c>
      <c r="L524" s="12">
        <v>43</v>
      </c>
      <c r="M524" s="12" t="s">
        <v>44</v>
      </c>
      <c r="N524" s="12">
        <v>116</v>
      </c>
    </row>
    <row r="525" spans="1:15">
      <c r="A525" s="12">
        <f t="shared" si="51"/>
        <v>524</v>
      </c>
      <c r="B525" s="12" t="s">
        <v>7</v>
      </c>
      <c r="C525" s="12" t="s">
        <v>446</v>
      </c>
      <c r="D525" s="12" t="s">
        <v>443</v>
      </c>
      <c r="E525" s="89">
        <f t="shared" ca="1" si="52"/>
        <v>40951</v>
      </c>
      <c r="F525" s="11">
        <f>DATE(75,7,6)</f>
        <v>27581</v>
      </c>
      <c r="G525" s="12">
        <f t="shared" ca="1" si="48"/>
        <v>37</v>
      </c>
      <c r="H525" s="12">
        <f t="shared" ca="1" si="49"/>
        <v>-5</v>
      </c>
      <c r="I525" s="13">
        <f t="shared" ca="1" si="50"/>
        <v>6</v>
      </c>
      <c r="J525" s="14">
        <f t="shared" ca="1" si="53"/>
        <v>36</v>
      </c>
      <c r="K525" s="12" t="s">
        <v>40</v>
      </c>
      <c r="L525" s="12">
        <v>43</v>
      </c>
      <c r="M525" s="12" t="s">
        <v>40</v>
      </c>
      <c r="N525" s="12">
        <v>116</v>
      </c>
    </row>
    <row r="526" spans="1:15">
      <c r="A526" s="12">
        <f t="shared" si="51"/>
        <v>525</v>
      </c>
      <c r="B526" s="12" t="s">
        <v>7</v>
      </c>
      <c r="C526" s="12" t="s">
        <v>447</v>
      </c>
      <c r="D526" s="12" t="s">
        <v>446</v>
      </c>
      <c r="E526" s="89">
        <f t="shared" ca="1" si="52"/>
        <v>40951</v>
      </c>
      <c r="F526" s="11">
        <f>DATE(78,8,21)</f>
        <v>28723</v>
      </c>
      <c r="G526" s="12">
        <f t="shared" ca="1" si="48"/>
        <v>34</v>
      </c>
      <c r="H526" s="12">
        <f t="shared" ca="1" si="49"/>
        <v>-6</v>
      </c>
      <c r="I526" s="13">
        <f t="shared" ca="1" si="50"/>
        <v>-9</v>
      </c>
      <c r="J526" s="14">
        <f t="shared" ca="1" si="53"/>
        <v>33</v>
      </c>
      <c r="K526" s="12" t="s">
        <v>41</v>
      </c>
      <c r="L526" s="12">
        <v>43</v>
      </c>
      <c r="M526" s="12" t="s">
        <v>40</v>
      </c>
      <c r="N526" s="12">
        <v>116</v>
      </c>
    </row>
    <row r="527" spans="1:15">
      <c r="A527" s="12">
        <f t="shared" si="51"/>
        <v>526</v>
      </c>
      <c r="B527" s="12" t="s">
        <v>7</v>
      </c>
      <c r="C527" s="12" t="s">
        <v>305</v>
      </c>
      <c r="D527" s="12" t="s">
        <v>443</v>
      </c>
      <c r="E527" s="89">
        <f t="shared" ca="1" si="52"/>
        <v>40951</v>
      </c>
      <c r="F527" s="11">
        <f>DATE(78,6,20)</f>
        <v>28661</v>
      </c>
      <c r="G527" s="12">
        <f t="shared" ca="1" si="48"/>
        <v>34</v>
      </c>
      <c r="H527" s="12">
        <f t="shared" ca="1" si="49"/>
        <v>-4</v>
      </c>
      <c r="I527" s="13">
        <f t="shared" ca="1" si="50"/>
        <v>-8</v>
      </c>
      <c r="J527" s="14">
        <f t="shared" ca="1" si="53"/>
        <v>33</v>
      </c>
      <c r="K527" s="12" t="s">
        <v>40</v>
      </c>
      <c r="L527" s="12">
        <v>43</v>
      </c>
      <c r="M527" s="12" t="s">
        <v>44</v>
      </c>
      <c r="N527" s="12">
        <v>116</v>
      </c>
    </row>
    <row r="528" spans="1:15">
      <c r="A528" s="12">
        <f t="shared" si="51"/>
        <v>527</v>
      </c>
      <c r="B528" s="12" t="s">
        <v>7</v>
      </c>
      <c r="C528" s="12" t="s">
        <v>448</v>
      </c>
      <c r="D528" s="12" t="s">
        <v>443</v>
      </c>
      <c r="E528" s="89">
        <f t="shared" ca="1" si="52"/>
        <v>40951</v>
      </c>
      <c r="F528" s="11">
        <f>DATE(80,2,20)</f>
        <v>29271</v>
      </c>
      <c r="G528" s="12">
        <f t="shared" ca="1" si="48"/>
        <v>32</v>
      </c>
      <c r="H528" s="12">
        <f t="shared" ca="1" si="49"/>
        <v>0</v>
      </c>
      <c r="I528" s="13">
        <f t="shared" ca="1" si="50"/>
        <v>-8</v>
      </c>
      <c r="J528" s="14">
        <f t="shared" ca="1" si="53"/>
        <v>31</v>
      </c>
      <c r="K528" s="12" t="s">
        <v>40</v>
      </c>
      <c r="L528" s="12">
        <v>43</v>
      </c>
      <c r="M528" s="12" t="s">
        <v>44</v>
      </c>
      <c r="N528" s="12">
        <v>116</v>
      </c>
    </row>
    <row r="529" spans="1:15">
      <c r="A529" s="12">
        <f t="shared" si="51"/>
        <v>528</v>
      </c>
      <c r="B529" s="12" t="s">
        <v>7</v>
      </c>
      <c r="C529" s="12" t="s">
        <v>449</v>
      </c>
      <c r="D529" s="12" t="s">
        <v>450</v>
      </c>
      <c r="E529" s="89">
        <f t="shared" ca="1" si="52"/>
        <v>40951</v>
      </c>
      <c r="F529" s="11">
        <f>DATE(36,4,1)</f>
        <v>13241</v>
      </c>
      <c r="G529" s="12">
        <f t="shared" ca="1" si="48"/>
        <v>76</v>
      </c>
      <c r="H529" s="12">
        <f t="shared" ca="1" si="49"/>
        <v>-2</v>
      </c>
      <c r="I529" s="13">
        <f t="shared" ca="1" si="50"/>
        <v>11</v>
      </c>
      <c r="J529" s="14">
        <f t="shared" ca="1" si="53"/>
        <v>75</v>
      </c>
      <c r="K529" s="12" t="s">
        <v>40</v>
      </c>
      <c r="L529" s="12">
        <v>44</v>
      </c>
      <c r="M529" s="12" t="s">
        <v>40</v>
      </c>
      <c r="N529" s="12">
        <v>117</v>
      </c>
      <c r="O529" s="90" t="s">
        <v>2748</v>
      </c>
    </row>
    <row r="530" spans="1:15">
      <c r="A530" s="12">
        <f t="shared" si="51"/>
        <v>529</v>
      </c>
      <c r="B530" s="12" t="s">
        <v>7</v>
      </c>
      <c r="C530" s="12" t="s">
        <v>451</v>
      </c>
      <c r="D530" s="12" t="s">
        <v>449</v>
      </c>
      <c r="E530" s="89">
        <f t="shared" ca="1" si="52"/>
        <v>40951</v>
      </c>
      <c r="F530" s="32"/>
      <c r="G530" s="12">
        <f t="shared" ca="1" si="48"/>
        <v>112</v>
      </c>
      <c r="H530" s="12">
        <f t="shared" ca="1" si="49"/>
        <v>1</v>
      </c>
      <c r="I530" s="13">
        <f t="shared" ca="1" si="50"/>
        <v>12</v>
      </c>
      <c r="J530" s="14">
        <f t="shared" ca="1" si="53"/>
        <v>112</v>
      </c>
      <c r="K530" s="12" t="s">
        <v>41</v>
      </c>
      <c r="L530" s="12">
        <v>44</v>
      </c>
      <c r="M530" s="12" t="s">
        <v>40</v>
      </c>
      <c r="N530" s="12">
        <v>117</v>
      </c>
    </row>
    <row r="531" spans="1:15">
      <c r="A531" s="12">
        <f t="shared" si="51"/>
        <v>530</v>
      </c>
      <c r="B531" s="12" t="s">
        <v>7</v>
      </c>
      <c r="C531" s="12" t="s">
        <v>452</v>
      </c>
      <c r="D531" s="12" t="s">
        <v>449</v>
      </c>
      <c r="E531" s="89">
        <f t="shared" ca="1" si="52"/>
        <v>40951</v>
      </c>
      <c r="F531" s="11">
        <f>DATE(68,5,31)</f>
        <v>24989</v>
      </c>
      <c r="G531" s="12">
        <f t="shared" ca="1" si="48"/>
        <v>44</v>
      </c>
      <c r="H531" s="12">
        <f t="shared" ca="1" si="49"/>
        <v>-3</v>
      </c>
      <c r="I531" s="13">
        <f t="shared" ca="1" si="50"/>
        <v>-19</v>
      </c>
      <c r="J531" s="14">
        <f t="shared" ca="1" si="53"/>
        <v>43</v>
      </c>
      <c r="K531" s="12" t="s">
        <v>40</v>
      </c>
      <c r="L531" s="12">
        <v>44</v>
      </c>
      <c r="M531" s="12" t="s">
        <v>40</v>
      </c>
      <c r="N531" s="12">
        <v>117</v>
      </c>
    </row>
    <row r="532" spans="1:15">
      <c r="A532" s="12">
        <f t="shared" si="51"/>
        <v>531</v>
      </c>
      <c r="B532" s="12" t="s">
        <v>7</v>
      </c>
      <c r="C532" s="12" t="s">
        <v>342</v>
      </c>
      <c r="D532" s="12" t="s">
        <v>452</v>
      </c>
      <c r="E532" s="89">
        <f t="shared" ca="1" si="52"/>
        <v>40951</v>
      </c>
      <c r="F532" s="11">
        <f>DATE(71,2,19)</f>
        <v>25983</v>
      </c>
      <c r="G532" s="12">
        <f t="shared" ca="1" si="48"/>
        <v>41</v>
      </c>
      <c r="H532" s="12">
        <f t="shared" ca="1" si="49"/>
        <v>0</v>
      </c>
      <c r="I532" s="13">
        <f t="shared" ca="1" si="50"/>
        <v>-7</v>
      </c>
      <c r="J532" s="14">
        <f t="shared" ca="1" si="53"/>
        <v>40</v>
      </c>
      <c r="K532" s="12" t="s">
        <v>41</v>
      </c>
      <c r="L532" s="12">
        <v>44</v>
      </c>
      <c r="M532" s="12" t="s">
        <v>40</v>
      </c>
      <c r="N532" s="12">
        <v>117</v>
      </c>
    </row>
    <row r="533" spans="1:15">
      <c r="A533" s="12">
        <f t="shared" si="51"/>
        <v>532</v>
      </c>
      <c r="B533" s="12" t="s">
        <v>7</v>
      </c>
      <c r="C533" s="12" t="s">
        <v>453</v>
      </c>
      <c r="D533" s="12" t="s">
        <v>452</v>
      </c>
      <c r="E533" s="89">
        <f t="shared" ca="1" si="52"/>
        <v>40951</v>
      </c>
      <c r="F533" s="11">
        <f>DATE(97,2,28)</f>
        <v>35489</v>
      </c>
      <c r="G533" s="12">
        <f t="shared" ca="1" si="48"/>
        <v>15</v>
      </c>
      <c r="H533" s="12">
        <f t="shared" ca="1" si="49"/>
        <v>0</v>
      </c>
      <c r="I533" s="13">
        <f t="shared" ca="1" si="50"/>
        <v>-16</v>
      </c>
      <c r="J533" s="14">
        <f t="shared" ca="1" si="53"/>
        <v>14</v>
      </c>
      <c r="K533" s="12" t="s">
        <v>41</v>
      </c>
      <c r="L533" s="12">
        <v>44</v>
      </c>
      <c r="M533" s="12" t="s">
        <v>44</v>
      </c>
      <c r="N533" s="12">
        <v>117</v>
      </c>
    </row>
    <row r="534" spans="1:15">
      <c r="A534" s="12">
        <f t="shared" si="51"/>
        <v>533</v>
      </c>
      <c r="B534" s="12" t="s">
        <v>7</v>
      </c>
      <c r="C534" s="12" t="s">
        <v>454</v>
      </c>
      <c r="D534" s="12" t="s">
        <v>452</v>
      </c>
      <c r="E534" s="89">
        <f t="shared" ca="1" si="52"/>
        <v>40951</v>
      </c>
      <c r="F534" s="11">
        <f>DATE(99,6,14)</f>
        <v>36325</v>
      </c>
      <c r="G534" s="12">
        <f t="shared" ca="1" si="48"/>
        <v>13</v>
      </c>
      <c r="H534" s="12">
        <f t="shared" ca="1" si="49"/>
        <v>-4</v>
      </c>
      <c r="I534" s="13">
        <f t="shared" ca="1" si="50"/>
        <v>-2</v>
      </c>
      <c r="J534" s="14">
        <f t="shared" ca="1" si="53"/>
        <v>12</v>
      </c>
      <c r="K534" s="12" t="s">
        <v>41</v>
      </c>
      <c r="L534" s="12">
        <v>44</v>
      </c>
      <c r="M534" s="12" t="s">
        <v>44</v>
      </c>
      <c r="N534" s="12">
        <v>117</v>
      </c>
    </row>
    <row r="535" spans="1:15">
      <c r="A535" s="12">
        <f t="shared" si="51"/>
        <v>534</v>
      </c>
      <c r="B535" s="12" t="s">
        <v>7</v>
      </c>
      <c r="C535" s="12" t="s">
        <v>455</v>
      </c>
      <c r="D535" s="12" t="s">
        <v>452</v>
      </c>
      <c r="E535" s="89">
        <f t="shared" ca="1" si="52"/>
        <v>40951</v>
      </c>
      <c r="F535" s="11">
        <f>DATE(2005,7,23)</f>
        <v>38556</v>
      </c>
      <c r="G535" s="12">
        <f t="shared" ca="1" si="48"/>
        <v>7</v>
      </c>
      <c r="H535" s="12">
        <f t="shared" ca="1" si="49"/>
        <v>-5</v>
      </c>
      <c r="I535" s="13">
        <f t="shared" ca="1" si="50"/>
        <v>-11</v>
      </c>
      <c r="J535" s="14">
        <f t="shared" ca="1" si="53"/>
        <v>6</v>
      </c>
      <c r="K535" s="12" t="s">
        <v>41</v>
      </c>
      <c r="L535" s="12">
        <v>44</v>
      </c>
      <c r="M535" s="12" t="s">
        <v>44</v>
      </c>
      <c r="N535" s="12">
        <v>117</v>
      </c>
    </row>
    <row r="536" spans="1:15">
      <c r="A536" s="12">
        <f t="shared" si="51"/>
        <v>535</v>
      </c>
      <c r="B536" s="12" t="s">
        <v>7</v>
      </c>
      <c r="C536" s="12" t="s">
        <v>143</v>
      </c>
      <c r="D536" s="12" t="s">
        <v>449</v>
      </c>
      <c r="E536" s="89">
        <f t="shared" ca="1" si="52"/>
        <v>40951</v>
      </c>
      <c r="F536" s="11">
        <f>DATE(69,10,3)</f>
        <v>25479</v>
      </c>
      <c r="G536" s="12">
        <f t="shared" ca="1" si="48"/>
        <v>43</v>
      </c>
      <c r="H536" s="12">
        <f t="shared" ca="1" si="49"/>
        <v>-8</v>
      </c>
      <c r="I536" s="13">
        <f t="shared" ca="1" si="50"/>
        <v>9</v>
      </c>
      <c r="J536" s="14">
        <f t="shared" ca="1" si="53"/>
        <v>42</v>
      </c>
      <c r="K536" s="12" t="s">
        <v>41</v>
      </c>
      <c r="L536" s="12">
        <v>44</v>
      </c>
      <c r="M536" s="12" t="s">
        <v>44</v>
      </c>
      <c r="N536" s="12">
        <v>117</v>
      </c>
    </row>
    <row r="537" spans="1:15">
      <c r="A537" s="12">
        <f t="shared" si="51"/>
        <v>536</v>
      </c>
      <c r="B537" s="12" t="s">
        <v>7</v>
      </c>
      <c r="C537" s="12" t="s">
        <v>456</v>
      </c>
      <c r="D537" s="12" t="s">
        <v>449</v>
      </c>
      <c r="E537" s="89">
        <f t="shared" ca="1" si="52"/>
        <v>40951</v>
      </c>
      <c r="F537" s="11">
        <f>DATE(71,5,26)</f>
        <v>26079</v>
      </c>
      <c r="G537" s="12">
        <f t="shared" ref="G537:G600" ca="1" si="54">YEAR(E537)-YEAR(F537)</f>
        <v>41</v>
      </c>
      <c r="H537" s="12">
        <f t="shared" ref="H537:H600" ca="1" si="55">MONTH(E537)-MONTH(F537)</f>
        <v>-3</v>
      </c>
      <c r="I537" s="13">
        <f t="shared" ref="I537:I600" ca="1" si="56">DAY(E537)-DAY(F537)</f>
        <v>-14</v>
      </c>
      <c r="J537" s="14">
        <f t="shared" ca="1" si="53"/>
        <v>40</v>
      </c>
      <c r="K537" s="12" t="s">
        <v>41</v>
      </c>
      <c r="L537" s="12">
        <v>44</v>
      </c>
      <c r="M537" s="12" t="s">
        <v>44</v>
      </c>
      <c r="N537" s="12">
        <v>117</v>
      </c>
    </row>
    <row r="538" spans="1:15">
      <c r="A538" s="12">
        <f t="shared" si="51"/>
        <v>537</v>
      </c>
      <c r="B538" s="12" t="s">
        <v>7</v>
      </c>
      <c r="C538" s="12" t="s">
        <v>277</v>
      </c>
      <c r="D538" s="12" t="s">
        <v>457</v>
      </c>
      <c r="E538" s="89">
        <f t="shared" ca="1" si="52"/>
        <v>40951</v>
      </c>
      <c r="F538" s="11">
        <f>DATE(57,7,10)</f>
        <v>21011</v>
      </c>
      <c r="G538" s="12">
        <f t="shared" ca="1" si="54"/>
        <v>55</v>
      </c>
      <c r="H538" s="12">
        <f t="shared" ca="1" si="55"/>
        <v>-5</v>
      </c>
      <c r="I538" s="13">
        <f t="shared" ca="1" si="56"/>
        <v>2</v>
      </c>
      <c r="J538" s="14">
        <f t="shared" ca="1" si="53"/>
        <v>54</v>
      </c>
      <c r="K538" s="12" t="s">
        <v>40</v>
      </c>
      <c r="L538" s="12">
        <v>44</v>
      </c>
      <c r="M538" s="12" t="s">
        <v>40</v>
      </c>
      <c r="N538" s="12">
        <v>118</v>
      </c>
      <c r="O538" s="90" t="s">
        <v>2748</v>
      </c>
    </row>
    <row r="539" spans="1:15">
      <c r="A539" s="12">
        <f t="shared" si="51"/>
        <v>538</v>
      </c>
      <c r="B539" s="12" t="s">
        <v>7</v>
      </c>
      <c r="C539" s="12" t="s">
        <v>113</v>
      </c>
      <c r="D539" s="12" t="s">
        <v>277</v>
      </c>
      <c r="E539" s="89">
        <f t="shared" ca="1" si="52"/>
        <v>40951</v>
      </c>
      <c r="F539" s="11">
        <f>DATE(66,1,16)</f>
        <v>24123</v>
      </c>
      <c r="G539" s="12">
        <f t="shared" ca="1" si="54"/>
        <v>46</v>
      </c>
      <c r="H539" s="12">
        <f t="shared" ca="1" si="55"/>
        <v>1</v>
      </c>
      <c r="I539" s="13">
        <f t="shared" ca="1" si="56"/>
        <v>-4</v>
      </c>
      <c r="J539" s="14">
        <f t="shared" ca="1" si="53"/>
        <v>46</v>
      </c>
      <c r="K539" s="12" t="s">
        <v>41</v>
      </c>
      <c r="L539" s="12">
        <v>44</v>
      </c>
      <c r="M539" s="12" t="s">
        <v>40</v>
      </c>
      <c r="N539" s="12">
        <v>118</v>
      </c>
    </row>
    <row r="540" spans="1:15">
      <c r="A540" s="12">
        <f t="shared" si="51"/>
        <v>539</v>
      </c>
      <c r="B540" s="12" t="s">
        <v>7</v>
      </c>
      <c r="C540" s="12" t="s">
        <v>169</v>
      </c>
      <c r="D540" s="12" t="s">
        <v>277</v>
      </c>
      <c r="E540" s="89">
        <f t="shared" ca="1" si="52"/>
        <v>40951</v>
      </c>
      <c r="F540" s="11">
        <f>DATE(85,3,7)</f>
        <v>31113</v>
      </c>
      <c r="G540" s="12">
        <f t="shared" ca="1" si="54"/>
        <v>27</v>
      </c>
      <c r="H540" s="12">
        <f t="shared" ca="1" si="55"/>
        <v>-1</v>
      </c>
      <c r="I540" s="13">
        <f t="shared" ca="1" si="56"/>
        <v>5</v>
      </c>
      <c r="J540" s="14">
        <f t="shared" ca="1" si="53"/>
        <v>26</v>
      </c>
      <c r="K540" s="12" t="s">
        <v>40</v>
      </c>
      <c r="L540" s="12">
        <v>44</v>
      </c>
      <c r="M540" s="12" t="s">
        <v>44</v>
      </c>
      <c r="N540" s="12">
        <v>118</v>
      </c>
    </row>
    <row r="541" spans="1:15">
      <c r="A541" s="12">
        <f t="shared" si="51"/>
        <v>540</v>
      </c>
      <c r="B541" s="12" t="s">
        <v>7</v>
      </c>
      <c r="C541" s="12" t="s">
        <v>100</v>
      </c>
      <c r="D541" s="12" t="s">
        <v>277</v>
      </c>
      <c r="E541" s="89">
        <f t="shared" ca="1" si="52"/>
        <v>40951</v>
      </c>
      <c r="F541" s="11">
        <f>DATE(86,2,7)</f>
        <v>31450</v>
      </c>
      <c r="G541" s="12">
        <f t="shared" ca="1" si="54"/>
        <v>26</v>
      </c>
      <c r="H541" s="12">
        <f t="shared" ca="1" si="55"/>
        <v>0</v>
      </c>
      <c r="I541" s="13">
        <f t="shared" ca="1" si="56"/>
        <v>5</v>
      </c>
      <c r="J541" s="14">
        <f t="shared" ca="1" si="53"/>
        <v>26</v>
      </c>
      <c r="K541" s="12" t="s">
        <v>41</v>
      </c>
      <c r="L541" s="12">
        <v>44</v>
      </c>
      <c r="M541" s="12" t="s">
        <v>44</v>
      </c>
      <c r="N541" s="12">
        <v>118</v>
      </c>
    </row>
    <row r="542" spans="1:15">
      <c r="A542" s="12">
        <f t="shared" ref="A542:A605" si="57">A541+1</f>
        <v>541</v>
      </c>
      <c r="B542" s="12" t="s">
        <v>7</v>
      </c>
      <c r="C542" s="12" t="s">
        <v>458</v>
      </c>
      <c r="D542" s="12" t="s">
        <v>277</v>
      </c>
      <c r="E542" s="89">
        <f t="shared" ca="1" si="52"/>
        <v>40951</v>
      </c>
      <c r="F542" s="11">
        <f>DATE(87,9,12)</f>
        <v>32032</v>
      </c>
      <c r="G542" s="12">
        <f t="shared" ca="1" si="54"/>
        <v>25</v>
      </c>
      <c r="H542" s="12">
        <f t="shared" ca="1" si="55"/>
        <v>-7</v>
      </c>
      <c r="I542" s="13">
        <f t="shared" ca="1" si="56"/>
        <v>0</v>
      </c>
      <c r="J542" s="14">
        <f t="shared" ca="1" si="53"/>
        <v>24</v>
      </c>
      <c r="K542" s="12" t="s">
        <v>41</v>
      </c>
      <c r="L542" s="12">
        <v>44</v>
      </c>
      <c r="M542" s="12" t="s">
        <v>44</v>
      </c>
      <c r="N542" s="12">
        <v>118</v>
      </c>
    </row>
    <row r="543" spans="1:15">
      <c r="A543" s="12">
        <f t="shared" si="57"/>
        <v>542</v>
      </c>
      <c r="B543" s="12" t="s">
        <v>7</v>
      </c>
      <c r="C543" s="12" t="s">
        <v>459</v>
      </c>
      <c r="D543" s="12" t="s">
        <v>184</v>
      </c>
      <c r="E543" s="89">
        <f t="shared" ca="1" si="52"/>
        <v>40951</v>
      </c>
      <c r="F543" s="11">
        <f>DATE(82,9,25)</f>
        <v>30219</v>
      </c>
      <c r="G543" s="12">
        <f t="shared" ca="1" si="54"/>
        <v>30</v>
      </c>
      <c r="H543" s="12">
        <f t="shared" ca="1" si="55"/>
        <v>-7</v>
      </c>
      <c r="I543" s="13">
        <f t="shared" ca="1" si="56"/>
        <v>-13</v>
      </c>
      <c r="J543" s="14">
        <f t="shared" ca="1" si="53"/>
        <v>29</v>
      </c>
      <c r="K543" s="12" t="s">
        <v>40</v>
      </c>
      <c r="L543" s="12">
        <v>44</v>
      </c>
      <c r="M543" s="12" t="s">
        <v>44</v>
      </c>
      <c r="N543" s="12">
        <v>118</v>
      </c>
    </row>
    <row r="544" spans="1:15">
      <c r="A544" s="12">
        <f t="shared" si="57"/>
        <v>543</v>
      </c>
      <c r="B544" s="12" t="s">
        <v>7</v>
      </c>
      <c r="C544" s="12" t="s">
        <v>208</v>
      </c>
      <c r="D544" s="12" t="s">
        <v>134</v>
      </c>
      <c r="E544" s="89">
        <f t="shared" ca="1" si="52"/>
        <v>40951</v>
      </c>
      <c r="F544" s="11">
        <f>DATE(67,3,27)</f>
        <v>24558</v>
      </c>
      <c r="G544" s="12">
        <f t="shared" ca="1" si="54"/>
        <v>45</v>
      </c>
      <c r="H544" s="12">
        <f t="shared" ca="1" si="55"/>
        <v>-1</v>
      </c>
      <c r="I544" s="13">
        <f t="shared" ca="1" si="56"/>
        <v>-15</v>
      </c>
      <c r="J544" s="14">
        <f t="shared" ca="1" si="53"/>
        <v>44</v>
      </c>
      <c r="K544" s="12" t="s">
        <v>40</v>
      </c>
      <c r="L544" s="12">
        <v>45</v>
      </c>
      <c r="M544" s="12" t="s">
        <v>40</v>
      </c>
      <c r="N544" s="12">
        <v>119</v>
      </c>
      <c r="O544" s="90" t="s">
        <v>2748</v>
      </c>
    </row>
    <row r="545" spans="1:15">
      <c r="A545" s="12">
        <f t="shared" si="57"/>
        <v>544</v>
      </c>
      <c r="B545" s="12" t="s">
        <v>7</v>
      </c>
      <c r="C545" s="12" t="s">
        <v>170</v>
      </c>
      <c r="D545" s="12" t="s">
        <v>208</v>
      </c>
      <c r="E545" s="89">
        <f t="shared" ca="1" si="52"/>
        <v>40951</v>
      </c>
      <c r="F545" s="11">
        <f>DATE(72,8,6)</f>
        <v>26517</v>
      </c>
      <c r="G545" s="12">
        <f t="shared" ca="1" si="54"/>
        <v>40</v>
      </c>
      <c r="H545" s="12">
        <f t="shared" ca="1" si="55"/>
        <v>-6</v>
      </c>
      <c r="I545" s="13">
        <f t="shared" ca="1" si="56"/>
        <v>6</v>
      </c>
      <c r="J545" s="14">
        <f t="shared" ca="1" si="53"/>
        <v>39</v>
      </c>
      <c r="K545" s="12" t="s">
        <v>41</v>
      </c>
      <c r="L545" s="12">
        <v>45</v>
      </c>
      <c r="M545" s="12" t="s">
        <v>40</v>
      </c>
      <c r="N545" s="12">
        <v>119</v>
      </c>
    </row>
    <row r="546" spans="1:15">
      <c r="A546" s="12">
        <f t="shared" si="57"/>
        <v>545</v>
      </c>
      <c r="B546" s="12" t="s">
        <v>7</v>
      </c>
      <c r="C546" s="12" t="s">
        <v>460</v>
      </c>
      <c r="D546" s="12" t="s">
        <v>208</v>
      </c>
      <c r="E546" s="89">
        <f t="shared" ref="E546:E610" ca="1" si="58">TODAY()</f>
        <v>40951</v>
      </c>
      <c r="F546" s="11">
        <f>DATE(97,1,29)</f>
        <v>35459</v>
      </c>
      <c r="G546" s="12">
        <f t="shared" ca="1" si="54"/>
        <v>15</v>
      </c>
      <c r="H546" s="12">
        <f t="shared" ca="1" si="55"/>
        <v>1</v>
      </c>
      <c r="I546" s="13">
        <f t="shared" ca="1" si="56"/>
        <v>-17</v>
      </c>
      <c r="J546" s="14">
        <f t="shared" ca="1" si="53"/>
        <v>15</v>
      </c>
      <c r="K546" s="12" t="s">
        <v>40</v>
      </c>
      <c r="L546" s="12">
        <v>45</v>
      </c>
      <c r="M546" s="12" t="s">
        <v>40</v>
      </c>
      <c r="N546" s="12">
        <v>119</v>
      </c>
    </row>
    <row r="547" spans="1:15">
      <c r="A547" s="12">
        <f t="shared" si="57"/>
        <v>546</v>
      </c>
      <c r="B547" s="12" t="s">
        <v>7</v>
      </c>
      <c r="C547" s="12" t="s">
        <v>461</v>
      </c>
      <c r="D547" s="12" t="s">
        <v>443</v>
      </c>
      <c r="E547" s="89">
        <f t="shared" ca="1" si="58"/>
        <v>40951</v>
      </c>
      <c r="F547" s="32"/>
      <c r="G547" s="12">
        <f t="shared" ca="1" si="54"/>
        <v>112</v>
      </c>
      <c r="H547" s="12">
        <f t="shared" ca="1" si="55"/>
        <v>1</v>
      </c>
      <c r="I547" s="13">
        <f t="shared" ca="1" si="56"/>
        <v>12</v>
      </c>
      <c r="J547" s="14">
        <f t="shared" ca="1" si="53"/>
        <v>112</v>
      </c>
      <c r="K547" s="12" t="s">
        <v>41</v>
      </c>
      <c r="L547" s="12">
        <v>45</v>
      </c>
      <c r="M547" s="12" t="s">
        <v>40</v>
      </c>
      <c r="N547" s="12">
        <v>120</v>
      </c>
      <c r="O547" s="90" t="s">
        <v>2748</v>
      </c>
    </row>
    <row r="548" spans="1:15">
      <c r="A548" s="12">
        <f t="shared" si="57"/>
        <v>547</v>
      </c>
      <c r="B548" s="12" t="s">
        <v>7</v>
      </c>
      <c r="C548" s="12" t="s">
        <v>49</v>
      </c>
      <c r="D548" s="12" t="s">
        <v>443</v>
      </c>
      <c r="E548" s="89">
        <f t="shared" ca="1" si="58"/>
        <v>40951</v>
      </c>
      <c r="F548" s="11">
        <f>DATE(56,10,28)</f>
        <v>20756</v>
      </c>
      <c r="G548" s="12">
        <f t="shared" ca="1" si="54"/>
        <v>56</v>
      </c>
      <c r="H548" s="12">
        <f t="shared" ca="1" si="55"/>
        <v>-8</v>
      </c>
      <c r="I548" s="13">
        <f t="shared" ca="1" si="56"/>
        <v>-16</v>
      </c>
      <c r="J548" s="14">
        <f t="shared" ca="1" si="53"/>
        <v>55</v>
      </c>
      <c r="K548" s="12" t="s">
        <v>40</v>
      </c>
      <c r="L548" s="12">
        <v>45</v>
      </c>
      <c r="M548" s="12" t="s">
        <v>40</v>
      </c>
      <c r="N548" s="12">
        <v>120</v>
      </c>
    </row>
    <row r="549" spans="1:15">
      <c r="A549" s="12">
        <f t="shared" si="57"/>
        <v>548</v>
      </c>
      <c r="B549" s="12" t="s">
        <v>7</v>
      </c>
      <c r="C549" s="12" t="s">
        <v>462</v>
      </c>
      <c r="D549" s="12" t="s">
        <v>49</v>
      </c>
      <c r="E549" s="89">
        <f t="shared" ca="1" si="58"/>
        <v>40951</v>
      </c>
      <c r="F549" s="11">
        <f>DATE(63,3,31)</f>
        <v>23101</v>
      </c>
      <c r="G549" s="12">
        <f t="shared" ca="1" si="54"/>
        <v>49</v>
      </c>
      <c r="H549" s="12">
        <f t="shared" ca="1" si="55"/>
        <v>-1</v>
      </c>
      <c r="I549" s="13">
        <f t="shared" ca="1" si="56"/>
        <v>-19</v>
      </c>
      <c r="J549" s="14">
        <f t="shared" ca="1" si="53"/>
        <v>48</v>
      </c>
      <c r="K549" s="12" t="s">
        <v>41</v>
      </c>
      <c r="L549" s="12">
        <v>45</v>
      </c>
      <c r="M549" s="12" t="s">
        <v>40</v>
      </c>
      <c r="N549" s="12">
        <v>120</v>
      </c>
    </row>
    <row r="550" spans="1:15">
      <c r="A550" s="12">
        <f t="shared" si="57"/>
        <v>549</v>
      </c>
      <c r="B550" s="12" t="s">
        <v>7</v>
      </c>
      <c r="C550" s="12" t="s">
        <v>301</v>
      </c>
      <c r="D550" s="12" t="s">
        <v>49</v>
      </c>
      <c r="E550" s="89">
        <f t="shared" ca="1" si="58"/>
        <v>40951</v>
      </c>
      <c r="F550" s="11">
        <f>DATE(83,3,11)</f>
        <v>30386</v>
      </c>
      <c r="G550" s="12">
        <f t="shared" ca="1" si="54"/>
        <v>29</v>
      </c>
      <c r="H550" s="12">
        <f t="shared" ca="1" si="55"/>
        <v>-1</v>
      </c>
      <c r="I550" s="13">
        <f t="shared" ca="1" si="56"/>
        <v>1</v>
      </c>
      <c r="J550" s="14">
        <f t="shared" ca="1" si="53"/>
        <v>28</v>
      </c>
      <c r="K550" s="12" t="s">
        <v>40</v>
      </c>
      <c r="L550" s="12">
        <v>45</v>
      </c>
      <c r="M550" s="12" t="s">
        <v>44</v>
      </c>
      <c r="N550" s="12">
        <v>120</v>
      </c>
    </row>
    <row r="551" spans="1:15">
      <c r="A551" s="12">
        <f t="shared" si="57"/>
        <v>550</v>
      </c>
      <c r="B551" s="12" t="s">
        <v>7</v>
      </c>
      <c r="C551" s="12" t="s">
        <v>385</v>
      </c>
      <c r="D551" s="12" t="s">
        <v>49</v>
      </c>
      <c r="E551" s="89">
        <f t="shared" ca="1" si="58"/>
        <v>40951</v>
      </c>
      <c r="F551" s="11">
        <f>DATE(88,4,22)</f>
        <v>32255</v>
      </c>
      <c r="G551" s="12">
        <f t="shared" ca="1" si="54"/>
        <v>24</v>
      </c>
      <c r="H551" s="12">
        <f t="shared" ca="1" si="55"/>
        <v>-2</v>
      </c>
      <c r="I551" s="13">
        <f t="shared" ca="1" si="56"/>
        <v>-10</v>
      </c>
      <c r="J551" s="14">
        <f t="shared" ca="1" si="53"/>
        <v>23</v>
      </c>
      <c r="K551" s="12" t="s">
        <v>41</v>
      </c>
      <c r="L551" s="12">
        <v>45</v>
      </c>
      <c r="M551" s="12" t="s">
        <v>44</v>
      </c>
      <c r="N551" s="12">
        <v>120</v>
      </c>
    </row>
    <row r="552" spans="1:15">
      <c r="A552" s="12">
        <f t="shared" si="57"/>
        <v>551</v>
      </c>
      <c r="B552" s="12" t="s">
        <v>7</v>
      </c>
      <c r="C552" s="12" t="s">
        <v>463</v>
      </c>
      <c r="D552" s="12" t="s">
        <v>443</v>
      </c>
      <c r="E552" s="89">
        <f t="shared" ca="1" si="58"/>
        <v>40951</v>
      </c>
      <c r="F552" s="11">
        <f>DATE(58,9,13)</f>
        <v>21441</v>
      </c>
      <c r="G552" s="12">
        <f t="shared" ca="1" si="54"/>
        <v>54</v>
      </c>
      <c r="H552" s="12">
        <f t="shared" ca="1" si="55"/>
        <v>-7</v>
      </c>
      <c r="I552" s="13">
        <f t="shared" ca="1" si="56"/>
        <v>-1</v>
      </c>
      <c r="J552" s="14">
        <f t="shared" ca="1" si="53"/>
        <v>53</v>
      </c>
      <c r="K552" s="12" t="s">
        <v>40</v>
      </c>
      <c r="L552" s="12">
        <v>45</v>
      </c>
      <c r="M552" s="12" t="s">
        <v>40</v>
      </c>
      <c r="N552" s="12">
        <v>120</v>
      </c>
    </row>
    <row r="553" spans="1:15">
      <c r="A553" s="12">
        <f t="shared" si="57"/>
        <v>552</v>
      </c>
      <c r="B553" s="12" t="s">
        <v>7</v>
      </c>
      <c r="C553" s="12" t="s">
        <v>464</v>
      </c>
      <c r="D553" s="12" t="s">
        <v>463</v>
      </c>
      <c r="E553" s="89">
        <f t="shared" ca="1" si="58"/>
        <v>40951</v>
      </c>
      <c r="F553" s="11">
        <f>DATE(66,7,17)</f>
        <v>24305</v>
      </c>
      <c r="G553" s="12">
        <f t="shared" ca="1" si="54"/>
        <v>46</v>
      </c>
      <c r="H553" s="12">
        <f t="shared" ca="1" si="55"/>
        <v>-5</v>
      </c>
      <c r="I553" s="13">
        <f t="shared" ca="1" si="56"/>
        <v>-5</v>
      </c>
      <c r="J553" s="14">
        <f t="shared" ca="1" si="53"/>
        <v>45</v>
      </c>
      <c r="K553" s="12" t="s">
        <v>41</v>
      </c>
      <c r="L553" s="12">
        <v>45</v>
      </c>
      <c r="M553" s="12" t="s">
        <v>40</v>
      </c>
      <c r="N553" s="12">
        <v>120</v>
      </c>
    </row>
    <row r="554" spans="1:15">
      <c r="A554" s="12">
        <f t="shared" si="57"/>
        <v>553</v>
      </c>
      <c r="B554" s="12" t="s">
        <v>7</v>
      </c>
      <c r="C554" s="12" t="s">
        <v>183</v>
      </c>
      <c r="D554" s="12" t="s">
        <v>463</v>
      </c>
      <c r="E554" s="89">
        <f t="shared" ca="1" si="58"/>
        <v>40951</v>
      </c>
      <c r="F554" s="11">
        <f>DATE(85,1,19)</f>
        <v>31066</v>
      </c>
      <c r="G554" s="12">
        <f t="shared" ca="1" si="54"/>
        <v>27</v>
      </c>
      <c r="H554" s="12">
        <f t="shared" ca="1" si="55"/>
        <v>1</v>
      </c>
      <c r="I554" s="13">
        <f t="shared" ca="1" si="56"/>
        <v>-7</v>
      </c>
      <c r="J554" s="14">
        <f t="shared" ca="1" si="53"/>
        <v>27</v>
      </c>
      <c r="K554" s="12" t="s">
        <v>40</v>
      </c>
      <c r="L554" s="12">
        <v>45</v>
      </c>
      <c r="M554" s="12" t="s">
        <v>44</v>
      </c>
      <c r="N554" s="12">
        <v>120</v>
      </c>
    </row>
    <row r="555" spans="1:15">
      <c r="A555" s="12">
        <f t="shared" si="57"/>
        <v>554</v>
      </c>
      <c r="B555" s="12" t="s">
        <v>7</v>
      </c>
      <c r="C555" s="12" t="s">
        <v>465</v>
      </c>
      <c r="D555" s="12" t="s">
        <v>443</v>
      </c>
      <c r="E555" s="89">
        <f t="shared" ca="1" si="58"/>
        <v>40951</v>
      </c>
      <c r="F555" s="11">
        <f>DATE(62,10,6)</f>
        <v>22925</v>
      </c>
      <c r="G555" s="12">
        <f t="shared" ca="1" si="54"/>
        <v>50</v>
      </c>
      <c r="H555" s="12">
        <f t="shared" ca="1" si="55"/>
        <v>-8</v>
      </c>
      <c r="I555" s="13">
        <f t="shared" ca="1" si="56"/>
        <v>6</v>
      </c>
      <c r="J555" s="14">
        <f t="shared" ca="1" si="53"/>
        <v>49</v>
      </c>
      <c r="K555" s="12" t="s">
        <v>40</v>
      </c>
      <c r="L555" s="12">
        <v>45</v>
      </c>
      <c r="M555" s="12" t="s">
        <v>40</v>
      </c>
      <c r="N555" s="12">
        <v>120</v>
      </c>
    </row>
    <row r="556" spans="1:15">
      <c r="A556" s="12">
        <f t="shared" si="57"/>
        <v>555</v>
      </c>
      <c r="B556" s="12" t="s">
        <v>7</v>
      </c>
      <c r="C556" s="12" t="s">
        <v>81</v>
      </c>
      <c r="D556" s="12" t="s">
        <v>465</v>
      </c>
      <c r="E556" s="89">
        <f t="shared" ca="1" si="58"/>
        <v>40951</v>
      </c>
      <c r="F556" s="11">
        <f>DATE(66,10,16)</f>
        <v>24396</v>
      </c>
      <c r="G556" s="12">
        <f t="shared" ca="1" si="54"/>
        <v>46</v>
      </c>
      <c r="H556" s="12">
        <f t="shared" ca="1" si="55"/>
        <v>-8</v>
      </c>
      <c r="I556" s="13">
        <f t="shared" ca="1" si="56"/>
        <v>-4</v>
      </c>
      <c r="J556" s="14">
        <f t="shared" ca="1" si="53"/>
        <v>45</v>
      </c>
      <c r="K556" s="12" t="s">
        <v>41</v>
      </c>
      <c r="L556" s="12">
        <v>45</v>
      </c>
      <c r="M556" s="12" t="s">
        <v>40</v>
      </c>
      <c r="N556" s="12">
        <v>120</v>
      </c>
    </row>
    <row r="557" spans="1:15">
      <c r="A557" s="12">
        <f t="shared" si="57"/>
        <v>556</v>
      </c>
      <c r="B557" s="12" t="s">
        <v>7</v>
      </c>
      <c r="C557" s="12" t="s">
        <v>74</v>
      </c>
      <c r="D557" s="12" t="s">
        <v>465</v>
      </c>
      <c r="E557" s="89">
        <f t="shared" ca="1" si="58"/>
        <v>40951</v>
      </c>
      <c r="F557" s="44">
        <f>DATE(89,10,16)</f>
        <v>32797</v>
      </c>
      <c r="G557" s="12">
        <f t="shared" ca="1" si="54"/>
        <v>23</v>
      </c>
      <c r="H557" s="12">
        <f t="shared" ca="1" si="55"/>
        <v>-8</v>
      </c>
      <c r="I557" s="13">
        <f t="shared" ca="1" si="56"/>
        <v>-4</v>
      </c>
      <c r="J557" s="14">
        <f t="shared" ca="1" si="53"/>
        <v>22</v>
      </c>
      <c r="K557" s="12" t="s">
        <v>41</v>
      </c>
      <c r="L557" s="12">
        <v>45</v>
      </c>
      <c r="M557" s="12" t="s">
        <v>44</v>
      </c>
      <c r="N557" s="12">
        <v>120</v>
      </c>
    </row>
    <row r="558" spans="1:15">
      <c r="A558" s="12">
        <f t="shared" si="57"/>
        <v>557</v>
      </c>
      <c r="B558" s="12" t="s">
        <v>7</v>
      </c>
      <c r="C558" s="12" t="s">
        <v>361</v>
      </c>
      <c r="D558" s="12" t="s">
        <v>465</v>
      </c>
      <c r="E558" s="89">
        <f t="shared" ca="1" si="58"/>
        <v>40951</v>
      </c>
      <c r="F558" s="11">
        <f>DATE(92,5,26)</f>
        <v>33750</v>
      </c>
      <c r="G558" s="12">
        <f t="shared" ca="1" si="54"/>
        <v>20</v>
      </c>
      <c r="H558" s="12">
        <f t="shared" ca="1" si="55"/>
        <v>-3</v>
      </c>
      <c r="I558" s="13">
        <f t="shared" ca="1" si="56"/>
        <v>-14</v>
      </c>
      <c r="J558" s="14">
        <f t="shared" ca="1" si="53"/>
        <v>19</v>
      </c>
      <c r="K558" s="12" t="s">
        <v>41</v>
      </c>
      <c r="L558" s="12">
        <v>45</v>
      </c>
      <c r="M558" s="12" t="s">
        <v>44</v>
      </c>
      <c r="N558" s="12">
        <v>120</v>
      </c>
    </row>
    <row r="559" spans="1:15">
      <c r="A559" s="12">
        <f t="shared" si="57"/>
        <v>558</v>
      </c>
      <c r="B559" s="12" t="s">
        <v>7</v>
      </c>
      <c r="C559" s="12" t="s">
        <v>339</v>
      </c>
      <c r="D559" s="12" t="s">
        <v>465</v>
      </c>
      <c r="E559" s="89">
        <f t="shared" ca="1" si="58"/>
        <v>40951</v>
      </c>
      <c r="F559" s="11">
        <f>DATE(98,3,10)</f>
        <v>35864</v>
      </c>
      <c r="G559" s="12">
        <f t="shared" ca="1" si="54"/>
        <v>14</v>
      </c>
      <c r="H559" s="12">
        <f t="shared" ca="1" si="55"/>
        <v>-1</v>
      </c>
      <c r="I559" s="13">
        <f t="shared" ca="1" si="56"/>
        <v>2</v>
      </c>
      <c r="J559" s="14">
        <f t="shared" ca="1" si="53"/>
        <v>13</v>
      </c>
      <c r="K559" s="12" t="s">
        <v>40</v>
      </c>
      <c r="L559" s="12">
        <v>45</v>
      </c>
      <c r="M559" s="12" t="s">
        <v>44</v>
      </c>
      <c r="N559" s="12">
        <v>120</v>
      </c>
    </row>
    <row r="560" spans="1:15">
      <c r="A560" s="12">
        <f t="shared" si="57"/>
        <v>559</v>
      </c>
      <c r="B560" s="12" t="s">
        <v>7</v>
      </c>
      <c r="C560" s="12" t="s">
        <v>348</v>
      </c>
      <c r="D560" s="12" t="s">
        <v>435</v>
      </c>
      <c r="E560" s="89">
        <f t="shared" ca="1" si="58"/>
        <v>40951</v>
      </c>
      <c r="F560" s="11">
        <f>DATE(58,7,15)</f>
        <v>21381</v>
      </c>
      <c r="G560" s="12">
        <f t="shared" ca="1" si="54"/>
        <v>54</v>
      </c>
      <c r="H560" s="12">
        <f t="shared" ca="1" si="55"/>
        <v>-5</v>
      </c>
      <c r="I560" s="13">
        <f t="shared" ca="1" si="56"/>
        <v>-3</v>
      </c>
      <c r="J560" s="14">
        <f t="shared" ca="1" si="53"/>
        <v>53</v>
      </c>
      <c r="K560" s="12" t="s">
        <v>40</v>
      </c>
      <c r="L560" s="12">
        <v>46</v>
      </c>
      <c r="M560" s="12" t="s">
        <v>40</v>
      </c>
      <c r="N560" s="12">
        <v>121</v>
      </c>
      <c r="O560" s="90" t="s">
        <v>2748</v>
      </c>
    </row>
    <row r="561" spans="1:15">
      <c r="A561" s="12">
        <f t="shared" si="57"/>
        <v>560</v>
      </c>
      <c r="B561" s="12" t="s">
        <v>7</v>
      </c>
      <c r="C561" s="12" t="s">
        <v>364</v>
      </c>
      <c r="D561" s="12" t="s">
        <v>348</v>
      </c>
      <c r="E561" s="89">
        <f t="shared" ca="1" si="58"/>
        <v>40951</v>
      </c>
      <c r="F561" s="11">
        <f>DATE(66,10,12)</f>
        <v>24392</v>
      </c>
      <c r="G561" s="12">
        <f t="shared" ca="1" si="54"/>
        <v>46</v>
      </c>
      <c r="H561" s="12">
        <f t="shared" ca="1" si="55"/>
        <v>-8</v>
      </c>
      <c r="I561" s="13">
        <f t="shared" ca="1" si="56"/>
        <v>0</v>
      </c>
      <c r="J561" s="14">
        <f t="shared" ca="1" si="53"/>
        <v>45</v>
      </c>
      <c r="K561" s="12" t="s">
        <v>41</v>
      </c>
      <c r="L561" s="12">
        <v>46</v>
      </c>
      <c r="M561" s="12" t="s">
        <v>40</v>
      </c>
      <c r="N561" s="12">
        <v>121</v>
      </c>
    </row>
    <row r="562" spans="1:15">
      <c r="A562" s="12">
        <f t="shared" si="57"/>
        <v>561</v>
      </c>
      <c r="B562" s="12" t="s">
        <v>7</v>
      </c>
      <c r="C562" s="12" t="s">
        <v>466</v>
      </c>
      <c r="D562" s="12" t="s">
        <v>348</v>
      </c>
      <c r="E562" s="89">
        <f t="shared" ca="1" si="58"/>
        <v>40951</v>
      </c>
      <c r="F562" s="11">
        <f>DATE(92,11,23)</f>
        <v>33931</v>
      </c>
      <c r="G562" s="12">
        <f t="shared" ca="1" si="54"/>
        <v>20</v>
      </c>
      <c r="H562" s="12">
        <f t="shared" ca="1" si="55"/>
        <v>-9</v>
      </c>
      <c r="I562" s="13">
        <f t="shared" ca="1" si="56"/>
        <v>-11</v>
      </c>
      <c r="J562" s="14">
        <f t="shared" ca="1" si="53"/>
        <v>19</v>
      </c>
      <c r="K562" s="12" t="s">
        <v>40</v>
      </c>
      <c r="L562" s="12">
        <v>46</v>
      </c>
      <c r="M562" s="12" t="s">
        <v>44</v>
      </c>
      <c r="N562" s="12">
        <v>121</v>
      </c>
    </row>
    <row r="563" spans="1:15">
      <c r="A563" s="12">
        <f t="shared" si="57"/>
        <v>562</v>
      </c>
      <c r="B563" s="12" t="s">
        <v>7</v>
      </c>
      <c r="C563" s="12" t="s">
        <v>467</v>
      </c>
      <c r="D563" s="12" t="s">
        <v>417</v>
      </c>
      <c r="E563" s="89">
        <f t="shared" ca="1" si="58"/>
        <v>40951</v>
      </c>
      <c r="F563" s="11">
        <f>DATE(57,4,22)</f>
        <v>20932</v>
      </c>
      <c r="G563" s="12">
        <f t="shared" ca="1" si="54"/>
        <v>55</v>
      </c>
      <c r="H563" s="12">
        <f t="shared" ca="1" si="55"/>
        <v>-2</v>
      </c>
      <c r="I563" s="13">
        <f t="shared" ca="1" si="56"/>
        <v>-10</v>
      </c>
      <c r="J563" s="14">
        <f t="shared" ca="1" si="53"/>
        <v>54</v>
      </c>
      <c r="K563" s="12" t="s">
        <v>40</v>
      </c>
      <c r="L563" s="12">
        <v>46</v>
      </c>
      <c r="M563" s="12" t="s">
        <v>40</v>
      </c>
      <c r="N563" s="12">
        <v>122</v>
      </c>
      <c r="O563" s="90" t="s">
        <v>2748</v>
      </c>
    </row>
    <row r="564" spans="1:15">
      <c r="A564" s="12">
        <f t="shared" si="57"/>
        <v>563</v>
      </c>
      <c r="B564" s="12" t="s">
        <v>7</v>
      </c>
      <c r="C564" s="12" t="s">
        <v>113</v>
      </c>
      <c r="D564" s="12" t="s">
        <v>467</v>
      </c>
      <c r="E564" s="89">
        <f t="shared" ca="1" si="58"/>
        <v>40951</v>
      </c>
      <c r="F564" s="11">
        <f>DATE(62,9,17)</f>
        <v>22906</v>
      </c>
      <c r="G564" s="12">
        <f t="shared" ca="1" si="54"/>
        <v>50</v>
      </c>
      <c r="H564" s="12">
        <f t="shared" ca="1" si="55"/>
        <v>-7</v>
      </c>
      <c r="I564" s="13">
        <f t="shared" ca="1" si="56"/>
        <v>-5</v>
      </c>
      <c r="J564" s="14">
        <f t="shared" ca="1" si="53"/>
        <v>49</v>
      </c>
      <c r="K564" s="12" t="s">
        <v>40</v>
      </c>
      <c r="L564" s="12">
        <v>46</v>
      </c>
      <c r="M564" s="12" t="s">
        <v>40</v>
      </c>
      <c r="N564" s="12">
        <v>122</v>
      </c>
    </row>
    <row r="565" spans="1:15">
      <c r="A565" s="12">
        <f t="shared" si="57"/>
        <v>564</v>
      </c>
      <c r="B565" s="12" t="s">
        <v>7</v>
      </c>
      <c r="C565" s="12" t="s">
        <v>468</v>
      </c>
      <c r="D565" s="12" t="s">
        <v>467</v>
      </c>
      <c r="E565" s="89">
        <f t="shared" ca="1" si="58"/>
        <v>40951</v>
      </c>
      <c r="F565" s="11">
        <f>DATE(85,7,27)</f>
        <v>31255</v>
      </c>
      <c r="G565" s="12">
        <f t="shared" ca="1" si="54"/>
        <v>27</v>
      </c>
      <c r="H565" s="12">
        <f t="shared" ca="1" si="55"/>
        <v>-5</v>
      </c>
      <c r="I565" s="13">
        <f t="shared" ca="1" si="56"/>
        <v>-15</v>
      </c>
      <c r="J565" s="14">
        <f t="shared" ca="1" si="53"/>
        <v>26</v>
      </c>
      <c r="K565" s="12" t="s">
        <v>41</v>
      </c>
      <c r="L565" s="12">
        <v>46</v>
      </c>
      <c r="M565" s="12" t="s">
        <v>44</v>
      </c>
      <c r="N565" s="12">
        <v>122</v>
      </c>
    </row>
    <row r="566" spans="1:15">
      <c r="A566" s="12">
        <f t="shared" si="57"/>
        <v>565</v>
      </c>
      <c r="B566" s="12" t="s">
        <v>7</v>
      </c>
      <c r="C566" s="12" t="s">
        <v>463</v>
      </c>
      <c r="D566" s="12" t="s">
        <v>469</v>
      </c>
      <c r="E566" s="89">
        <f t="shared" ca="1" si="58"/>
        <v>40951</v>
      </c>
      <c r="F566" s="11">
        <f>DATE(56,12,23)</f>
        <v>20812</v>
      </c>
      <c r="G566" s="12">
        <f t="shared" ca="1" si="54"/>
        <v>56</v>
      </c>
      <c r="H566" s="12">
        <f t="shared" ca="1" si="55"/>
        <v>-10</v>
      </c>
      <c r="I566" s="13">
        <f t="shared" ca="1" si="56"/>
        <v>-11</v>
      </c>
      <c r="J566" s="14">
        <f t="shared" ca="1" si="53"/>
        <v>55</v>
      </c>
      <c r="K566" s="12" t="s">
        <v>40</v>
      </c>
      <c r="L566" s="12">
        <v>46</v>
      </c>
      <c r="M566" s="12" t="s">
        <v>40</v>
      </c>
      <c r="N566" s="12">
        <v>123</v>
      </c>
      <c r="O566" s="90" t="s">
        <v>2748</v>
      </c>
    </row>
    <row r="567" spans="1:15">
      <c r="A567" s="12">
        <f t="shared" si="57"/>
        <v>566</v>
      </c>
      <c r="B567" s="12" t="s">
        <v>7</v>
      </c>
      <c r="C567" s="12" t="s">
        <v>470</v>
      </c>
      <c r="D567" s="12" t="s">
        <v>463</v>
      </c>
      <c r="E567" s="89">
        <f t="shared" ca="1" si="58"/>
        <v>40951</v>
      </c>
      <c r="F567" s="11">
        <f>DATE(61,7,7)</f>
        <v>22469</v>
      </c>
      <c r="G567" s="12">
        <f t="shared" ca="1" si="54"/>
        <v>51</v>
      </c>
      <c r="H567" s="12">
        <f t="shared" ca="1" si="55"/>
        <v>-5</v>
      </c>
      <c r="I567" s="13">
        <f t="shared" ca="1" si="56"/>
        <v>5</v>
      </c>
      <c r="J567" s="14">
        <f t="shared" ca="1" si="53"/>
        <v>50</v>
      </c>
      <c r="K567" s="12" t="s">
        <v>41</v>
      </c>
      <c r="L567" s="12">
        <v>46</v>
      </c>
      <c r="M567" s="12" t="s">
        <v>40</v>
      </c>
      <c r="N567" s="12">
        <v>123</v>
      </c>
    </row>
    <row r="568" spans="1:15">
      <c r="A568" s="12">
        <f t="shared" si="57"/>
        <v>567</v>
      </c>
      <c r="B568" s="12" t="s">
        <v>7</v>
      </c>
      <c r="C568" s="12" t="s">
        <v>471</v>
      </c>
      <c r="D568" s="12" t="s">
        <v>463</v>
      </c>
      <c r="E568" s="89">
        <f t="shared" ca="1" si="58"/>
        <v>40951</v>
      </c>
      <c r="F568" s="11">
        <f>DATE(86,9,28)</f>
        <v>31683</v>
      </c>
      <c r="G568" s="12">
        <f t="shared" ca="1" si="54"/>
        <v>26</v>
      </c>
      <c r="H568" s="12">
        <f t="shared" ca="1" si="55"/>
        <v>-7</v>
      </c>
      <c r="I568" s="13">
        <f t="shared" ca="1" si="56"/>
        <v>-16</v>
      </c>
      <c r="J568" s="14">
        <f t="shared" ca="1" si="53"/>
        <v>25</v>
      </c>
      <c r="K568" s="12" t="s">
        <v>41</v>
      </c>
      <c r="L568" s="12">
        <v>46</v>
      </c>
      <c r="M568" s="12" t="s">
        <v>44</v>
      </c>
      <c r="N568" s="12">
        <v>123</v>
      </c>
    </row>
    <row r="569" spans="1:15">
      <c r="A569" s="12">
        <f t="shared" si="57"/>
        <v>568</v>
      </c>
      <c r="B569" s="12" t="s">
        <v>7</v>
      </c>
      <c r="C569" s="12" t="s">
        <v>472</v>
      </c>
      <c r="D569" s="12" t="s">
        <v>463</v>
      </c>
      <c r="E569" s="89">
        <f t="shared" ca="1" si="58"/>
        <v>40951</v>
      </c>
      <c r="F569" s="11">
        <f>DATE(93,9,17)</f>
        <v>34229</v>
      </c>
      <c r="G569" s="12">
        <f t="shared" ca="1" si="54"/>
        <v>19</v>
      </c>
      <c r="H569" s="12">
        <f t="shared" ca="1" si="55"/>
        <v>-7</v>
      </c>
      <c r="I569" s="13">
        <f t="shared" ca="1" si="56"/>
        <v>-5</v>
      </c>
      <c r="J569" s="14">
        <f t="shared" ca="1" si="53"/>
        <v>18</v>
      </c>
      <c r="K569" s="12" t="s">
        <v>40</v>
      </c>
      <c r="L569" s="12">
        <v>46</v>
      </c>
      <c r="M569" s="12" t="s">
        <v>44</v>
      </c>
      <c r="N569" s="12">
        <v>123</v>
      </c>
    </row>
    <row r="570" spans="1:15">
      <c r="A570" s="12">
        <f t="shared" si="57"/>
        <v>569</v>
      </c>
      <c r="B570" s="12" t="s">
        <v>7</v>
      </c>
      <c r="C570" s="12" t="s">
        <v>473</v>
      </c>
      <c r="D570" s="12" t="s">
        <v>65</v>
      </c>
      <c r="E570" s="89">
        <f t="shared" ca="1" si="58"/>
        <v>40951</v>
      </c>
      <c r="F570" s="11">
        <f>DATE(70,1,13)</f>
        <v>25581</v>
      </c>
      <c r="G570" s="12">
        <f t="shared" ca="1" si="54"/>
        <v>42</v>
      </c>
      <c r="H570" s="12">
        <f t="shared" ca="1" si="55"/>
        <v>1</v>
      </c>
      <c r="I570" s="13">
        <f t="shared" ca="1" si="56"/>
        <v>-1</v>
      </c>
      <c r="J570" s="14">
        <f t="shared" ca="1" si="53"/>
        <v>42</v>
      </c>
      <c r="K570" s="12" t="s">
        <v>40</v>
      </c>
      <c r="L570" s="12">
        <v>47</v>
      </c>
      <c r="M570" s="12" t="s">
        <v>40</v>
      </c>
      <c r="N570" s="12">
        <v>124</v>
      </c>
      <c r="O570" s="90" t="s">
        <v>2748</v>
      </c>
    </row>
    <row r="571" spans="1:15">
      <c r="A571" s="12">
        <f t="shared" si="57"/>
        <v>570</v>
      </c>
      <c r="B571" s="12" t="s">
        <v>7</v>
      </c>
      <c r="C571" s="12" t="s">
        <v>302</v>
      </c>
      <c r="D571" s="12" t="s">
        <v>473</v>
      </c>
      <c r="E571" s="89">
        <f t="shared" ca="1" si="58"/>
        <v>40951</v>
      </c>
      <c r="F571" s="11">
        <f>DATE(70,8,24)</f>
        <v>25804</v>
      </c>
      <c r="G571" s="12">
        <f t="shared" ca="1" si="54"/>
        <v>42</v>
      </c>
      <c r="H571" s="12">
        <f t="shared" ca="1" si="55"/>
        <v>-6</v>
      </c>
      <c r="I571" s="13">
        <f t="shared" ca="1" si="56"/>
        <v>-12</v>
      </c>
      <c r="J571" s="14">
        <f t="shared" ca="1" si="53"/>
        <v>41</v>
      </c>
      <c r="K571" s="12" t="s">
        <v>41</v>
      </c>
      <c r="L571" s="12">
        <v>47</v>
      </c>
      <c r="M571" s="12" t="s">
        <v>40</v>
      </c>
      <c r="N571" s="12">
        <v>124</v>
      </c>
    </row>
    <row r="572" spans="1:15">
      <c r="A572" s="12">
        <f t="shared" si="57"/>
        <v>571</v>
      </c>
      <c r="B572" s="12" t="s">
        <v>7</v>
      </c>
      <c r="C572" s="12" t="s">
        <v>151</v>
      </c>
      <c r="D572" s="12" t="s">
        <v>473</v>
      </c>
      <c r="E572" s="89">
        <f t="shared" ca="1" si="58"/>
        <v>40951</v>
      </c>
      <c r="F572" s="11">
        <f>DATE(98,7,4)</f>
        <v>35980</v>
      </c>
      <c r="G572" s="12">
        <f t="shared" ca="1" si="54"/>
        <v>14</v>
      </c>
      <c r="H572" s="12">
        <f t="shared" ca="1" si="55"/>
        <v>-5</v>
      </c>
      <c r="I572" s="13">
        <f t="shared" ca="1" si="56"/>
        <v>8</v>
      </c>
      <c r="J572" s="14">
        <f t="shared" ca="1" si="53"/>
        <v>13</v>
      </c>
      <c r="K572" s="12" t="s">
        <v>40</v>
      </c>
      <c r="L572" s="12">
        <v>47</v>
      </c>
      <c r="M572" s="12" t="s">
        <v>44</v>
      </c>
      <c r="N572" s="12">
        <v>124</v>
      </c>
    </row>
    <row r="573" spans="1:15">
      <c r="A573" s="12">
        <f t="shared" si="57"/>
        <v>572</v>
      </c>
      <c r="B573" s="12" t="s">
        <v>7</v>
      </c>
      <c r="C573" s="12" t="s">
        <v>474</v>
      </c>
      <c r="D573" s="12" t="s">
        <v>473</v>
      </c>
      <c r="E573" s="89">
        <f t="shared" ca="1" si="58"/>
        <v>40951</v>
      </c>
      <c r="F573" s="11">
        <f>DATE(2002,6,24)</f>
        <v>37431</v>
      </c>
      <c r="G573" s="12">
        <f t="shared" ca="1" si="54"/>
        <v>10</v>
      </c>
      <c r="H573" s="12">
        <f t="shared" ca="1" si="55"/>
        <v>-4</v>
      </c>
      <c r="I573" s="13">
        <f t="shared" ca="1" si="56"/>
        <v>-12</v>
      </c>
      <c r="J573" s="14">
        <f t="shared" ca="1" si="53"/>
        <v>9</v>
      </c>
      <c r="K573" s="12" t="s">
        <v>41</v>
      </c>
      <c r="L573" s="12">
        <v>47</v>
      </c>
      <c r="M573" s="12" t="s">
        <v>44</v>
      </c>
      <c r="N573" s="12">
        <v>124</v>
      </c>
    </row>
    <row r="574" spans="1:15">
      <c r="A574" s="12">
        <f t="shared" si="57"/>
        <v>573</v>
      </c>
      <c r="B574" s="12" t="s">
        <v>7</v>
      </c>
      <c r="C574" s="12" t="s">
        <v>475</v>
      </c>
      <c r="D574" s="12" t="s">
        <v>457</v>
      </c>
      <c r="E574" s="89">
        <f t="shared" ca="1" si="58"/>
        <v>40951</v>
      </c>
      <c r="F574" s="11">
        <f>DATE(60,12,27)</f>
        <v>22277</v>
      </c>
      <c r="G574" s="12">
        <f t="shared" ca="1" si="54"/>
        <v>52</v>
      </c>
      <c r="H574" s="12">
        <f t="shared" ca="1" si="55"/>
        <v>-10</v>
      </c>
      <c r="I574" s="13">
        <f t="shared" ca="1" si="56"/>
        <v>-15</v>
      </c>
      <c r="J574" s="14">
        <f t="shared" ca="1" si="53"/>
        <v>51</v>
      </c>
      <c r="K574" s="12" t="s">
        <v>40</v>
      </c>
      <c r="L574" s="12">
        <v>47</v>
      </c>
      <c r="M574" s="12" t="s">
        <v>40</v>
      </c>
      <c r="N574" s="12">
        <v>125</v>
      </c>
      <c r="O574" s="90" t="s">
        <v>2748</v>
      </c>
    </row>
    <row r="575" spans="1:15">
      <c r="A575" s="12">
        <f t="shared" si="57"/>
        <v>574</v>
      </c>
      <c r="B575" s="12" t="s">
        <v>7</v>
      </c>
      <c r="C575" s="12" t="s">
        <v>364</v>
      </c>
      <c r="D575" s="12" t="s">
        <v>475</v>
      </c>
      <c r="E575" s="89">
        <f t="shared" ca="1" si="58"/>
        <v>40951</v>
      </c>
      <c r="F575" s="11">
        <f>DATE(68,6,4)</f>
        <v>24993</v>
      </c>
      <c r="G575" s="12">
        <f t="shared" ca="1" si="54"/>
        <v>44</v>
      </c>
      <c r="H575" s="12">
        <f t="shared" ca="1" si="55"/>
        <v>-4</v>
      </c>
      <c r="I575" s="13">
        <f t="shared" ca="1" si="56"/>
        <v>8</v>
      </c>
      <c r="J575" s="14">
        <f t="shared" ca="1" si="53"/>
        <v>43</v>
      </c>
      <c r="K575" s="12" t="s">
        <v>41</v>
      </c>
      <c r="L575" s="12">
        <v>47</v>
      </c>
      <c r="M575" s="12" t="s">
        <v>40</v>
      </c>
      <c r="N575" s="12">
        <v>125</v>
      </c>
    </row>
    <row r="576" spans="1:15">
      <c r="A576" s="12">
        <f t="shared" si="57"/>
        <v>575</v>
      </c>
      <c r="B576" s="12" t="s">
        <v>7</v>
      </c>
      <c r="C576" s="12" t="s">
        <v>476</v>
      </c>
      <c r="D576" s="12" t="s">
        <v>475</v>
      </c>
      <c r="E576" s="89">
        <f t="shared" ca="1" si="58"/>
        <v>40951</v>
      </c>
      <c r="F576" s="11">
        <f>DATE(91,10,1)</f>
        <v>33512</v>
      </c>
      <c r="G576" s="12">
        <f t="shared" ca="1" si="54"/>
        <v>21</v>
      </c>
      <c r="H576" s="12">
        <f t="shared" ca="1" si="55"/>
        <v>-8</v>
      </c>
      <c r="I576" s="13">
        <f t="shared" ca="1" si="56"/>
        <v>11</v>
      </c>
      <c r="J576" s="14">
        <f t="shared" ca="1" si="53"/>
        <v>20</v>
      </c>
      <c r="K576" s="12" t="s">
        <v>41</v>
      </c>
      <c r="L576" s="12">
        <v>47</v>
      </c>
      <c r="M576" s="12" t="s">
        <v>44</v>
      </c>
      <c r="N576" s="12">
        <v>125</v>
      </c>
    </row>
    <row r="577" spans="1:15">
      <c r="A577" s="12">
        <f t="shared" si="57"/>
        <v>576</v>
      </c>
      <c r="B577" s="12" t="s">
        <v>7</v>
      </c>
      <c r="C577" s="12" t="s">
        <v>477</v>
      </c>
      <c r="D577" s="12" t="s">
        <v>475</v>
      </c>
      <c r="E577" s="89">
        <f t="shared" ca="1" si="58"/>
        <v>40951</v>
      </c>
      <c r="F577" s="11">
        <f>DATE(92,9,28)</f>
        <v>33875</v>
      </c>
      <c r="G577" s="12">
        <f t="shared" ca="1" si="54"/>
        <v>20</v>
      </c>
      <c r="H577" s="12">
        <f t="shared" ca="1" si="55"/>
        <v>-7</v>
      </c>
      <c r="I577" s="13">
        <f t="shared" ca="1" si="56"/>
        <v>-16</v>
      </c>
      <c r="J577" s="14">
        <f t="shared" ca="1" si="53"/>
        <v>19</v>
      </c>
      <c r="K577" s="12" t="s">
        <v>41</v>
      </c>
      <c r="L577" s="12">
        <v>47</v>
      </c>
      <c r="M577" s="12" t="s">
        <v>44</v>
      </c>
      <c r="N577" s="12">
        <v>125</v>
      </c>
    </row>
    <row r="578" spans="1:15">
      <c r="A578" s="12">
        <f t="shared" si="57"/>
        <v>577</v>
      </c>
      <c r="B578" s="12" t="s">
        <v>7</v>
      </c>
      <c r="C578" s="12" t="s">
        <v>478</v>
      </c>
      <c r="D578" s="12" t="s">
        <v>475</v>
      </c>
      <c r="E578" s="89">
        <f t="shared" ca="1" si="58"/>
        <v>40951</v>
      </c>
      <c r="F578" s="11">
        <f>DATE(95,7,23)</f>
        <v>34903</v>
      </c>
      <c r="G578" s="12">
        <f t="shared" ca="1" si="54"/>
        <v>17</v>
      </c>
      <c r="H578" s="12">
        <f t="shared" ca="1" si="55"/>
        <v>-5</v>
      </c>
      <c r="I578" s="13">
        <f t="shared" ca="1" si="56"/>
        <v>-11</v>
      </c>
      <c r="J578" s="14">
        <f t="shared" ca="1" si="53"/>
        <v>16</v>
      </c>
      <c r="K578" s="12" t="s">
        <v>40</v>
      </c>
      <c r="L578" s="12">
        <v>47</v>
      </c>
      <c r="M578" s="12" t="s">
        <v>44</v>
      </c>
      <c r="N578" s="12">
        <v>125</v>
      </c>
    </row>
    <row r="579" spans="1:15">
      <c r="A579" s="12">
        <f t="shared" si="57"/>
        <v>578</v>
      </c>
      <c r="B579" s="12" t="s">
        <v>7</v>
      </c>
      <c r="C579" s="12" t="s">
        <v>479</v>
      </c>
      <c r="D579" s="12" t="s">
        <v>475</v>
      </c>
      <c r="E579" s="89">
        <f t="shared" ca="1" si="58"/>
        <v>40951</v>
      </c>
      <c r="F579" s="11">
        <f>DATE(2002,12,28)</f>
        <v>37618</v>
      </c>
      <c r="G579" s="12">
        <f t="shared" ca="1" si="54"/>
        <v>10</v>
      </c>
      <c r="H579" s="12">
        <f t="shared" ca="1" si="55"/>
        <v>-10</v>
      </c>
      <c r="I579" s="13">
        <f t="shared" ca="1" si="56"/>
        <v>-16</v>
      </c>
      <c r="J579" s="14">
        <f t="shared" ref="J579:J642" ca="1" si="59">IF(H579&lt;0,G579-1,IF(H579&gt;0,G579,IF(I579&lt;0,G579-1,G579)))</f>
        <v>9</v>
      </c>
      <c r="K579" s="12" t="s">
        <v>40</v>
      </c>
      <c r="L579" s="12">
        <v>47</v>
      </c>
      <c r="M579" s="12" t="s">
        <v>44</v>
      </c>
      <c r="N579" s="12">
        <v>125</v>
      </c>
    </row>
    <row r="580" spans="1:15">
      <c r="A580" s="12">
        <f t="shared" si="57"/>
        <v>579</v>
      </c>
      <c r="B580" s="12" t="s">
        <v>7</v>
      </c>
      <c r="C580" s="12" t="s">
        <v>480</v>
      </c>
      <c r="D580" s="12" t="s">
        <v>94</v>
      </c>
      <c r="E580" s="89">
        <f t="shared" ca="1" si="58"/>
        <v>40951</v>
      </c>
      <c r="F580" s="11">
        <f>DATE(22,12,9)</f>
        <v>8379</v>
      </c>
      <c r="G580" s="12">
        <f t="shared" ca="1" si="54"/>
        <v>90</v>
      </c>
      <c r="H580" s="12">
        <f t="shared" ca="1" si="55"/>
        <v>-10</v>
      </c>
      <c r="I580" s="13">
        <f t="shared" ca="1" si="56"/>
        <v>3</v>
      </c>
      <c r="J580" s="14">
        <f t="shared" ca="1" si="59"/>
        <v>89</v>
      </c>
      <c r="K580" s="12" t="s">
        <v>41</v>
      </c>
      <c r="L580" s="12">
        <v>47</v>
      </c>
      <c r="M580" s="12" t="s">
        <v>40</v>
      </c>
      <c r="N580" s="12">
        <v>126</v>
      </c>
      <c r="O580" s="90" t="s">
        <v>2748</v>
      </c>
    </row>
    <row r="581" spans="1:15">
      <c r="A581" s="12">
        <f t="shared" si="57"/>
        <v>580</v>
      </c>
      <c r="B581" s="12" t="s">
        <v>7</v>
      </c>
      <c r="C581" s="12" t="s">
        <v>481</v>
      </c>
      <c r="D581" s="12" t="s">
        <v>94</v>
      </c>
      <c r="E581" s="89">
        <f t="shared" ca="1" si="58"/>
        <v>40951</v>
      </c>
      <c r="F581" s="11">
        <f>DATE(43,6,1)</f>
        <v>15858</v>
      </c>
      <c r="G581" s="12">
        <f t="shared" ca="1" si="54"/>
        <v>69</v>
      </c>
      <c r="H581" s="12">
        <f t="shared" ca="1" si="55"/>
        <v>-4</v>
      </c>
      <c r="I581" s="13">
        <f t="shared" ca="1" si="56"/>
        <v>11</v>
      </c>
      <c r="J581" s="14">
        <f t="shared" ca="1" si="59"/>
        <v>68</v>
      </c>
      <c r="K581" s="12" t="s">
        <v>40</v>
      </c>
      <c r="L581" s="12">
        <v>47</v>
      </c>
      <c r="M581" s="12" t="s">
        <v>40</v>
      </c>
      <c r="N581" s="12">
        <v>126</v>
      </c>
    </row>
    <row r="582" spans="1:15">
      <c r="A582" s="12">
        <f t="shared" si="57"/>
        <v>581</v>
      </c>
      <c r="B582" s="12" t="s">
        <v>7</v>
      </c>
      <c r="C582" s="12" t="s">
        <v>482</v>
      </c>
      <c r="D582" s="12" t="s">
        <v>483</v>
      </c>
      <c r="E582" s="89">
        <f t="shared" ca="1" si="58"/>
        <v>40951</v>
      </c>
      <c r="F582" s="11">
        <f>DATE(59,3,28)</f>
        <v>21637</v>
      </c>
      <c r="G582" s="12">
        <f t="shared" ca="1" si="54"/>
        <v>53</v>
      </c>
      <c r="H582" s="12">
        <f t="shared" ca="1" si="55"/>
        <v>-1</v>
      </c>
      <c r="I582" s="13">
        <f t="shared" ca="1" si="56"/>
        <v>-16</v>
      </c>
      <c r="J582" s="14">
        <f t="shared" ca="1" si="59"/>
        <v>52</v>
      </c>
      <c r="K582" s="12" t="s">
        <v>41</v>
      </c>
      <c r="L582" s="12">
        <v>47</v>
      </c>
      <c r="M582" s="12" t="s">
        <v>40</v>
      </c>
      <c r="N582" s="12">
        <v>126</v>
      </c>
    </row>
    <row r="583" spans="1:15">
      <c r="A583" s="53">
        <f>A582+1</f>
        <v>582</v>
      </c>
      <c r="B583" s="12" t="s">
        <v>7</v>
      </c>
      <c r="C583" s="53" t="s">
        <v>229</v>
      </c>
      <c r="D583" s="53" t="s">
        <v>483</v>
      </c>
      <c r="E583" s="91">
        <f t="shared" ca="1" si="58"/>
        <v>40951</v>
      </c>
      <c r="F583" s="44">
        <f>DATE(82,10,6)</f>
        <v>30230</v>
      </c>
      <c r="G583" s="53">
        <f t="shared" ca="1" si="54"/>
        <v>30</v>
      </c>
      <c r="H583" s="53">
        <f t="shared" ca="1" si="55"/>
        <v>-8</v>
      </c>
      <c r="I583" s="54">
        <f t="shared" ca="1" si="56"/>
        <v>6</v>
      </c>
      <c r="J583" s="55">
        <f t="shared" ca="1" si="59"/>
        <v>29</v>
      </c>
      <c r="K583" s="53" t="s">
        <v>40</v>
      </c>
      <c r="L583" s="53">
        <v>47</v>
      </c>
      <c r="M583" s="53" t="s">
        <v>44</v>
      </c>
      <c r="N583" s="12">
        <v>126</v>
      </c>
    </row>
    <row r="584" spans="1:15">
      <c r="A584" s="53"/>
      <c r="B584" s="12" t="s">
        <v>7</v>
      </c>
      <c r="C584" s="53" t="s">
        <v>484</v>
      </c>
      <c r="D584" s="53" t="s">
        <v>483</v>
      </c>
      <c r="E584" s="91">
        <f t="shared" ca="1" si="58"/>
        <v>40951</v>
      </c>
      <c r="F584" s="44">
        <f>DATE(85,8,5)</f>
        <v>31264</v>
      </c>
      <c r="G584" s="53">
        <f t="shared" ca="1" si="54"/>
        <v>27</v>
      </c>
      <c r="H584" s="53">
        <f t="shared" ca="1" si="55"/>
        <v>-6</v>
      </c>
      <c r="I584" s="54">
        <f t="shared" ca="1" si="56"/>
        <v>7</v>
      </c>
      <c r="J584" s="55">
        <f t="shared" ca="1" si="59"/>
        <v>26</v>
      </c>
      <c r="K584" s="53" t="s">
        <v>40</v>
      </c>
      <c r="L584" s="53">
        <v>47</v>
      </c>
      <c r="M584" s="53" t="s">
        <v>44</v>
      </c>
      <c r="N584" s="12">
        <v>126</v>
      </c>
    </row>
    <row r="585" spans="1:15">
      <c r="A585" s="12">
        <f>A583+1</f>
        <v>583</v>
      </c>
      <c r="B585" s="12" t="s">
        <v>7</v>
      </c>
      <c r="C585" s="12" t="s">
        <v>485</v>
      </c>
      <c r="D585" s="12" t="s">
        <v>417</v>
      </c>
      <c r="E585" s="89">
        <f t="shared" ca="1" si="58"/>
        <v>40951</v>
      </c>
      <c r="F585" s="11">
        <f>DATE(49,10,22)</f>
        <v>18193</v>
      </c>
      <c r="G585" s="12">
        <f t="shared" ca="1" si="54"/>
        <v>63</v>
      </c>
      <c r="H585" s="12">
        <f t="shared" ca="1" si="55"/>
        <v>-8</v>
      </c>
      <c r="I585" s="13">
        <f t="shared" ca="1" si="56"/>
        <v>-10</v>
      </c>
      <c r="J585" s="14">
        <f t="shared" ca="1" si="59"/>
        <v>62</v>
      </c>
      <c r="K585" s="12" t="s">
        <v>40</v>
      </c>
      <c r="L585" s="12">
        <v>48</v>
      </c>
      <c r="M585" s="12" t="s">
        <v>40</v>
      </c>
      <c r="N585" s="12">
        <v>127</v>
      </c>
      <c r="O585" s="90" t="s">
        <v>2748</v>
      </c>
    </row>
    <row r="586" spans="1:15">
      <c r="A586" s="12">
        <f t="shared" si="57"/>
        <v>584</v>
      </c>
      <c r="B586" s="12" t="s">
        <v>7</v>
      </c>
      <c r="C586" s="12" t="s">
        <v>78</v>
      </c>
      <c r="D586" s="12" t="s">
        <v>485</v>
      </c>
      <c r="E586" s="89">
        <f t="shared" ca="1" si="58"/>
        <v>40951</v>
      </c>
      <c r="F586" s="11">
        <f>DATE(54,9,3)</f>
        <v>19970</v>
      </c>
      <c r="G586" s="12">
        <f t="shared" ca="1" si="54"/>
        <v>58</v>
      </c>
      <c r="H586" s="12">
        <f t="shared" ca="1" si="55"/>
        <v>-7</v>
      </c>
      <c r="I586" s="13">
        <f t="shared" ca="1" si="56"/>
        <v>9</v>
      </c>
      <c r="J586" s="14">
        <f t="shared" ca="1" si="59"/>
        <v>57</v>
      </c>
      <c r="K586" s="12" t="s">
        <v>41</v>
      </c>
      <c r="L586" s="12">
        <v>48</v>
      </c>
      <c r="M586" s="12" t="s">
        <v>40</v>
      </c>
      <c r="N586" s="12">
        <v>127</v>
      </c>
    </row>
    <row r="587" spans="1:15">
      <c r="A587" s="12">
        <f t="shared" si="57"/>
        <v>585</v>
      </c>
      <c r="B587" s="12" t="s">
        <v>7</v>
      </c>
      <c r="C587" s="12" t="s">
        <v>486</v>
      </c>
      <c r="D587" s="12" t="s">
        <v>485</v>
      </c>
      <c r="E587" s="89">
        <f t="shared" ca="1" si="58"/>
        <v>40951</v>
      </c>
      <c r="F587" s="50">
        <f>DATE(77,4,20)</f>
        <v>28235</v>
      </c>
      <c r="G587" s="12">
        <f t="shared" ca="1" si="54"/>
        <v>35</v>
      </c>
      <c r="H587" s="12">
        <f t="shared" ca="1" si="55"/>
        <v>-2</v>
      </c>
      <c r="I587" s="13">
        <f t="shared" ca="1" si="56"/>
        <v>-8</v>
      </c>
      <c r="J587" s="14">
        <f t="shared" ca="1" si="59"/>
        <v>34</v>
      </c>
      <c r="K587" s="12" t="s">
        <v>40</v>
      </c>
      <c r="L587" s="12">
        <v>48</v>
      </c>
      <c r="M587" s="12" t="s">
        <v>40</v>
      </c>
      <c r="N587" s="12">
        <v>127</v>
      </c>
    </row>
    <row r="588" spans="1:15">
      <c r="A588" s="12">
        <f t="shared" si="57"/>
        <v>586</v>
      </c>
      <c r="B588" s="12" t="s">
        <v>7</v>
      </c>
      <c r="C588" s="12" t="s">
        <v>487</v>
      </c>
      <c r="D588" s="12" t="s">
        <v>486</v>
      </c>
      <c r="E588" s="89">
        <f t="shared" ca="1" si="58"/>
        <v>40951</v>
      </c>
      <c r="F588" s="11">
        <f>DATE(79,5,20)</f>
        <v>28995</v>
      </c>
      <c r="G588" s="12">
        <f t="shared" ca="1" si="54"/>
        <v>33</v>
      </c>
      <c r="H588" s="12">
        <f t="shared" ca="1" si="55"/>
        <v>-3</v>
      </c>
      <c r="I588" s="13">
        <f t="shared" ca="1" si="56"/>
        <v>-8</v>
      </c>
      <c r="J588" s="14">
        <f t="shared" ca="1" si="59"/>
        <v>32</v>
      </c>
      <c r="K588" s="12" t="s">
        <v>41</v>
      </c>
      <c r="L588" s="12">
        <v>48</v>
      </c>
      <c r="M588" s="12" t="s">
        <v>40</v>
      </c>
      <c r="N588" s="12">
        <v>127</v>
      </c>
    </row>
    <row r="589" spans="1:15">
      <c r="A589" s="12">
        <f t="shared" si="57"/>
        <v>587</v>
      </c>
      <c r="B589" s="12" t="s">
        <v>7</v>
      </c>
      <c r="C589" s="12" t="s">
        <v>156</v>
      </c>
      <c r="D589" s="12" t="s">
        <v>486</v>
      </c>
      <c r="E589" s="89">
        <f t="shared" ca="1" si="58"/>
        <v>40951</v>
      </c>
      <c r="F589" s="11">
        <f>DATE(2003,12,16)</f>
        <v>37971</v>
      </c>
      <c r="G589" s="12">
        <f t="shared" ca="1" si="54"/>
        <v>9</v>
      </c>
      <c r="H589" s="12">
        <f t="shared" ca="1" si="55"/>
        <v>-10</v>
      </c>
      <c r="I589" s="13">
        <f t="shared" ca="1" si="56"/>
        <v>-4</v>
      </c>
      <c r="J589" s="14">
        <f t="shared" ca="1" si="59"/>
        <v>8</v>
      </c>
      <c r="K589" s="12" t="s">
        <v>41</v>
      </c>
      <c r="L589" s="12">
        <v>48</v>
      </c>
      <c r="M589" s="12" t="s">
        <v>44</v>
      </c>
      <c r="N589" s="12">
        <v>127</v>
      </c>
    </row>
    <row r="590" spans="1:15">
      <c r="A590" s="12">
        <f t="shared" si="57"/>
        <v>588</v>
      </c>
      <c r="B590" s="12" t="s">
        <v>7</v>
      </c>
      <c r="C590" s="12" t="s">
        <v>239</v>
      </c>
      <c r="D590" s="12" t="s">
        <v>485</v>
      </c>
      <c r="E590" s="89">
        <f t="shared" ca="1" si="58"/>
        <v>40951</v>
      </c>
      <c r="F590" s="11">
        <f>DATE(81,10,12)</f>
        <v>29871</v>
      </c>
      <c r="G590" s="12">
        <f t="shared" ca="1" si="54"/>
        <v>31</v>
      </c>
      <c r="H590" s="12">
        <f t="shared" ca="1" si="55"/>
        <v>-8</v>
      </c>
      <c r="I590" s="13">
        <f t="shared" ca="1" si="56"/>
        <v>0</v>
      </c>
      <c r="J590" s="14">
        <f t="shared" ca="1" si="59"/>
        <v>30</v>
      </c>
      <c r="K590" s="12" t="s">
        <v>40</v>
      </c>
      <c r="L590" s="12">
        <v>48</v>
      </c>
      <c r="M590" s="12" t="s">
        <v>40</v>
      </c>
      <c r="N590" s="12">
        <v>127</v>
      </c>
    </row>
    <row r="591" spans="1:15">
      <c r="A591" s="12">
        <f t="shared" si="57"/>
        <v>589</v>
      </c>
      <c r="B591" s="12" t="s">
        <v>7</v>
      </c>
      <c r="C591" s="12" t="s">
        <v>488</v>
      </c>
      <c r="D591" s="12" t="s">
        <v>239</v>
      </c>
      <c r="E591" s="89">
        <f t="shared" ca="1" si="58"/>
        <v>40951</v>
      </c>
      <c r="F591" s="11">
        <f>DATE(80,11,1)</f>
        <v>29526</v>
      </c>
      <c r="G591" s="12">
        <f t="shared" ca="1" si="54"/>
        <v>32</v>
      </c>
      <c r="H591" s="12">
        <f t="shared" ca="1" si="55"/>
        <v>-9</v>
      </c>
      <c r="I591" s="13">
        <f t="shared" ca="1" si="56"/>
        <v>11</v>
      </c>
      <c r="J591" s="14">
        <f t="shared" ca="1" si="59"/>
        <v>31</v>
      </c>
      <c r="K591" s="12" t="s">
        <v>41</v>
      </c>
      <c r="L591" s="12">
        <v>48</v>
      </c>
      <c r="M591" s="12" t="s">
        <v>40</v>
      </c>
      <c r="N591" s="12">
        <v>127</v>
      </c>
    </row>
    <row r="592" spans="1:15">
      <c r="A592" s="12">
        <f t="shared" si="57"/>
        <v>590</v>
      </c>
      <c r="B592" s="12" t="s">
        <v>7</v>
      </c>
      <c r="C592" s="12" t="s">
        <v>489</v>
      </c>
      <c r="D592" s="12" t="s">
        <v>490</v>
      </c>
      <c r="E592" s="89">
        <f t="shared" ca="1" si="58"/>
        <v>40951</v>
      </c>
      <c r="F592" s="11">
        <f>DATE(72,11,9)</f>
        <v>26612</v>
      </c>
      <c r="G592" s="12">
        <f t="shared" ca="1" si="54"/>
        <v>40</v>
      </c>
      <c r="H592" s="12">
        <f t="shared" ca="1" si="55"/>
        <v>-9</v>
      </c>
      <c r="I592" s="13">
        <f t="shared" ca="1" si="56"/>
        <v>3</v>
      </c>
      <c r="J592" s="14">
        <f t="shared" ca="1" si="59"/>
        <v>39</v>
      </c>
      <c r="K592" s="12" t="s">
        <v>40</v>
      </c>
      <c r="L592" s="12">
        <v>48</v>
      </c>
      <c r="M592" s="12" t="s">
        <v>40</v>
      </c>
      <c r="N592" s="12">
        <v>128</v>
      </c>
      <c r="O592" s="90" t="s">
        <v>2748</v>
      </c>
    </row>
    <row r="593" spans="1:15">
      <c r="A593" s="12">
        <f t="shared" si="57"/>
        <v>591</v>
      </c>
      <c r="B593" s="12" t="s">
        <v>7</v>
      </c>
      <c r="C593" s="12" t="s">
        <v>491</v>
      </c>
      <c r="D593" s="12" t="s">
        <v>489</v>
      </c>
      <c r="E593" s="89">
        <f t="shared" ca="1" si="58"/>
        <v>40951</v>
      </c>
      <c r="F593" s="11">
        <f>DATE(78,7,5)</f>
        <v>28676</v>
      </c>
      <c r="G593" s="12">
        <f t="shared" ca="1" si="54"/>
        <v>34</v>
      </c>
      <c r="H593" s="12">
        <f t="shared" ca="1" si="55"/>
        <v>-5</v>
      </c>
      <c r="I593" s="13">
        <f t="shared" ca="1" si="56"/>
        <v>7</v>
      </c>
      <c r="J593" s="14">
        <f t="shared" ca="1" si="59"/>
        <v>33</v>
      </c>
      <c r="K593" s="12" t="s">
        <v>41</v>
      </c>
      <c r="L593" s="12">
        <v>48</v>
      </c>
      <c r="M593" s="12" t="s">
        <v>40</v>
      </c>
      <c r="N593" s="12">
        <v>128</v>
      </c>
    </row>
    <row r="594" spans="1:15">
      <c r="A594" s="12">
        <f t="shared" si="57"/>
        <v>592</v>
      </c>
      <c r="B594" s="12" t="s">
        <v>7</v>
      </c>
      <c r="C594" s="12" t="s">
        <v>156</v>
      </c>
      <c r="D594" s="12" t="s">
        <v>489</v>
      </c>
      <c r="E594" s="89">
        <f t="shared" ca="1" si="58"/>
        <v>40951</v>
      </c>
      <c r="F594" s="11">
        <f>DATE(2000,8,1)</f>
        <v>36739</v>
      </c>
      <c r="G594" s="12">
        <f t="shared" ca="1" si="54"/>
        <v>12</v>
      </c>
      <c r="H594" s="12">
        <f t="shared" ca="1" si="55"/>
        <v>-6</v>
      </c>
      <c r="I594" s="13">
        <f t="shared" ca="1" si="56"/>
        <v>11</v>
      </c>
      <c r="J594" s="14">
        <f t="shared" ca="1" si="59"/>
        <v>11</v>
      </c>
      <c r="K594" s="12" t="s">
        <v>41</v>
      </c>
      <c r="L594" s="12">
        <v>48</v>
      </c>
      <c r="M594" s="12" t="s">
        <v>44</v>
      </c>
      <c r="N594" s="12">
        <v>128</v>
      </c>
    </row>
    <row r="595" spans="1:15">
      <c r="A595" s="12">
        <f t="shared" si="57"/>
        <v>593</v>
      </c>
      <c r="B595" s="12" t="s">
        <v>7</v>
      </c>
      <c r="C595" s="12" t="s">
        <v>492</v>
      </c>
      <c r="D595" s="12" t="s">
        <v>489</v>
      </c>
      <c r="E595" s="89">
        <f t="shared" ca="1" si="58"/>
        <v>40951</v>
      </c>
      <c r="F595" s="11">
        <f>DATE(2003,2,3)</f>
        <v>37655</v>
      </c>
      <c r="G595" s="12">
        <f t="shared" ca="1" si="54"/>
        <v>9</v>
      </c>
      <c r="H595" s="12">
        <f t="shared" ca="1" si="55"/>
        <v>0</v>
      </c>
      <c r="I595" s="13">
        <f t="shared" ca="1" si="56"/>
        <v>9</v>
      </c>
      <c r="J595" s="14">
        <f t="shared" ca="1" si="59"/>
        <v>9</v>
      </c>
      <c r="K595" s="12" t="s">
        <v>40</v>
      </c>
      <c r="L595" s="12">
        <v>48</v>
      </c>
      <c r="M595" s="12" t="s">
        <v>44</v>
      </c>
      <c r="N595" s="12">
        <v>128</v>
      </c>
    </row>
    <row r="596" spans="1:15">
      <c r="A596" s="12">
        <f t="shared" si="57"/>
        <v>594</v>
      </c>
      <c r="B596" s="12" t="s">
        <v>7</v>
      </c>
      <c r="C596" s="12" t="s">
        <v>493</v>
      </c>
      <c r="D596" s="12" t="s">
        <v>490</v>
      </c>
      <c r="E596" s="89">
        <f t="shared" ca="1" si="58"/>
        <v>40951</v>
      </c>
      <c r="F596" s="11">
        <f>DATE(79,5,29)</f>
        <v>29004</v>
      </c>
      <c r="G596" s="12">
        <f t="shared" ca="1" si="54"/>
        <v>33</v>
      </c>
      <c r="H596" s="12">
        <f t="shared" ca="1" si="55"/>
        <v>-3</v>
      </c>
      <c r="I596" s="13">
        <f t="shared" ca="1" si="56"/>
        <v>-17</v>
      </c>
      <c r="J596" s="14">
        <f t="shared" ca="1" si="59"/>
        <v>32</v>
      </c>
      <c r="K596" s="12" t="s">
        <v>40</v>
      </c>
      <c r="L596" s="12">
        <v>48</v>
      </c>
      <c r="M596" s="12" t="s">
        <v>40</v>
      </c>
      <c r="N596" s="12">
        <v>128</v>
      </c>
    </row>
    <row r="597" spans="1:15">
      <c r="A597" s="12">
        <f t="shared" si="57"/>
        <v>595</v>
      </c>
      <c r="B597" s="12" t="s">
        <v>7</v>
      </c>
      <c r="C597" s="12" t="s">
        <v>494</v>
      </c>
      <c r="D597" s="12" t="s">
        <v>493</v>
      </c>
      <c r="E597" s="89">
        <f t="shared" ca="1" si="58"/>
        <v>40951</v>
      </c>
      <c r="F597" s="11">
        <f>DATE(81,3,25)</f>
        <v>29670</v>
      </c>
      <c r="G597" s="12">
        <f t="shared" ca="1" si="54"/>
        <v>31</v>
      </c>
      <c r="H597" s="12">
        <f t="shared" ca="1" si="55"/>
        <v>-1</v>
      </c>
      <c r="I597" s="13">
        <f t="shared" ca="1" si="56"/>
        <v>-13</v>
      </c>
      <c r="J597" s="14">
        <f t="shared" ca="1" si="59"/>
        <v>30</v>
      </c>
      <c r="K597" s="12" t="s">
        <v>41</v>
      </c>
      <c r="L597" s="12">
        <v>48</v>
      </c>
      <c r="M597" s="12" t="s">
        <v>40</v>
      </c>
      <c r="N597" s="12">
        <v>128</v>
      </c>
    </row>
    <row r="598" spans="1:15">
      <c r="A598" s="12">
        <f t="shared" si="57"/>
        <v>596</v>
      </c>
      <c r="B598" s="12" t="s">
        <v>7</v>
      </c>
      <c r="C598" s="12" t="s">
        <v>495</v>
      </c>
      <c r="D598" s="12" t="s">
        <v>493</v>
      </c>
      <c r="E598" s="89">
        <f t="shared" ca="1" si="58"/>
        <v>40951</v>
      </c>
      <c r="F598" s="11">
        <f>DATE(2004,11,2)</f>
        <v>38293</v>
      </c>
      <c r="G598" s="12">
        <f t="shared" ca="1" si="54"/>
        <v>8</v>
      </c>
      <c r="H598" s="12">
        <f t="shared" ca="1" si="55"/>
        <v>-9</v>
      </c>
      <c r="I598" s="13">
        <f t="shared" ca="1" si="56"/>
        <v>10</v>
      </c>
      <c r="J598" s="14">
        <f t="shared" ca="1" si="59"/>
        <v>7</v>
      </c>
      <c r="K598" s="12" t="s">
        <v>40</v>
      </c>
      <c r="L598" s="12">
        <v>48</v>
      </c>
      <c r="M598" s="12" t="s">
        <v>44</v>
      </c>
      <c r="N598" s="12">
        <v>128</v>
      </c>
    </row>
    <row r="599" spans="1:15">
      <c r="A599" s="12">
        <f t="shared" si="57"/>
        <v>597</v>
      </c>
      <c r="B599" s="12" t="s">
        <v>7</v>
      </c>
      <c r="C599" s="12" t="s">
        <v>496</v>
      </c>
      <c r="D599" s="12" t="s">
        <v>497</v>
      </c>
      <c r="E599" s="89">
        <f t="shared" ca="1" si="58"/>
        <v>40951</v>
      </c>
      <c r="F599" s="11">
        <f>DATE(80,6,24)</f>
        <v>29396</v>
      </c>
      <c r="G599" s="12">
        <f t="shared" ca="1" si="54"/>
        <v>32</v>
      </c>
      <c r="H599" s="12">
        <f t="shared" ca="1" si="55"/>
        <v>-4</v>
      </c>
      <c r="I599" s="13">
        <f t="shared" ca="1" si="56"/>
        <v>-12</v>
      </c>
      <c r="J599" s="14">
        <f t="shared" ca="1" si="59"/>
        <v>31</v>
      </c>
      <c r="K599" s="12" t="s">
        <v>40</v>
      </c>
      <c r="L599" s="12">
        <v>48</v>
      </c>
      <c r="M599" s="12" t="s">
        <v>44</v>
      </c>
      <c r="N599" s="12">
        <v>128</v>
      </c>
    </row>
    <row r="600" spans="1:15">
      <c r="A600" s="12">
        <f t="shared" si="57"/>
        <v>598</v>
      </c>
      <c r="B600" s="12" t="s">
        <v>7</v>
      </c>
      <c r="C600" s="12" t="s">
        <v>498</v>
      </c>
      <c r="D600" s="12" t="s">
        <v>316</v>
      </c>
      <c r="E600" s="89">
        <f t="shared" ca="1" si="58"/>
        <v>40951</v>
      </c>
      <c r="F600" s="11">
        <f>DATE(63,8,14)</f>
        <v>23237</v>
      </c>
      <c r="G600" s="12">
        <f t="shared" ca="1" si="54"/>
        <v>49</v>
      </c>
      <c r="H600" s="12">
        <f t="shared" ca="1" si="55"/>
        <v>-6</v>
      </c>
      <c r="I600" s="13">
        <f t="shared" ca="1" si="56"/>
        <v>-2</v>
      </c>
      <c r="J600" s="14">
        <f t="shared" ca="1" si="59"/>
        <v>48</v>
      </c>
      <c r="K600" s="12" t="s">
        <v>40</v>
      </c>
      <c r="L600" s="12">
        <v>49</v>
      </c>
      <c r="M600" s="12" t="s">
        <v>40</v>
      </c>
      <c r="N600" s="12">
        <v>129</v>
      </c>
      <c r="O600" s="90" t="s">
        <v>2748</v>
      </c>
    </row>
    <row r="601" spans="1:15">
      <c r="A601" s="12">
        <f t="shared" si="57"/>
        <v>599</v>
      </c>
      <c r="B601" s="12" t="s">
        <v>7</v>
      </c>
      <c r="C601" s="12" t="s">
        <v>361</v>
      </c>
      <c r="D601" s="12" t="s">
        <v>498</v>
      </c>
      <c r="E601" s="89">
        <f t="shared" ca="1" si="58"/>
        <v>40951</v>
      </c>
      <c r="F601" s="11">
        <f>DATE(65,12,12)</f>
        <v>24088</v>
      </c>
      <c r="G601" s="12">
        <f t="shared" ref="G601:G664" ca="1" si="60">YEAR(E601)-YEAR(F601)</f>
        <v>47</v>
      </c>
      <c r="H601" s="12">
        <f t="shared" ref="H601:H664" ca="1" si="61">MONTH(E601)-MONTH(F601)</f>
        <v>-10</v>
      </c>
      <c r="I601" s="13">
        <f t="shared" ref="I601:I664" ca="1" si="62">DAY(E601)-DAY(F601)</f>
        <v>0</v>
      </c>
      <c r="J601" s="14">
        <f t="shared" ca="1" si="59"/>
        <v>46</v>
      </c>
      <c r="K601" s="12" t="s">
        <v>41</v>
      </c>
      <c r="L601" s="12">
        <v>49</v>
      </c>
      <c r="M601" s="12" t="s">
        <v>40</v>
      </c>
      <c r="N601" s="12">
        <v>129</v>
      </c>
    </row>
    <row r="602" spans="1:15">
      <c r="A602" s="12">
        <f t="shared" si="57"/>
        <v>600</v>
      </c>
      <c r="B602" s="12" t="s">
        <v>7</v>
      </c>
      <c r="C602" s="12" t="s">
        <v>499</v>
      </c>
      <c r="D602" s="12" t="s">
        <v>316</v>
      </c>
      <c r="E602" s="89">
        <f t="shared" ca="1" si="58"/>
        <v>40951</v>
      </c>
      <c r="F602" s="32"/>
      <c r="G602" s="12">
        <f t="shared" ca="1" si="60"/>
        <v>112</v>
      </c>
      <c r="H602" s="12">
        <f t="shared" ca="1" si="61"/>
        <v>1</v>
      </c>
      <c r="I602" s="13">
        <f t="shared" ca="1" si="62"/>
        <v>12</v>
      </c>
      <c r="J602" s="14">
        <f t="shared" ca="1" si="59"/>
        <v>112</v>
      </c>
      <c r="K602" s="12" t="s">
        <v>41</v>
      </c>
      <c r="L602" s="12">
        <v>49</v>
      </c>
      <c r="M602" s="12" t="s">
        <v>40</v>
      </c>
      <c r="N602" s="12">
        <v>129</v>
      </c>
    </row>
    <row r="603" spans="1:15">
      <c r="A603" s="12">
        <f t="shared" si="57"/>
        <v>601</v>
      </c>
      <c r="B603" s="12" t="s">
        <v>7</v>
      </c>
      <c r="C603" s="12" t="s">
        <v>500</v>
      </c>
      <c r="D603" s="12" t="s">
        <v>498</v>
      </c>
      <c r="E603" s="89">
        <f t="shared" ca="1" si="58"/>
        <v>40951</v>
      </c>
      <c r="F603" s="11">
        <f>DATE(90,3,21)</f>
        <v>32953</v>
      </c>
      <c r="G603" s="12">
        <f t="shared" ca="1" si="60"/>
        <v>22</v>
      </c>
      <c r="H603" s="12">
        <f t="shared" ca="1" si="61"/>
        <v>-1</v>
      </c>
      <c r="I603" s="13">
        <f t="shared" ca="1" si="62"/>
        <v>-9</v>
      </c>
      <c r="J603" s="14">
        <f t="shared" ca="1" si="59"/>
        <v>21</v>
      </c>
      <c r="K603" s="12" t="s">
        <v>40</v>
      </c>
      <c r="L603" s="12">
        <v>49</v>
      </c>
      <c r="M603" s="12" t="s">
        <v>44</v>
      </c>
      <c r="N603" s="12">
        <v>129</v>
      </c>
    </row>
    <row r="604" spans="1:15">
      <c r="A604" s="12">
        <f t="shared" si="57"/>
        <v>602</v>
      </c>
      <c r="B604" s="12" t="s">
        <v>7</v>
      </c>
      <c r="C604" s="12" t="s">
        <v>501</v>
      </c>
      <c r="D604" s="12" t="s">
        <v>498</v>
      </c>
      <c r="E604" s="89">
        <f t="shared" ca="1" si="58"/>
        <v>40951</v>
      </c>
      <c r="F604" s="11">
        <f>DATE(95,2,9)</f>
        <v>34739</v>
      </c>
      <c r="G604" s="12">
        <f t="shared" ca="1" si="60"/>
        <v>17</v>
      </c>
      <c r="H604" s="12">
        <f t="shared" ca="1" si="61"/>
        <v>0</v>
      </c>
      <c r="I604" s="13">
        <f t="shared" ca="1" si="62"/>
        <v>3</v>
      </c>
      <c r="J604" s="14">
        <f t="shared" ca="1" si="59"/>
        <v>17</v>
      </c>
      <c r="K604" s="12" t="s">
        <v>40</v>
      </c>
      <c r="L604" s="12">
        <v>49</v>
      </c>
      <c r="M604" s="12" t="s">
        <v>44</v>
      </c>
      <c r="N604" s="12">
        <v>129</v>
      </c>
    </row>
    <row r="605" spans="1:15">
      <c r="A605" s="12">
        <f t="shared" si="57"/>
        <v>603</v>
      </c>
      <c r="B605" s="12" t="s">
        <v>7</v>
      </c>
      <c r="C605" s="12" t="s">
        <v>502</v>
      </c>
      <c r="D605" s="12" t="s">
        <v>498</v>
      </c>
      <c r="E605" s="89">
        <f t="shared" ca="1" si="58"/>
        <v>40951</v>
      </c>
      <c r="F605" s="11">
        <f>DATE(97,5,17)</f>
        <v>35567</v>
      </c>
      <c r="G605" s="12">
        <f t="shared" ca="1" si="60"/>
        <v>15</v>
      </c>
      <c r="H605" s="12">
        <f t="shared" ca="1" si="61"/>
        <v>-3</v>
      </c>
      <c r="I605" s="13">
        <f t="shared" ca="1" si="62"/>
        <v>-5</v>
      </c>
      <c r="J605" s="14">
        <f t="shared" ca="1" si="59"/>
        <v>14</v>
      </c>
      <c r="K605" s="12" t="s">
        <v>40</v>
      </c>
      <c r="L605" s="12">
        <v>49</v>
      </c>
      <c r="M605" s="12" t="s">
        <v>44</v>
      </c>
      <c r="N605" s="12">
        <v>129</v>
      </c>
    </row>
    <row r="606" spans="1:15">
      <c r="A606" s="12">
        <f t="shared" ref="A606:A669" si="63">A605+1</f>
        <v>604</v>
      </c>
      <c r="B606" s="12" t="s">
        <v>7</v>
      </c>
      <c r="C606" s="12" t="s">
        <v>503</v>
      </c>
      <c r="D606" s="12" t="s">
        <v>435</v>
      </c>
      <c r="E606" s="89">
        <f t="shared" ca="1" si="58"/>
        <v>40951</v>
      </c>
      <c r="F606" s="32"/>
      <c r="G606" s="12">
        <f t="shared" ca="1" si="60"/>
        <v>112</v>
      </c>
      <c r="H606" s="12">
        <f t="shared" ca="1" si="61"/>
        <v>1</v>
      </c>
      <c r="I606" s="13">
        <f t="shared" ca="1" si="62"/>
        <v>12</v>
      </c>
      <c r="J606" s="14">
        <f t="shared" ca="1" si="59"/>
        <v>112</v>
      </c>
      <c r="K606" s="12" t="s">
        <v>41</v>
      </c>
      <c r="L606" s="12">
        <v>49</v>
      </c>
      <c r="M606" s="12" t="s">
        <v>40</v>
      </c>
      <c r="N606" s="12">
        <v>130</v>
      </c>
      <c r="O606" s="90" t="s">
        <v>2748</v>
      </c>
    </row>
    <row r="607" spans="1:15">
      <c r="A607" s="12">
        <f t="shared" si="63"/>
        <v>605</v>
      </c>
      <c r="B607" s="12" t="s">
        <v>7</v>
      </c>
      <c r="C607" s="12" t="s">
        <v>504</v>
      </c>
      <c r="D607" s="12" t="s">
        <v>435</v>
      </c>
      <c r="E607" s="89">
        <f t="shared" ca="1" si="58"/>
        <v>40951</v>
      </c>
      <c r="F607" s="11">
        <f>DATE(61,9,12)</f>
        <v>22536</v>
      </c>
      <c r="G607" s="12">
        <f t="shared" ca="1" si="60"/>
        <v>51</v>
      </c>
      <c r="H607" s="12">
        <f t="shared" ca="1" si="61"/>
        <v>-7</v>
      </c>
      <c r="I607" s="13">
        <f t="shared" ca="1" si="62"/>
        <v>0</v>
      </c>
      <c r="J607" s="14">
        <f t="shared" ca="1" si="59"/>
        <v>50</v>
      </c>
      <c r="K607" s="12" t="s">
        <v>40</v>
      </c>
      <c r="L607" s="12">
        <v>49</v>
      </c>
      <c r="M607" s="12" t="s">
        <v>40</v>
      </c>
      <c r="N607" s="12">
        <v>130</v>
      </c>
    </row>
    <row r="608" spans="1:15">
      <c r="A608" s="12">
        <f t="shared" si="63"/>
        <v>606</v>
      </c>
      <c r="B608" s="12" t="s">
        <v>7</v>
      </c>
      <c r="C608" s="12" t="s">
        <v>488</v>
      </c>
      <c r="D608" s="12" t="s">
        <v>505</v>
      </c>
      <c r="E608" s="89">
        <f t="shared" ca="1" si="58"/>
        <v>40951</v>
      </c>
      <c r="F608" s="11">
        <f>DATE(66,9,6)</f>
        <v>24356</v>
      </c>
      <c r="G608" s="12">
        <f t="shared" ca="1" si="60"/>
        <v>46</v>
      </c>
      <c r="H608" s="12">
        <f t="shared" ca="1" si="61"/>
        <v>-7</v>
      </c>
      <c r="I608" s="13">
        <f t="shared" ca="1" si="62"/>
        <v>6</v>
      </c>
      <c r="J608" s="14">
        <f t="shared" ca="1" si="59"/>
        <v>45</v>
      </c>
      <c r="K608" s="12" t="s">
        <v>41</v>
      </c>
      <c r="L608" s="12">
        <v>49</v>
      </c>
      <c r="M608" s="12" t="s">
        <v>40</v>
      </c>
      <c r="N608" s="12">
        <v>130</v>
      </c>
    </row>
    <row r="609" spans="1:15">
      <c r="A609" s="12">
        <f t="shared" si="63"/>
        <v>607</v>
      </c>
      <c r="B609" s="12" t="s">
        <v>7</v>
      </c>
      <c r="C609" s="12" t="s">
        <v>506</v>
      </c>
      <c r="D609" s="12" t="s">
        <v>505</v>
      </c>
      <c r="E609" s="89">
        <f t="shared" ca="1" si="58"/>
        <v>40951</v>
      </c>
      <c r="F609" s="11">
        <f>DATE(2002,9,25)</f>
        <v>37524</v>
      </c>
      <c r="G609" s="12">
        <f t="shared" ca="1" si="60"/>
        <v>10</v>
      </c>
      <c r="H609" s="12">
        <f t="shared" ca="1" si="61"/>
        <v>-7</v>
      </c>
      <c r="I609" s="13">
        <f t="shared" ca="1" si="62"/>
        <v>-13</v>
      </c>
      <c r="J609" s="14">
        <f t="shared" ca="1" si="59"/>
        <v>9</v>
      </c>
      <c r="K609" s="12" t="s">
        <v>40</v>
      </c>
      <c r="L609" s="12">
        <v>49</v>
      </c>
      <c r="M609" s="12" t="s">
        <v>44</v>
      </c>
      <c r="N609" s="12">
        <v>130</v>
      </c>
    </row>
    <row r="610" spans="1:15">
      <c r="A610" s="12">
        <f t="shared" si="63"/>
        <v>608</v>
      </c>
      <c r="B610" s="12" t="s">
        <v>7</v>
      </c>
      <c r="C610" s="12" t="s">
        <v>507</v>
      </c>
      <c r="D610" s="12" t="s">
        <v>435</v>
      </c>
      <c r="E610" s="89">
        <f t="shared" ca="1" si="58"/>
        <v>40951</v>
      </c>
      <c r="F610" s="11">
        <f>DATE(56,11,29)</f>
        <v>20788</v>
      </c>
      <c r="G610" s="12">
        <f t="shared" ca="1" si="60"/>
        <v>56</v>
      </c>
      <c r="H610" s="12">
        <f t="shared" ca="1" si="61"/>
        <v>-9</v>
      </c>
      <c r="I610" s="13">
        <f t="shared" ca="1" si="62"/>
        <v>-17</v>
      </c>
      <c r="J610" s="14">
        <f t="shared" ca="1" si="59"/>
        <v>55</v>
      </c>
      <c r="K610" s="12" t="s">
        <v>40</v>
      </c>
      <c r="L610" s="12">
        <v>49</v>
      </c>
      <c r="M610" s="12" t="s">
        <v>40</v>
      </c>
      <c r="N610" s="12">
        <v>131</v>
      </c>
      <c r="O610" s="90" t="s">
        <v>2748</v>
      </c>
    </row>
    <row r="611" spans="1:15">
      <c r="A611" s="12">
        <f t="shared" si="63"/>
        <v>609</v>
      </c>
      <c r="B611" s="12" t="s">
        <v>7</v>
      </c>
      <c r="C611" s="12" t="s">
        <v>359</v>
      </c>
      <c r="D611" s="12" t="s">
        <v>507</v>
      </c>
      <c r="E611" s="89">
        <f t="shared" ref="E611:E674" ca="1" si="64">TODAY()</f>
        <v>40951</v>
      </c>
      <c r="F611" s="11">
        <f>DATE(64,6,17)</f>
        <v>23545</v>
      </c>
      <c r="G611" s="12">
        <f t="shared" ca="1" si="60"/>
        <v>48</v>
      </c>
      <c r="H611" s="12">
        <f t="shared" ca="1" si="61"/>
        <v>-4</v>
      </c>
      <c r="I611" s="13">
        <f t="shared" ca="1" si="62"/>
        <v>-5</v>
      </c>
      <c r="J611" s="14">
        <f t="shared" ca="1" si="59"/>
        <v>47</v>
      </c>
      <c r="K611" s="12" t="s">
        <v>41</v>
      </c>
      <c r="L611" s="12">
        <v>49</v>
      </c>
      <c r="M611" s="12" t="s">
        <v>40</v>
      </c>
      <c r="N611" s="12">
        <v>131</v>
      </c>
    </row>
    <row r="612" spans="1:15">
      <c r="A612" s="12">
        <f t="shared" si="63"/>
        <v>610</v>
      </c>
      <c r="B612" s="12" t="s">
        <v>7</v>
      </c>
      <c r="C612" s="12" t="s">
        <v>508</v>
      </c>
      <c r="D612" s="12" t="s">
        <v>507</v>
      </c>
      <c r="E612" s="89">
        <f t="shared" ca="1" si="64"/>
        <v>40951</v>
      </c>
      <c r="F612" s="11">
        <f>DATE(85,9,23)</f>
        <v>31313</v>
      </c>
      <c r="G612" s="12">
        <f t="shared" ca="1" si="60"/>
        <v>27</v>
      </c>
      <c r="H612" s="12">
        <f t="shared" ca="1" si="61"/>
        <v>-7</v>
      </c>
      <c r="I612" s="13">
        <f t="shared" ca="1" si="62"/>
        <v>-11</v>
      </c>
      <c r="J612" s="14">
        <f t="shared" ca="1" si="59"/>
        <v>26</v>
      </c>
      <c r="K612" s="12" t="s">
        <v>41</v>
      </c>
      <c r="L612" s="12">
        <v>49</v>
      </c>
      <c r="M612" s="12" t="s">
        <v>44</v>
      </c>
      <c r="N612" s="12">
        <v>131</v>
      </c>
    </row>
    <row r="613" spans="1:15">
      <c r="A613" s="12">
        <f t="shared" si="63"/>
        <v>611</v>
      </c>
      <c r="B613" s="12" t="s">
        <v>7</v>
      </c>
      <c r="C613" s="12" t="s">
        <v>183</v>
      </c>
      <c r="D613" s="12" t="s">
        <v>507</v>
      </c>
      <c r="E613" s="89">
        <f t="shared" ca="1" si="64"/>
        <v>40951</v>
      </c>
      <c r="F613" s="11">
        <f>DATE(90,5,22)</f>
        <v>33015</v>
      </c>
      <c r="G613" s="12">
        <f t="shared" ca="1" si="60"/>
        <v>22</v>
      </c>
      <c r="H613" s="12">
        <f t="shared" ca="1" si="61"/>
        <v>-3</v>
      </c>
      <c r="I613" s="13">
        <f t="shared" ca="1" si="62"/>
        <v>-10</v>
      </c>
      <c r="J613" s="14">
        <f t="shared" ca="1" si="59"/>
        <v>21</v>
      </c>
      <c r="K613" s="12" t="s">
        <v>40</v>
      </c>
      <c r="L613" s="12">
        <v>49</v>
      </c>
      <c r="M613" s="12" t="s">
        <v>44</v>
      </c>
      <c r="N613" s="12">
        <v>131</v>
      </c>
    </row>
    <row r="614" spans="1:15">
      <c r="A614" s="12">
        <f t="shared" si="63"/>
        <v>612</v>
      </c>
      <c r="B614" s="12" t="s">
        <v>7</v>
      </c>
      <c r="C614" s="12" t="s">
        <v>324</v>
      </c>
      <c r="D614" s="12" t="s">
        <v>507</v>
      </c>
      <c r="E614" s="89">
        <f t="shared" ca="1" si="64"/>
        <v>40951</v>
      </c>
      <c r="F614" s="11">
        <f>DATE(92,10,30)</f>
        <v>33907</v>
      </c>
      <c r="G614" s="12">
        <f t="shared" ca="1" si="60"/>
        <v>20</v>
      </c>
      <c r="H614" s="12">
        <f t="shared" ca="1" si="61"/>
        <v>-8</v>
      </c>
      <c r="I614" s="13">
        <f t="shared" ca="1" si="62"/>
        <v>-18</v>
      </c>
      <c r="J614" s="14">
        <f t="shared" ca="1" si="59"/>
        <v>19</v>
      </c>
      <c r="K614" s="12" t="s">
        <v>41</v>
      </c>
      <c r="L614" s="12">
        <v>49</v>
      </c>
      <c r="M614" s="12" t="s">
        <v>44</v>
      </c>
      <c r="N614" s="12">
        <v>131</v>
      </c>
    </row>
    <row r="615" spans="1:15">
      <c r="A615" s="12">
        <f t="shared" si="63"/>
        <v>613</v>
      </c>
      <c r="B615" s="12" t="s">
        <v>7</v>
      </c>
      <c r="C615" s="12" t="s">
        <v>509</v>
      </c>
      <c r="D615" s="12" t="s">
        <v>510</v>
      </c>
      <c r="E615" s="89">
        <f t="shared" ca="1" si="64"/>
        <v>40951</v>
      </c>
      <c r="F615" s="11">
        <f>DATE(44,2,24)</f>
        <v>16126</v>
      </c>
      <c r="G615" s="12">
        <f t="shared" ca="1" si="60"/>
        <v>68</v>
      </c>
      <c r="H615" s="12">
        <f t="shared" ca="1" si="61"/>
        <v>0</v>
      </c>
      <c r="I615" s="13">
        <f t="shared" ca="1" si="62"/>
        <v>-12</v>
      </c>
      <c r="J615" s="14">
        <f t="shared" ca="1" si="59"/>
        <v>67</v>
      </c>
      <c r="K615" s="12" t="s">
        <v>40</v>
      </c>
      <c r="L615" s="12">
        <v>50</v>
      </c>
      <c r="M615" s="12" t="s">
        <v>40</v>
      </c>
      <c r="N615" s="12">
        <v>132</v>
      </c>
      <c r="O615" s="90" t="s">
        <v>2748</v>
      </c>
    </row>
    <row r="616" spans="1:15">
      <c r="A616" s="12">
        <f t="shared" si="63"/>
        <v>614</v>
      </c>
      <c r="B616" s="12" t="s">
        <v>7</v>
      </c>
      <c r="C616" s="12" t="s">
        <v>511</v>
      </c>
      <c r="D616" s="12" t="s">
        <v>509</v>
      </c>
      <c r="E616" s="89">
        <f t="shared" ca="1" si="64"/>
        <v>40951</v>
      </c>
      <c r="F616" s="11">
        <f>DATE(57,6,10)</f>
        <v>20981</v>
      </c>
      <c r="G616" s="12">
        <f t="shared" ca="1" si="60"/>
        <v>55</v>
      </c>
      <c r="H616" s="12">
        <f t="shared" ca="1" si="61"/>
        <v>-4</v>
      </c>
      <c r="I616" s="13">
        <f t="shared" ca="1" si="62"/>
        <v>2</v>
      </c>
      <c r="J616" s="14">
        <f t="shared" ca="1" si="59"/>
        <v>54</v>
      </c>
      <c r="K616" s="12" t="s">
        <v>41</v>
      </c>
      <c r="L616" s="12">
        <v>50</v>
      </c>
      <c r="M616" s="12" t="s">
        <v>40</v>
      </c>
      <c r="N616" s="12">
        <v>132</v>
      </c>
    </row>
    <row r="617" spans="1:15">
      <c r="A617" s="12">
        <f t="shared" si="63"/>
        <v>615</v>
      </c>
      <c r="B617" s="12" t="s">
        <v>7</v>
      </c>
      <c r="C617" s="12" t="s">
        <v>512</v>
      </c>
      <c r="D617" s="12" t="s">
        <v>509</v>
      </c>
      <c r="E617" s="89">
        <f t="shared" ca="1" si="64"/>
        <v>40951</v>
      </c>
      <c r="F617" s="11">
        <f>DATE(72,2,8)</f>
        <v>26337</v>
      </c>
      <c r="G617" s="12">
        <f t="shared" ca="1" si="60"/>
        <v>40</v>
      </c>
      <c r="H617" s="12">
        <f t="shared" ca="1" si="61"/>
        <v>0</v>
      </c>
      <c r="I617" s="13">
        <f t="shared" ca="1" si="62"/>
        <v>4</v>
      </c>
      <c r="J617" s="14">
        <f t="shared" ca="1" si="59"/>
        <v>40</v>
      </c>
      <c r="K617" s="12" t="s">
        <v>40</v>
      </c>
      <c r="L617" s="12">
        <v>50</v>
      </c>
      <c r="M617" s="12" t="s">
        <v>40</v>
      </c>
      <c r="N617" s="12">
        <v>132</v>
      </c>
    </row>
    <row r="618" spans="1:15">
      <c r="A618" s="12">
        <f t="shared" si="63"/>
        <v>616</v>
      </c>
      <c r="B618" s="12" t="s">
        <v>7</v>
      </c>
      <c r="C618" s="12" t="s">
        <v>513</v>
      </c>
      <c r="D618" s="12" t="s">
        <v>512</v>
      </c>
      <c r="E618" s="89">
        <f t="shared" ca="1" si="64"/>
        <v>40951</v>
      </c>
      <c r="F618" s="11">
        <f>DATE(76,1,19)</f>
        <v>27778</v>
      </c>
      <c r="G618" s="12">
        <f t="shared" ca="1" si="60"/>
        <v>36</v>
      </c>
      <c r="H618" s="12">
        <f t="shared" ca="1" si="61"/>
        <v>1</v>
      </c>
      <c r="I618" s="13">
        <f t="shared" ca="1" si="62"/>
        <v>-7</v>
      </c>
      <c r="J618" s="14">
        <f t="shared" ca="1" si="59"/>
        <v>36</v>
      </c>
      <c r="K618" s="12" t="s">
        <v>41</v>
      </c>
      <c r="L618" s="12">
        <v>50</v>
      </c>
      <c r="M618" s="12" t="s">
        <v>40</v>
      </c>
      <c r="N618" s="12">
        <v>132</v>
      </c>
    </row>
    <row r="619" spans="1:15">
      <c r="A619" s="12">
        <f t="shared" si="63"/>
        <v>617</v>
      </c>
      <c r="B619" s="12" t="s">
        <v>7</v>
      </c>
      <c r="C619" s="12" t="s">
        <v>514</v>
      </c>
      <c r="D619" s="12" t="s">
        <v>512</v>
      </c>
      <c r="E619" s="89">
        <f t="shared" ca="1" si="64"/>
        <v>40951</v>
      </c>
      <c r="F619" s="11">
        <f>DATE(2004,11,5)</f>
        <v>38296</v>
      </c>
      <c r="G619" s="12">
        <f t="shared" ca="1" si="60"/>
        <v>8</v>
      </c>
      <c r="H619" s="12">
        <f t="shared" ca="1" si="61"/>
        <v>-9</v>
      </c>
      <c r="I619" s="13">
        <f t="shared" ca="1" si="62"/>
        <v>7</v>
      </c>
      <c r="J619" s="14">
        <f t="shared" ca="1" si="59"/>
        <v>7</v>
      </c>
      <c r="K619" s="12" t="s">
        <v>41</v>
      </c>
      <c r="L619" s="12">
        <v>50</v>
      </c>
      <c r="M619" s="12" t="s">
        <v>44</v>
      </c>
      <c r="N619" s="12">
        <v>132</v>
      </c>
    </row>
    <row r="620" spans="1:15">
      <c r="A620" s="12">
        <f t="shared" si="63"/>
        <v>618</v>
      </c>
      <c r="B620" s="12" t="s">
        <v>7</v>
      </c>
      <c r="C620" s="12" t="s">
        <v>163</v>
      </c>
      <c r="D620" s="12" t="s">
        <v>509</v>
      </c>
      <c r="E620" s="89">
        <f t="shared" ca="1" si="64"/>
        <v>40951</v>
      </c>
      <c r="F620" s="11">
        <f>DATE(81,5,9)</f>
        <v>29715</v>
      </c>
      <c r="G620" s="12">
        <f t="shared" ca="1" si="60"/>
        <v>31</v>
      </c>
      <c r="H620" s="12">
        <f t="shared" ca="1" si="61"/>
        <v>-3</v>
      </c>
      <c r="I620" s="13">
        <f t="shared" ca="1" si="62"/>
        <v>3</v>
      </c>
      <c r="J620" s="14">
        <f t="shared" ca="1" si="59"/>
        <v>30</v>
      </c>
      <c r="K620" s="12" t="s">
        <v>41</v>
      </c>
      <c r="L620" s="12">
        <v>50</v>
      </c>
      <c r="M620" s="12" t="s">
        <v>44</v>
      </c>
      <c r="N620" s="12">
        <v>132</v>
      </c>
    </row>
    <row r="621" spans="1:15">
      <c r="A621" s="12">
        <f t="shared" si="63"/>
        <v>619</v>
      </c>
      <c r="B621" s="12" t="s">
        <v>7</v>
      </c>
      <c r="C621" s="12" t="s">
        <v>515</v>
      </c>
      <c r="D621" s="12" t="s">
        <v>509</v>
      </c>
      <c r="E621" s="89">
        <f t="shared" ca="1" si="64"/>
        <v>40951</v>
      </c>
      <c r="F621" s="11">
        <f>DATE(85,4,1)</f>
        <v>31138</v>
      </c>
      <c r="G621" s="12">
        <f t="shared" ca="1" si="60"/>
        <v>27</v>
      </c>
      <c r="H621" s="12">
        <f t="shared" ca="1" si="61"/>
        <v>-2</v>
      </c>
      <c r="I621" s="13">
        <f t="shared" ca="1" si="62"/>
        <v>11</v>
      </c>
      <c r="J621" s="14">
        <f t="shared" ca="1" si="59"/>
        <v>26</v>
      </c>
      <c r="K621" s="12" t="s">
        <v>41</v>
      </c>
      <c r="L621" s="12">
        <v>50</v>
      </c>
      <c r="M621" s="12" t="s">
        <v>44</v>
      </c>
      <c r="N621" s="12">
        <v>132</v>
      </c>
    </row>
    <row r="622" spans="1:15">
      <c r="A622" s="12">
        <f t="shared" si="63"/>
        <v>620</v>
      </c>
      <c r="B622" s="12" t="s">
        <v>7</v>
      </c>
      <c r="C622" s="12" t="s">
        <v>516</v>
      </c>
      <c r="D622" s="12" t="s">
        <v>435</v>
      </c>
      <c r="E622" s="89">
        <f t="shared" ca="1" si="64"/>
        <v>40951</v>
      </c>
      <c r="F622" s="11">
        <f>DATE(71,1,8)</f>
        <v>25941</v>
      </c>
      <c r="G622" s="12">
        <f t="shared" ca="1" si="60"/>
        <v>41</v>
      </c>
      <c r="H622" s="12">
        <f t="shared" ca="1" si="61"/>
        <v>1</v>
      </c>
      <c r="I622" s="13">
        <f t="shared" ca="1" si="62"/>
        <v>4</v>
      </c>
      <c r="J622" s="14">
        <f t="shared" ca="1" si="59"/>
        <v>41</v>
      </c>
      <c r="K622" s="12" t="s">
        <v>40</v>
      </c>
      <c r="L622" s="12">
        <v>50</v>
      </c>
      <c r="M622" s="12" t="s">
        <v>40</v>
      </c>
      <c r="N622" s="12">
        <v>133</v>
      </c>
      <c r="O622" s="90" t="s">
        <v>2748</v>
      </c>
    </row>
    <row r="623" spans="1:15">
      <c r="A623" s="12">
        <f t="shared" si="63"/>
        <v>621</v>
      </c>
      <c r="B623" s="12" t="s">
        <v>7</v>
      </c>
      <c r="C623" s="12" t="s">
        <v>487</v>
      </c>
      <c r="D623" s="12" t="s">
        <v>516</v>
      </c>
      <c r="E623" s="89">
        <f t="shared" ca="1" si="64"/>
        <v>40951</v>
      </c>
      <c r="F623" s="11">
        <f>DATE(75,10,23)</f>
        <v>27690</v>
      </c>
      <c r="G623" s="12">
        <f t="shared" ca="1" si="60"/>
        <v>37</v>
      </c>
      <c r="H623" s="12">
        <f t="shared" ca="1" si="61"/>
        <v>-8</v>
      </c>
      <c r="I623" s="13">
        <f t="shared" ca="1" si="62"/>
        <v>-11</v>
      </c>
      <c r="J623" s="14">
        <f t="shared" ca="1" si="59"/>
        <v>36</v>
      </c>
      <c r="K623" s="12" t="s">
        <v>41</v>
      </c>
      <c r="L623" s="12">
        <v>50</v>
      </c>
      <c r="M623" s="12" t="s">
        <v>40</v>
      </c>
      <c r="N623" s="12">
        <v>133</v>
      </c>
    </row>
    <row r="624" spans="1:15">
      <c r="A624" s="12">
        <f t="shared" si="63"/>
        <v>622</v>
      </c>
      <c r="B624" s="12" t="s">
        <v>7</v>
      </c>
      <c r="C624" s="12" t="s">
        <v>517</v>
      </c>
      <c r="D624" s="12" t="s">
        <v>516</v>
      </c>
      <c r="E624" s="89">
        <f t="shared" ca="1" si="64"/>
        <v>40951</v>
      </c>
      <c r="F624" s="11">
        <f>DATE(2005,2,5)</f>
        <v>38388</v>
      </c>
      <c r="G624" s="12">
        <f t="shared" ca="1" si="60"/>
        <v>7</v>
      </c>
      <c r="H624" s="12">
        <f t="shared" ca="1" si="61"/>
        <v>0</v>
      </c>
      <c r="I624" s="13">
        <f t="shared" ca="1" si="62"/>
        <v>7</v>
      </c>
      <c r="J624" s="14">
        <f t="shared" ca="1" si="59"/>
        <v>7</v>
      </c>
      <c r="K624" s="12" t="s">
        <v>40</v>
      </c>
      <c r="L624" s="12">
        <v>50</v>
      </c>
      <c r="M624" s="12" t="s">
        <v>44</v>
      </c>
      <c r="N624" s="12">
        <v>133</v>
      </c>
    </row>
    <row r="625" spans="1:15">
      <c r="A625" s="12">
        <f t="shared" si="63"/>
        <v>623</v>
      </c>
      <c r="B625" s="12" t="s">
        <v>7</v>
      </c>
      <c r="C625" s="12" t="s">
        <v>518</v>
      </c>
      <c r="D625" s="12" t="s">
        <v>519</v>
      </c>
      <c r="E625" s="89">
        <f t="shared" ca="1" si="64"/>
        <v>40951</v>
      </c>
      <c r="F625" s="32"/>
      <c r="G625" s="12">
        <f t="shared" ca="1" si="60"/>
        <v>112</v>
      </c>
      <c r="H625" s="12">
        <f t="shared" ca="1" si="61"/>
        <v>1</v>
      </c>
      <c r="I625" s="13">
        <f t="shared" ca="1" si="62"/>
        <v>12</v>
      </c>
      <c r="J625" s="14">
        <f t="shared" ca="1" si="59"/>
        <v>112</v>
      </c>
      <c r="K625" s="12" t="s">
        <v>40</v>
      </c>
      <c r="L625" s="12">
        <v>50</v>
      </c>
      <c r="M625" s="12" t="s">
        <v>44</v>
      </c>
      <c r="N625" s="12">
        <v>134</v>
      </c>
      <c r="O625" s="90" t="s">
        <v>2748</v>
      </c>
    </row>
    <row r="626" spans="1:15">
      <c r="A626" s="12">
        <f t="shared" si="63"/>
        <v>624</v>
      </c>
      <c r="B626" s="12" t="s">
        <v>7</v>
      </c>
      <c r="C626" s="12" t="s">
        <v>519</v>
      </c>
      <c r="E626" s="89">
        <f t="shared" ca="1" si="64"/>
        <v>40951</v>
      </c>
      <c r="F626" s="32"/>
      <c r="G626" s="12">
        <f t="shared" ca="1" si="60"/>
        <v>112</v>
      </c>
      <c r="H626" s="12">
        <f t="shared" ca="1" si="61"/>
        <v>1</v>
      </c>
      <c r="I626" s="13">
        <f t="shared" ca="1" si="62"/>
        <v>12</v>
      </c>
      <c r="J626" s="14">
        <f t="shared" ca="1" si="59"/>
        <v>112</v>
      </c>
      <c r="K626" s="12" t="s">
        <v>40</v>
      </c>
      <c r="L626" s="12">
        <v>50</v>
      </c>
      <c r="M626" s="12" t="s">
        <v>40</v>
      </c>
      <c r="N626" s="12">
        <v>134</v>
      </c>
    </row>
    <row r="627" spans="1:15">
      <c r="A627" s="12">
        <f t="shared" si="63"/>
        <v>625</v>
      </c>
      <c r="B627" s="12" t="s">
        <v>7</v>
      </c>
      <c r="C627" s="12" t="s">
        <v>318</v>
      </c>
      <c r="D627" s="12" t="s">
        <v>519</v>
      </c>
      <c r="E627" s="89">
        <f t="shared" ca="1" si="64"/>
        <v>40951</v>
      </c>
      <c r="F627" s="32"/>
      <c r="G627" s="12">
        <f t="shared" ca="1" si="60"/>
        <v>112</v>
      </c>
      <c r="H627" s="12">
        <f t="shared" ca="1" si="61"/>
        <v>1</v>
      </c>
      <c r="I627" s="13">
        <f t="shared" ca="1" si="62"/>
        <v>12</v>
      </c>
      <c r="J627" s="14">
        <f t="shared" ca="1" si="59"/>
        <v>112</v>
      </c>
      <c r="K627" s="12" t="s">
        <v>41</v>
      </c>
      <c r="L627" s="12">
        <v>50</v>
      </c>
      <c r="M627" s="12" t="s">
        <v>40</v>
      </c>
      <c r="N627" s="12">
        <v>134</v>
      </c>
    </row>
    <row r="628" spans="1:15">
      <c r="A628" s="12">
        <f t="shared" si="63"/>
        <v>626</v>
      </c>
      <c r="B628" s="12" t="s">
        <v>8</v>
      </c>
      <c r="C628" s="12" t="s">
        <v>162</v>
      </c>
      <c r="D628" s="12" t="s">
        <v>77</v>
      </c>
      <c r="E628" s="89">
        <f t="shared" ca="1" si="64"/>
        <v>40951</v>
      </c>
      <c r="F628" s="11">
        <f>DATE(56,1,16)</f>
        <v>20470</v>
      </c>
      <c r="G628" s="12">
        <f t="shared" ca="1" si="60"/>
        <v>56</v>
      </c>
      <c r="H628" s="12">
        <f t="shared" ca="1" si="61"/>
        <v>1</v>
      </c>
      <c r="I628" s="13">
        <f t="shared" ca="1" si="62"/>
        <v>-4</v>
      </c>
      <c r="J628" s="14">
        <f t="shared" ca="1" si="59"/>
        <v>56</v>
      </c>
      <c r="K628" s="12" t="s">
        <v>40</v>
      </c>
      <c r="L628" s="12">
        <v>51</v>
      </c>
      <c r="M628" s="12" t="s">
        <v>40</v>
      </c>
      <c r="N628" s="12">
        <v>135</v>
      </c>
      <c r="O628" s="90" t="s">
        <v>2748</v>
      </c>
    </row>
    <row r="629" spans="1:15">
      <c r="A629" s="12">
        <f t="shared" si="63"/>
        <v>627</v>
      </c>
      <c r="B629" s="12" t="s">
        <v>8</v>
      </c>
      <c r="C629" s="12" t="s">
        <v>73</v>
      </c>
      <c r="D629" s="12" t="s">
        <v>162</v>
      </c>
      <c r="E629" s="89">
        <f t="shared" ca="1" si="64"/>
        <v>40951</v>
      </c>
      <c r="F629" s="11">
        <f>DATE(59,5,5)</f>
        <v>21675</v>
      </c>
      <c r="G629" s="12">
        <f t="shared" ca="1" si="60"/>
        <v>53</v>
      </c>
      <c r="H629" s="12">
        <f t="shared" ca="1" si="61"/>
        <v>-3</v>
      </c>
      <c r="I629" s="13">
        <f t="shared" ca="1" si="62"/>
        <v>7</v>
      </c>
      <c r="J629" s="14">
        <f t="shared" ca="1" si="59"/>
        <v>52</v>
      </c>
      <c r="K629" s="12" t="s">
        <v>41</v>
      </c>
      <c r="L629" s="12">
        <v>51</v>
      </c>
      <c r="M629" s="12" t="s">
        <v>40</v>
      </c>
      <c r="N629" s="12">
        <v>135</v>
      </c>
    </row>
    <row r="630" spans="1:15">
      <c r="A630" s="12">
        <f t="shared" si="63"/>
        <v>628</v>
      </c>
      <c r="B630" s="12" t="s">
        <v>8</v>
      </c>
      <c r="C630" s="12" t="s">
        <v>520</v>
      </c>
      <c r="D630" s="12" t="s">
        <v>162</v>
      </c>
      <c r="E630" s="89">
        <f t="shared" ca="1" si="64"/>
        <v>40951</v>
      </c>
      <c r="F630" s="11">
        <f>DATE(86,12,17)</f>
        <v>31763</v>
      </c>
      <c r="G630" s="12">
        <f t="shared" ca="1" si="60"/>
        <v>26</v>
      </c>
      <c r="H630" s="12">
        <f t="shared" ca="1" si="61"/>
        <v>-10</v>
      </c>
      <c r="I630" s="13">
        <f t="shared" ca="1" si="62"/>
        <v>-5</v>
      </c>
      <c r="J630" s="14">
        <f t="shared" ca="1" si="59"/>
        <v>25</v>
      </c>
      <c r="K630" s="12" t="s">
        <v>41</v>
      </c>
      <c r="L630" s="12">
        <v>51</v>
      </c>
      <c r="M630" s="12" t="s">
        <v>44</v>
      </c>
      <c r="N630" s="12">
        <v>135</v>
      </c>
    </row>
    <row r="631" spans="1:15">
      <c r="A631" s="12">
        <f t="shared" si="63"/>
        <v>629</v>
      </c>
      <c r="B631" s="12" t="s">
        <v>8</v>
      </c>
      <c r="C631" s="12" t="s">
        <v>521</v>
      </c>
      <c r="D631" s="12" t="s">
        <v>522</v>
      </c>
      <c r="E631" s="89">
        <f t="shared" ca="1" si="64"/>
        <v>40951</v>
      </c>
      <c r="F631" s="11">
        <f>DATE(47,8,2)</f>
        <v>17381</v>
      </c>
      <c r="G631" s="12">
        <f t="shared" ca="1" si="60"/>
        <v>65</v>
      </c>
      <c r="H631" s="12">
        <f t="shared" ca="1" si="61"/>
        <v>-6</v>
      </c>
      <c r="I631" s="13">
        <f t="shared" ca="1" si="62"/>
        <v>10</v>
      </c>
      <c r="J631" s="14">
        <f t="shared" ca="1" si="59"/>
        <v>64</v>
      </c>
      <c r="K631" s="12" t="s">
        <v>40</v>
      </c>
      <c r="L631" s="12">
        <v>51</v>
      </c>
      <c r="M631" s="12" t="s">
        <v>40</v>
      </c>
      <c r="N631" s="12">
        <v>136</v>
      </c>
      <c r="O631" s="90" t="s">
        <v>2748</v>
      </c>
    </row>
    <row r="632" spans="1:15">
      <c r="A632" s="12">
        <f t="shared" si="63"/>
        <v>630</v>
      </c>
      <c r="B632" s="12" t="s">
        <v>8</v>
      </c>
      <c r="C632" s="12" t="s">
        <v>523</v>
      </c>
      <c r="D632" s="12" t="s">
        <v>521</v>
      </c>
      <c r="E632" s="89">
        <f t="shared" ca="1" si="64"/>
        <v>40951</v>
      </c>
      <c r="F632" s="11">
        <f>DATE(48,4,10)</f>
        <v>17633</v>
      </c>
      <c r="G632" s="12">
        <f t="shared" ca="1" si="60"/>
        <v>64</v>
      </c>
      <c r="H632" s="12">
        <f t="shared" ca="1" si="61"/>
        <v>-2</v>
      </c>
      <c r="I632" s="13">
        <f t="shared" ca="1" si="62"/>
        <v>2</v>
      </c>
      <c r="J632" s="14">
        <f t="shared" ca="1" si="59"/>
        <v>63</v>
      </c>
      <c r="K632" s="12" t="s">
        <v>41</v>
      </c>
      <c r="L632" s="12">
        <v>51</v>
      </c>
      <c r="M632" s="12" t="s">
        <v>40</v>
      </c>
      <c r="N632" s="12">
        <v>136</v>
      </c>
    </row>
    <row r="633" spans="1:15">
      <c r="A633" s="12">
        <f t="shared" si="63"/>
        <v>631</v>
      </c>
      <c r="B633" s="12" t="s">
        <v>8</v>
      </c>
      <c r="C633" s="12" t="s">
        <v>446</v>
      </c>
      <c r="D633" s="12" t="s">
        <v>521</v>
      </c>
      <c r="E633" s="89">
        <f t="shared" ca="1" si="64"/>
        <v>40951</v>
      </c>
      <c r="F633" s="11">
        <f>DATE(68,6,23)</f>
        <v>25012</v>
      </c>
      <c r="G633" s="12">
        <f t="shared" ca="1" si="60"/>
        <v>44</v>
      </c>
      <c r="H633" s="12">
        <f t="shared" ca="1" si="61"/>
        <v>-4</v>
      </c>
      <c r="I633" s="13">
        <f t="shared" ca="1" si="62"/>
        <v>-11</v>
      </c>
      <c r="J633" s="14">
        <f t="shared" ca="1" si="59"/>
        <v>43</v>
      </c>
      <c r="K633" s="12" t="s">
        <v>40</v>
      </c>
      <c r="L633" s="12">
        <v>51</v>
      </c>
      <c r="M633" s="12" t="s">
        <v>40</v>
      </c>
      <c r="N633" s="12">
        <v>136</v>
      </c>
    </row>
    <row r="634" spans="1:15">
      <c r="A634" s="12">
        <f t="shared" si="63"/>
        <v>632</v>
      </c>
      <c r="B634" s="12" t="s">
        <v>8</v>
      </c>
      <c r="C634" s="12" t="s">
        <v>150</v>
      </c>
      <c r="D634" s="12" t="s">
        <v>521</v>
      </c>
      <c r="E634" s="89">
        <f t="shared" ca="1" si="64"/>
        <v>40951</v>
      </c>
      <c r="F634" s="11">
        <f>DATE(71,8,27)</f>
        <v>26172</v>
      </c>
      <c r="G634" s="12">
        <f t="shared" ca="1" si="60"/>
        <v>41</v>
      </c>
      <c r="H634" s="12">
        <f t="shared" ca="1" si="61"/>
        <v>-6</v>
      </c>
      <c r="I634" s="13">
        <f t="shared" ca="1" si="62"/>
        <v>-15</v>
      </c>
      <c r="J634" s="14">
        <f t="shared" ca="1" si="59"/>
        <v>40</v>
      </c>
      <c r="K634" s="12" t="s">
        <v>41</v>
      </c>
      <c r="L634" s="12">
        <v>51</v>
      </c>
      <c r="M634" s="12" t="s">
        <v>40</v>
      </c>
      <c r="N634" s="12">
        <v>136</v>
      </c>
    </row>
    <row r="635" spans="1:15">
      <c r="A635" s="12">
        <f t="shared" si="63"/>
        <v>633</v>
      </c>
      <c r="B635" s="12" t="s">
        <v>8</v>
      </c>
      <c r="C635" s="12" t="s">
        <v>340</v>
      </c>
      <c r="D635" s="12" t="s">
        <v>446</v>
      </c>
      <c r="E635" s="89">
        <f t="shared" ca="1" si="64"/>
        <v>40951</v>
      </c>
      <c r="F635" s="11">
        <f>DATE(96,10,28)</f>
        <v>35366</v>
      </c>
      <c r="G635" s="12">
        <f t="shared" ca="1" si="60"/>
        <v>16</v>
      </c>
      <c r="H635" s="12">
        <f t="shared" ca="1" si="61"/>
        <v>-8</v>
      </c>
      <c r="I635" s="13">
        <f t="shared" ca="1" si="62"/>
        <v>-16</v>
      </c>
      <c r="J635" s="14">
        <f t="shared" ca="1" si="59"/>
        <v>15</v>
      </c>
      <c r="K635" s="12" t="s">
        <v>41</v>
      </c>
      <c r="L635" s="12">
        <v>51</v>
      </c>
      <c r="M635" s="12" t="s">
        <v>44</v>
      </c>
      <c r="N635" s="12">
        <v>136</v>
      </c>
    </row>
    <row r="636" spans="1:15">
      <c r="A636" s="12">
        <f t="shared" si="63"/>
        <v>634</v>
      </c>
      <c r="B636" s="12" t="s">
        <v>8</v>
      </c>
      <c r="C636" s="12" t="s">
        <v>524</v>
      </c>
      <c r="D636" s="12" t="s">
        <v>446</v>
      </c>
      <c r="E636" s="89">
        <f t="shared" ca="1" si="64"/>
        <v>40951</v>
      </c>
      <c r="F636" s="11">
        <f>DATE(2001,10,29)</f>
        <v>37193</v>
      </c>
      <c r="G636" s="12">
        <f t="shared" ca="1" si="60"/>
        <v>11</v>
      </c>
      <c r="H636" s="12">
        <f t="shared" ca="1" si="61"/>
        <v>-8</v>
      </c>
      <c r="I636" s="13">
        <f t="shared" ca="1" si="62"/>
        <v>-17</v>
      </c>
      <c r="J636" s="14">
        <f t="shared" ca="1" si="59"/>
        <v>10</v>
      </c>
      <c r="K636" s="12" t="s">
        <v>41</v>
      </c>
      <c r="L636" s="12">
        <v>51</v>
      </c>
      <c r="M636" s="12" t="s">
        <v>44</v>
      </c>
      <c r="N636" s="12">
        <v>136</v>
      </c>
    </row>
    <row r="637" spans="1:15">
      <c r="A637" s="12">
        <f t="shared" si="63"/>
        <v>635</v>
      </c>
      <c r="B637" s="12" t="s">
        <v>8</v>
      </c>
      <c r="C637" s="12" t="s">
        <v>521</v>
      </c>
      <c r="D637" s="12" t="s">
        <v>267</v>
      </c>
      <c r="E637" s="89">
        <f t="shared" ca="1" si="64"/>
        <v>40951</v>
      </c>
      <c r="F637" s="11">
        <f>DATE(55,8,13)</f>
        <v>20314</v>
      </c>
      <c r="G637" s="12">
        <f t="shared" ca="1" si="60"/>
        <v>57</v>
      </c>
      <c r="H637" s="12">
        <f t="shared" ca="1" si="61"/>
        <v>-6</v>
      </c>
      <c r="I637" s="13">
        <f t="shared" ca="1" si="62"/>
        <v>-1</v>
      </c>
      <c r="J637" s="14">
        <f t="shared" ca="1" si="59"/>
        <v>56</v>
      </c>
      <c r="K637" s="12" t="s">
        <v>40</v>
      </c>
      <c r="L637" s="12">
        <v>51</v>
      </c>
      <c r="M637" s="12" t="s">
        <v>40</v>
      </c>
      <c r="N637" s="12">
        <v>137</v>
      </c>
      <c r="O637" s="90" t="s">
        <v>2748</v>
      </c>
    </row>
    <row r="638" spans="1:15">
      <c r="A638" s="12">
        <f t="shared" si="63"/>
        <v>636</v>
      </c>
      <c r="B638" s="12" t="s">
        <v>8</v>
      </c>
      <c r="C638" s="12" t="s">
        <v>525</v>
      </c>
      <c r="D638" s="12" t="s">
        <v>521</v>
      </c>
      <c r="E638" s="89">
        <f t="shared" ca="1" si="64"/>
        <v>40951</v>
      </c>
      <c r="F638" s="11">
        <f>DATE(64,4,9)</f>
        <v>23476</v>
      </c>
      <c r="G638" s="12">
        <f t="shared" ca="1" si="60"/>
        <v>48</v>
      </c>
      <c r="H638" s="12">
        <f t="shared" ca="1" si="61"/>
        <v>-2</v>
      </c>
      <c r="I638" s="13">
        <f t="shared" ca="1" si="62"/>
        <v>3</v>
      </c>
      <c r="J638" s="14">
        <f t="shared" ca="1" si="59"/>
        <v>47</v>
      </c>
      <c r="K638" s="12" t="s">
        <v>41</v>
      </c>
      <c r="L638" s="12">
        <v>51</v>
      </c>
      <c r="M638" s="12" t="s">
        <v>40</v>
      </c>
      <c r="N638" s="12">
        <v>137</v>
      </c>
    </row>
    <row r="639" spans="1:15">
      <c r="A639" s="12">
        <f t="shared" si="63"/>
        <v>637</v>
      </c>
      <c r="B639" s="12" t="s">
        <v>8</v>
      </c>
      <c r="C639" s="12" t="s">
        <v>526</v>
      </c>
      <c r="D639" s="12" t="s">
        <v>521</v>
      </c>
      <c r="E639" s="89">
        <f t="shared" ca="1" si="64"/>
        <v>40951</v>
      </c>
      <c r="F639" s="11">
        <f>DATE(83,4,3)</f>
        <v>30409</v>
      </c>
      <c r="G639" s="12">
        <f t="shared" ca="1" si="60"/>
        <v>29</v>
      </c>
      <c r="H639" s="12">
        <f t="shared" ca="1" si="61"/>
        <v>-2</v>
      </c>
      <c r="I639" s="13">
        <f t="shared" ca="1" si="62"/>
        <v>9</v>
      </c>
      <c r="J639" s="14">
        <f t="shared" ca="1" si="59"/>
        <v>28</v>
      </c>
      <c r="K639" s="12" t="s">
        <v>40</v>
      </c>
      <c r="L639" s="12">
        <v>51</v>
      </c>
      <c r="M639" s="12" t="s">
        <v>44</v>
      </c>
      <c r="N639" s="12">
        <v>137</v>
      </c>
    </row>
    <row r="640" spans="1:15">
      <c r="A640" s="12">
        <f t="shared" si="63"/>
        <v>638</v>
      </c>
      <c r="B640" s="12" t="s">
        <v>8</v>
      </c>
      <c r="C640" s="12" t="s">
        <v>376</v>
      </c>
      <c r="D640" s="12" t="s">
        <v>521</v>
      </c>
      <c r="E640" s="89">
        <f t="shared" ca="1" si="64"/>
        <v>40951</v>
      </c>
      <c r="F640" s="11">
        <f>DATE(87,3,1)</f>
        <v>31837</v>
      </c>
      <c r="G640" s="12">
        <f t="shared" ca="1" si="60"/>
        <v>25</v>
      </c>
      <c r="H640" s="12">
        <f t="shared" ca="1" si="61"/>
        <v>-1</v>
      </c>
      <c r="I640" s="13">
        <f t="shared" ca="1" si="62"/>
        <v>11</v>
      </c>
      <c r="J640" s="14">
        <f t="shared" ca="1" si="59"/>
        <v>24</v>
      </c>
      <c r="K640" s="12" t="s">
        <v>40</v>
      </c>
      <c r="L640" s="12">
        <v>51</v>
      </c>
      <c r="M640" s="12" t="s">
        <v>44</v>
      </c>
      <c r="N640" s="12">
        <v>137</v>
      </c>
    </row>
    <row r="641" spans="1:15">
      <c r="A641" s="12">
        <f t="shared" si="63"/>
        <v>639</v>
      </c>
      <c r="B641" s="12" t="s">
        <v>8</v>
      </c>
      <c r="C641" s="12" t="s">
        <v>326</v>
      </c>
      <c r="D641" s="12" t="s">
        <v>267</v>
      </c>
      <c r="E641" s="89">
        <f t="shared" ca="1" si="64"/>
        <v>40951</v>
      </c>
      <c r="F641" s="11">
        <f>DATE(61,3,19)</f>
        <v>22359</v>
      </c>
      <c r="G641" s="12">
        <f t="shared" ca="1" si="60"/>
        <v>51</v>
      </c>
      <c r="H641" s="12">
        <f t="shared" ca="1" si="61"/>
        <v>-1</v>
      </c>
      <c r="I641" s="13">
        <f t="shared" ca="1" si="62"/>
        <v>-7</v>
      </c>
      <c r="J641" s="14">
        <f t="shared" ca="1" si="59"/>
        <v>50</v>
      </c>
      <c r="K641" s="12" t="s">
        <v>40</v>
      </c>
      <c r="L641" s="12">
        <v>52</v>
      </c>
      <c r="M641" s="12" t="s">
        <v>40</v>
      </c>
      <c r="N641" s="12">
        <v>138</v>
      </c>
      <c r="O641" s="90" t="s">
        <v>2748</v>
      </c>
    </row>
    <row r="642" spans="1:15">
      <c r="A642" s="12">
        <f t="shared" si="63"/>
        <v>640</v>
      </c>
      <c r="B642" s="12" t="s">
        <v>8</v>
      </c>
      <c r="C642" s="12" t="s">
        <v>178</v>
      </c>
      <c r="D642" s="12" t="s">
        <v>326</v>
      </c>
      <c r="E642" s="89">
        <f t="shared" ca="1" si="64"/>
        <v>40951</v>
      </c>
      <c r="F642" s="11">
        <f>DATE(63,9,16)</f>
        <v>23270</v>
      </c>
      <c r="G642" s="12">
        <f t="shared" ca="1" si="60"/>
        <v>49</v>
      </c>
      <c r="H642" s="12">
        <f t="shared" ca="1" si="61"/>
        <v>-7</v>
      </c>
      <c r="I642" s="13">
        <f t="shared" ca="1" si="62"/>
        <v>-4</v>
      </c>
      <c r="J642" s="14">
        <f t="shared" ca="1" si="59"/>
        <v>48</v>
      </c>
      <c r="K642" s="12" t="s">
        <v>41</v>
      </c>
      <c r="L642" s="12">
        <v>52</v>
      </c>
      <c r="M642" s="12" t="s">
        <v>40</v>
      </c>
      <c r="N642" s="12">
        <v>138</v>
      </c>
    </row>
    <row r="643" spans="1:15">
      <c r="A643" s="12">
        <f t="shared" si="63"/>
        <v>641</v>
      </c>
      <c r="B643" s="12" t="s">
        <v>8</v>
      </c>
      <c r="C643" s="12" t="s">
        <v>151</v>
      </c>
      <c r="D643" s="12" t="s">
        <v>326</v>
      </c>
      <c r="E643" s="89">
        <f t="shared" ca="1" si="64"/>
        <v>40951</v>
      </c>
      <c r="F643" s="11">
        <f>DATE(85,10,27)</f>
        <v>31347</v>
      </c>
      <c r="G643" s="12">
        <f t="shared" ca="1" si="60"/>
        <v>27</v>
      </c>
      <c r="H643" s="12">
        <f t="shared" ca="1" si="61"/>
        <v>-8</v>
      </c>
      <c r="I643" s="13">
        <f t="shared" ca="1" si="62"/>
        <v>-15</v>
      </c>
      <c r="J643" s="14">
        <f t="shared" ref="J643:J706" ca="1" si="65">IF(H643&lt;0,G643-1,IF(H643&gt;0,G643,IF(I643&lt;0,G643-1,G643)))</f>
        <v>26</v>
      </c>
      <c r="K643" s="12" t="s">
        <v>40</v>
      </c>
      <c r="L643" s="12">
        <v>52</v>
      </c>
      <c r="M643" s="12" t="s">
        <v>44</v>
      </c>
      <c r="N643" s="12">
        <v>138</v>
      </c>
    </row>
    <row r="644" spans="1:15">
      <c r="A644" s="12">
        <f t="shared" si="63"/>
        <v>642</v>
      </c>
      <c r="B644" s="12" t="s">
        <v>8</v>
      </c>
      <c r="C644" s="12" t="s">
        <v>290</v>
      </c>
      <c r="D644" s="12" t="s">
        <v>326</v>
      </c>
      <c r="E644" s="89">
        <f t="shared" ca="1" si="64"/>
        <v>40951</v>
      </c>
      <c r="F644" s="11">
        <f>DATE(91,12,5)</f>
        <v>33577</v>
      </c>
      <c r="G644" s="12">
        <f t="shared" ca="1" si="60"/>
        <v>21</v>
      </c>
      <c r="H644" s="12">
        <f t="shared" ca="1" si="61"/>
        <v>-10</v>
      </c>
      <c r="I644" s="13">
        <f t="shared" ca="1" si="62"/>
        <v>7</v>
      </c>
      <c r="J644" s="14">
        <f t="shared" ca="1" si="65"/>
        <v>20</v>
      </c>
      <c r="K644" s="12" t="s">
        <v>40</v>
      </c>
      <c r="L644" s="12">
        <v>52</v>
      </c>
      <c r="M644" s="12" t="s">
        <v>44</v>
      </c>
      <c r="N644" s="12">
        <v>138</v>
      </c>
    </row>
    <row r="645" spans="1:15">
      <c r="A645" s="12">
        <f t="shared" si="63"/>
        <v>643</v>
      </c>
      <c r="B645" s="12" t="s">
        <v>8</v>
      </c>
      <c r="C645" s="12" t="s">
        <v>527</v>
      </c>
      <c r="D645" s="12" t="s">
        <v>528</v>
      </c>
      <c r="E645" s="89">
        <f t="shared" ca="1" si="64"/>
        <v>40951</v>
      </c>
      <c r="F645" s="11">
        <f>DATE(43,2,19)</f>
        <v>15756</v>
      </c>
      <c r="G645" s="12">
        <f t="shared" ca="1" si="60"/>
        <v>69</v>
      </c>
      <c r="H645" s="12">
        <f t="shared" ca="1" si="61"/>
        <v>0</v>
      </c>
      <c r="I645" s="13">
        <f t="shared" ca="1" si="62"/>
        <v>-7</v>
      </c>
      <c r="J645" s="14">
        <f t="shared" ca="1" si="65"/>
        <v>68</v>
      </c>
      <c r="K645" s="12" t="s">
        <v>40</v>
      </c>
      <c r="L645" s="12">
        <v>52</v>
      </c>
      <c r="M645" s="12" t="s">
        <v>40</v>
      </c>
      <c r="N645" s="12">
        <v>139</v>
      </c>
      <c r="O645" s="90" t="s">
        <v>2748</v>
      </c>
    </row>
    <row r="646" spans="1:15">
      <c r="A646" s="12">
        <f t="shared" si="63"/>
        <v>644</v>
      </c>
      <c r="B646" s="12" t="s">
        <v>8</v>
      </c>
      <c r="C646" s="12" t="s">
        <v>87</v>
      </c>
      <c r="D646" s="12" t="s">
        <v>315</v>
      </c>
      <c r="E646" s="89">
        <f t="shared" ca="1" si="64"/>
        <v>40951</v>
      </c>
      <c r="F646" s="11">
        <f>DATE(50,1,17)</f>
        <v>18280</v>
      </c>
      <c r="G646" s="12">
        <f t="shared" ca="1" si="60"/>
        <v>62</v>
      </c>
      <c r="H646" s="12">
        <f t="shared" ca="1" si="61"/>
        <v>1</v>
      </c>
      <c r="I646" s="13">
        <f t="shared" ca="1" si="62"/>
        <v>-5</v>
      </c>
      <c r="J646" s="14">
        <f t="shared" ca="1" si="65"/>
        <v>62</v>
      </c>
      <c r="K646" s="12" t="s">
        <v>41</v>
      </c>
      <c r="L646" s="12">
        <v>52</v>
      </c>
      <c r="M646" s="12" t="s">
        <v>40</v>
      </c>
      <c r="N646" s="12">
        <v>139</v>
      </c>
    </row>
    <row r="647" spans="1:15">
      <c r="A647" s="12">
        <f t="shared" si="63"/>
        <v>645</v>
      </c>
      <c r="B647" s="12" t="s">
        <v>8</v>
      </c>
      <c r="C647" s="12" t="s">
        <v>529</v>
      </c>
      <c r="D647" s="12" t="s">
        <v>315</v>
      </c>
      <c r="E647" s="89">
        <f t="shared" ca="1" si="64"/>
        <v>40951</v>
      </c>
      <c r="F647" s="11">
        <f>DATE(73,6,27)</f>
        <v>26842</v>
      </c>
      <c r="G647" s="12">
        <f t="shared" ca="1" si="60"/>
        <v>39</v>
      </c>
      <c r="H647" s="12">
        <f t="shared" ca="1" si="61"/>
        <v>-4</v>
      </c>
      <c r="I647" s="13">
        <f t="shared" ca="1" si="62"/>
        <v>-15</v>
      </c>
      <c r="J647" s="14">
        <f t="shared" ca="1" si="65"/>
        <v>38</v>
      </c>
      <c r="K647" s="12" t="s">
        <v>40</v>
      </c>
      <c r="L647" s="12">
        <v>52</v>
      </c>
      <c r="M647" s="12" t="s">
        <v>40</v>
      </c>
      <c r="N647" s="12">
        <v>139</v>
      </c>
    </row>
    <row r="648" spans="1:15">
      <c r="A648" s="12">
        <f t="shared" si="63"/>
        <v>646</v>
      </c>
      <c r="B648" s="12" t="s">
        <v>8</v>
      </c>
      <c r="C648" s="12" t="s">
        <v>530</v>
      </c>
      <c r="D648" s="12" t="s">
        <v>529</v>
      </c>
      <c r="E648" s="89">
        <f t="shared" ca="1" si="64"/>
        <v>40951</v>
      </c>
      <c r="F648" s="11">
        <f>DATE(79,2,11)</f>
        <v>28897</v>
      </c>
      <c r="G648" s="12">
        <f t="shared" ca="1" si="60"/>
        <v>33</v>
      </c>
      <c r="H648" s="12">
        <f t="shared" ca="1" si="61"/>
        <v>0</v>
      </c>
      <c r="I648" s="13">
        <f t="shared" ca="1" si="62"/>
        <v>1</v>
      </c>
      <c r="J648" s="14">
        <f t="shared" ca="1" si="65"/>
        <v>33</v>
      </c>
      <c r="K648" s="12" t="s">
        <v>41</v>
      </c>
      <c r="L648" s="12">
        <v>52</v>
      </c>
      <c r="M648" s="12" t="s">
        <v>40</v>
      </c>
      <c r="N648" s="12">
        <v>139</v>
      </c>
    </row>
    <row r="649" spans="1:15">
      <c r="A649" s="12">
        <f t="shared" si="63"/>
        <v>647</v>
      </c>
      <c r="B649" s="12" t="s">
        <v>8</v>
      </c>
      <c r="C649" s="12" t="s">
        <v>126</v>
      </c>
      <c r="D649" s="12" t="s">
        <v>529</v>
      </c>
      <c r="E649" s="89">
        <f t="shared" ca="1" si="64"/>
        <v>40951</v>
      </c>
      <c r="F649" s="11">
        <f>DATE(99,5,11)</f>
        <v>36291</v>
      </c>
      <c r="G649" s="12">
        <f t="shared" ca="1" si="60"/>
        <v>13</v>
      </c>
      <c r="H649" s="12">
        <f t="shared" ca="1" si="61"/>
        <v>-3</v>
      </c>
      <c r="I649" s="13">
        <f t="shared" ca="1" si="62"/>
        <v>1</v>
      </c>
      <c r="J649" s="14">
        <f t="shared" ca="1" si="65"/>
        <v>12</v>
      </c>
      <c r="K649" s="12" t="s">
        <v>40</v>
      </c>
      <c r="L649" s="12">
        <v>52</v>
      </c>
      <c r="M649" s="12" t="s">
        <v>44</v>
      </c>
      <c r="N649" s="12">
        <v>139</v>
      </c>
    </row>
    <row r="650" spans="1:15">
      <c r="A650" s="12">
        <f t="shared" si="63"/>
        <v>648</v>
      </c>
      <c r="B650" s="12" t="s">
        <v>8</v>
      </c>
      <c r="C650" s="12" t="s">
        <v>531</v>
      </c>
      <c r="D650" s="12" t="s">
        <v>529</v>
      </c>
      <c r="E650" s="89">
        <f t="shared" ca="1" si="64"/>
        <v>40951</v>
      </c>
      <c r="F650" s="11">
        <f>DATE(2005,6,10)</f>
        <v>38513</v>
      </c>
      <c r="G650" s="12">
        <f t="shared" ca="1" si="60"/>
        <v>7</v>
      </c>
      <c r="H650" s="12">
        <f t="shared" ca="1" si="61"/>
        <v>-4</v>
      </c>
      <c r="I650" s="13">
        <f t="shared" ca="1" si="62"/>
        <v>2</v>
      </c>
      <c r="J650" s="14">
        <f t="shared" ca="1" si="65"/>
        <v>6</v>
      </c>
      <c r="K650" s="12" t="s">
        <v>40</v>
      </c>
      <c r="L650" s="12">
        <v>52</v>
      </c>
      <c r="M650" s="12" t="s">
        <v>44</v>
      </c>
      <c r="N650" s="12">
        <v>139</v>
      </c>
    </row>
    <row r="651" spans="1:15">
      <c r="A651" s="12">
        <f t="shared" si="63"/>
        <v>649</v>
      </c>
      <c r="B651" s="12" t="s">
        <v>8</v>
      </c>
      <c r="C651" s="12" t="s">
        <v>527</v>
      </c>
      <c r="D651" s="12" t="s">
        <v>60</v>
      </c>
      <c r="E651" s="89">
        <f t="shared" ca="1" si="64"/>
        <v>40951</v>
      </c>
      <c r="F651" s="11">
        <f>DATE(61,11,11)</f>
        <v>22596</v>
      </c>
      <c r="G651" s="12">
        <f t="shared" ca="1" si="60"/>
        <v>51</v>
      </c>
      <c r="H651" s="12">
        <f t="shared" ca="1" si="61"/>
        <v>-9</v>
      </c>
      <c r="I651" s="13">
        <f t="shared" ca="1" si="62"/>
        <v>1</v>
      </c>
      <c r="J651" s="14">
        <f t="shared" ca="1" si="65"/>
        <v>50</v>
      </c>
      <c r="K651" s="12" t="s">
        <v>40</v>
      </c>
      <c r="L651" s="12">
        <v>52</v>
      </c>
      <c r="M651" s="12" t="s">
        <v>40</v>
      </c>
      <c r="N651" s="12">
        <v>140</v>
      </c>
      <c r="O651" s="90" t="s">
        <v>2748</v>
      </c>
    </row>
    <row r="652" spans="1:15">
      <c r="A652" s="12">
        <f t="shared" si="63"/>
        <v>650</v>
      </c>
      <c r="B652" s="12" t="s">
        <v>8</v>
      </c>
      <c r="C652" s="12" t="s">
        <v>194</v>
      </c>
      <c r="D652" s="12" t="s">
        <v>315</v>
      </c>
      <c r="E652" s="89">
        <f t="shared" ca="1" si="64"/>
        <v>40951</v>
      </c>
      <c r="F652" s="11">
        <f>DATE(67,5,30)</f>
        <v>24622</v>
      </c>
      <c r="G652" s="12">
        <f t="shared" ca="1" si="60"/>
        <v>45</v>
      </c>
      <c r="H652" s="12">
        <f t="shared" ca="1" si="61"/>
        <v>-3</v>
      </c>
      <c r="I652" s="13">
        <f t="shared" ca="1" si="62"/>
        <v>-18</v>
      </c>
      <c r="J652" s="14">
        <f t="shared" ca="1" si="65"/>
        <v>44</v>
      </c>
      <c r="K652" s="12" t="s">
        <v>41</v>
      </c>
      <c r="L652" s="12">
        <v>52</v>
      </c>
      <c r="M652" s="12" t="s">
        <v>40</v>
      </c>
      <c r="N652" s="12">
        <v>140</v>
      </c>
    </row>
    <row r="653" spans="1:15">
      <c r="A653" s="12">
        <f t="shared" si="63"/>
        <v>651</v>
      </c>
      <c r="B653" s="12" t="s">
        <v>8</v>
      </c>
      <c r="C653" s="12" t="s">
        <v>533</v>
      </c>
      <c r="D653" s="12" t="s">
        <v>315</v>
      </c>
      <c r="E653" s="89">
        <f t="shared" ca="1" si="64"/>
        <v>40951</v>
      </c>
      <c r="F653" s="11">
        <f>DATE(89,4,24)</f>
        <v>32622</v>
      </c>
      <c r="G653" s="12">
        <f t="shared" ca="1" si="60"/>
        <v>23</v>
      </c>
      <c r="H653" s="12">
        <f t="shared" ca="1" si="61"/>
        <v>-2</v>
      </c>
      <c r="I653" s="13">
        <f t="shared" ca="1" si="62"/>
        <v>-12</v>
      </c>
      <c r="J653" s="14">
        <f t="shared" ca="1" si="65"/>
        <v>22</v>
      </c>
      <c r="K653" s="12" t="s">
        <v>41</v>
      </c>
      <c r="L653" s="12">
        <v>52</v>
      </c>
      <c r="M653" s="12" t="s">
        <v>44</v>
      </c>
      <c r="N653" s="12">
        <v>140</v>
      </c>
    </row>
    <row r="654" spans="1:15">
      <c r="A654" s="12">
        <f t="shared" si="63"/>
        <v>652</v>
      </c>
      <c r="B654" s="12" t="s">
        <v>8</v>
      </c>
      <c r="C654" s="12" t="s">
        <v>532</v>
      </c>
      <c r="D654" s="12" t="s">
        <v>77</v>
      </c>
      <c r="E654" s="89">
        <f t="shared" ca="1" si="64"/>
        <v>40951</v>
      </c>
      <c r="F654" s="32"/>
      <c r="G654" s="12">
        <f t="shared" ca="1" si="60"/>
        <v>112</v>
      </c>
      <c r="H654" s="12">
        <f t="shared" ca="1" si="61"/>
        <v>1</v>
      </c>
      <c r="I654" s="13">
        <f t="shared" ca="1" si="62"/>
        <v>12</v>
      </c>
      <c r="J654" s="14">
        <f t="shared" ca="1" si="65"/>
        <v>112</v>
      </c>
      <c r="K654" s="12" t="s">
        <v>41</v>
      </c>
      <c r="L654" s="12">
        <v>53</v>
      </c>
      <c r="M654" s="12" t="s">
        <v>40</v>
      </c>
      <c r="N654" s="12">
        <v>141</v>
      </c>
      <c r="O654" s="90" t="s">
        <v>2748</v>
      </c>
    </row>
    <row r="655" spans="1:15">
      <c r="A655" s="12">
        <f t="shared" si="63"/>
        <v>653</v>
      </c>
      <c r="B655" s="12" t="s">
        <v>8</v>
      </c>
      <c r="C655" s="12" t="s">
        <v>527</v>
      </c>
      <c r="D655" s="12" t="s">
        <v>77</v>
      </c>
      <c r="E655" s="89">
        <f t="shared" ca="1" si="64"/>
        <v>40951</v>
      </c>
      <c r="F655" s="11">
        <f>DATE(48,8,12)</f>
        <v>17757</v>
      </c>
      <c r="G655" s="12">
        <f t="shared" ca="1" si="60"/>
        <v>64</v>
      </c>
      <c r="H655" s="12">
        <f t="shared" ca="1" si="61"/>
        <v>-6</v>
      </c>
      <c r="I655" s="13">
        <f t="shared" ca="1" si="62"/>
        <v>0</v>
      </c>
      <c r="J655" s="14">
        <f t="shared" ca="1" si="65"/>
        <v>63</v>
      </c>
      <c r="K655" s="12" t="s">
        <v>40</v>
      </c>
      <c r="L655" s="12">
        <v>53</v>
      </c>
      <c r="M655" s="12" t="s">
        <v>40</v>
      </c>
      <c r="N655" s="12">
        <v>141</v>
      </c>
    </row>
    <row r="656" spans="1:15">
      <c r="A656" s="12">
        <f t="shared" si="63"/>
        <v>654</v>
      </c>
      <c r="B656" s="12" t="s">
        <v>8</v>
      </c>
      <c r="C656" s="12" t="s">
        <v>68</v>
      </c>
      <c r="D656" s="12" t="s">
        <v>315</v>
      </c>
      <c r="E656" s="89">
        <f t="shared" ca="1" si="64"/>
        <v>40951</v>
      </c>
      <c r="F656" s="11">
        <f>DATE(94,5,19)</f>
        <v>34473</v>
      </c>
      <c r="G656" s="12">
        <f t="shared" ca="1" si="60"/>
        <v>18</v>
      </c>
      <c r="H656" s="12">
        <f t="shared" ca="1" si="61"/>
        <v>-3</v>
      </c>
      <c r="I656" s="13">
        <f t="shared" ca="1" si="62"/>
        <v>-7</v>
      </c>
      <c r="J656" s="14">
        <f t="shared" ca="1" si="65"/>
        <v>17</v>
      </c>
      <c r="K656" s="12" t="s">
        <v>41</v>
      </c>
      <c r="L656" s="12">
        <v>53</v>
      </c>
      <c r="M656" s="12" t="s">
        <v>40</v>
      </c>
      <c r="N656" s="12">
        <v>141</v>
      </c>
    </row>
    <row r="657" spans="1:15">
      <c r="A657" s="12">
        <f t="shared" si="63"/>
        <v>655</v>
      </c>
      <c r="B657" s="12" t="s">
        <v>8</v>
      </c>
      <c r="C657" s="12" t="s">
        <v>534</v>
      </c>
      <c r="D657" s="12" t="s">
        <v>315</v>
      </c>
      <c r="E657" s="89">
        <f t="shared" ca="1" si="64"/>
        <v>40951</v>
      </c>
      <c r="F657" s="11">
        <f>DATE(78,9,18)</f>
        <v>28751</v>
      </c>
      <c r="G657" s="12">
        <f t="shared" ca="1" si="60"/>
        <v>34</v>
      </c>
      <c r="H657" s="12">
        <f t="shared" ca="1" si="61"/>
        <v>-7</v>
      </c>
      <c r="I657" s="13">
        <f t="shared" ca="1" si="62"/>
        <v>-6</v>
      </c>
      <c r="J657" s="14">
        <f t="shared" ca="1" si="65"/>
        <v>33</v>
      </c>
      <c r="K657" s="12" t="s">
        <v>40</v>
      </c>
      <c r="L657" s="12">
        <v>53</v>
      </c>
      <c r="M657" s="12" t="s">
        <v>40</v>
      </c>
      <c r="N657" s="12">
        <v>141</v>
      </c>
    </row>
    <row r="658" spans="1:15">
      <c r="A658" s="12">
        <f t="shared" si="63"/>
        <v>656</v>
      </c>
      <c r="B658" s="12" t="s">
        <v>8</v>
      </c>
      <c r="C658" s="12" t="s">
        <v>535</v>
      </c>
      <c r="D658" s="12" t="s">
        <v>534</v>
      </c>
      <c r="E658" s="89">
        <f t="shared" ca="1" si="64"/>
        <v>40951</v>
      </c>
      <c r="F658" s="11">
        <f>DATE(81,4,25)</f>
        <v>29701</v>
      </c>
      <c r="G658" s="12">
        <f t="shared" ca="1" si="60"/>
        <v>31</v>
      </c>
      <c r="H658" s="12">
        <f t="shared" ca="1" si="61"/>
        <v>-2</v>
      </c>
      <c r="I658" s="13">
        <f t="shared" ca="1" si="62"/>
        <v>-13</v>
      </c>
      <c r="J658" s="14">
        <f t="shared" ca="1" si="65"/>
        <v>30</v>
      </c>
      <c r="K658" s="12" t="s">
        <v>41</v>
      </c>
      <c r="L658" s="12">
        <v>53</v>
      </c>
      <c r="M658" s="12" t="s">
        <v>40</v>
      </c>
      <c r="N658" s="12">
        <v>141</v>
      </c>
    </row>
    <row r="659" spans="1:15">
      <c r="A659" s="12">
        <f t="shared" si="63"/>
        <v>657</v>
      </c>
      <c r="B659" s="12" t="s">
        <v>8</v>
      </c>
      <c r="C659" s="12" t="s">
        <v>536</v>
      </c>
      <c r="D659" s="12" t="s">
        <v>77</v>
      </c>
      <c r="E659" s="89">
        <f t="shared" ca="1" si="64"/>
        <v>40951</v>
      </c>
      <c r="F659" s="32"/>
      <c r="G659" s="12">
        <f t="shared" ca="1" si="60"/>
        <v>112</v>
      </c>
      <c r="H659" s="12">
        <f t="shared" ca="1" si="61"/>
        <v>1</v>
      </c>
      <c r="I659" s="13">
        <f t="shared" ca="1" si="62"/>
        <v>12</v>
      </c>
      <c r="J659" s="14">
        <f t="shared" ca="1" si="65"/>
        <v>112</v>
      </c>
      <c r="K659" s="12" t="s">
        <v>41</v>
      </c>
      <c r="L659" s="12">
        <v>53</v>
      </c>
      <c r="M659" s="12" t="s">
        <v>44</v>
      </c>
      <c r="N659" s="12">
        <v>141</v>
      </c>
    </row>
    <row r="660" spans="1:15">
      <c r="A660" s="12">
        <f t="shared" si="63"/>
        <v>658</v>
      </c>
      <c r="B660" s="12" t="s">
        <v>8</v>
      </c>
      <c r="C660" s="12" t="s">
        <v>537</v>
      </c>
      <c r="D660" s="12" t="s">
        <v>198</v>
      </c>
      <c r="E660" s="89">
        <f t="shared" ca="1" si="64"/>
        <v>40951</v>
      </c>
      <c r="F660" s="11">
        <f>DATE(48,6,20)</f>
        <v>17704</v>
      </c>
      <c r="G660" s="12">
        <f t="shared" ca="1" si="60"/>
        <v>64</v>
      </c>
      <c r="H660" s="12">
        <f t="shared" ca="1" si="61"/>
        <v>-4</v>
      </c>
      <c r="I660" s="13">
        <f t="shared" ca="1" si="62"/>
        <v>-8</v>
      </c>
      <c r="J660" s="14">
        <f t="shared" ca="1" si="65"/>
        <v>63</v>
      </c>
      <c r="K660" s="12" t="s">
        <v>40</v>
      </c>
      <c r="L660" s="12">
        <v>53</v>
      </c>
      <c r="M660" s="12" t="s">
        <v>40</v>
      </c>
      <c r="N660" s="12">
        <v>142</v>
      </c>
      <c r="O660" s="90" t="s">
        <v>2748</v>
      </c>
    </row>
    <row r="661" spans="1:15">
      <c r="A661" s="12">
        <f t="shared" si="63"/>
        <v>659</v>
      </c>
      <c r="B661" s="12" t="s">
        <v>8</v>
      </c>
      <c r="C661" s="12" t="s">
        <v>102</v>
      </c>
      <c r="D661" s="12" t="s">
        <v>537</v>
      </c>
      <c r="E661" s="89">
        <f t="shared" ca="1" si="64"/>
        <v>40951</v>
      </c>
      <c r="F661" s="11">
        <f>DATE(56,8,15)</f>
        <v>20682</v>
      </c>
      <c r="G661" s="12">
        <f t="shared" ca="1" si="60"/>
        <v>56</v>
      </c>
      <c r="H661" s="12">
        <f t="shared" ca="1" si="61"/>
        <v>-6</v>
      </c>
      <c r="I661" s="13">
        <f t="shared" ca="1" si="62"/>
        <v>-3</v>
      </c>
      <c r="J661" s="14">
        <f t="shared" ca="1" si="65"/>
        <v>55</v>
      </c>
      <c r="K661" s="12" t="s">
        <v>41</v>
      </c>
      <c r="L661" s="12">
        <v>53</v>
      </c>
      <c r="M661" s="12" t="s">
        <v>40</v>
      </c>
      <c r="N661" s="12">
        <v>142</v>
      </c>
    </row>
    <row r="662" spans="1:15">
      <c r="A662" s="12">
        <f t="shared" si="63"/>
        <v>660</v>
      </c>
      <c r="B662" s="12" t="s">
        <v>8</v>
      </c>
      <c r="C662" s="12" t="s">
        <v>348</v>
      </c>
      <c r="D662" s="12" t="s">
        <v>537</v>
      </c>
      <c r="E662" s="89">
        <f t="shared" ca="1" si="64"/>
        <v>40951</v>
      </c>
      <c r="F662" s="11">
        <f>DATE(86,11,20)</f>
        <v>31736</v>
      </c>
      <c r="G662" s="12">
        <f t="shared" ca="1" si="60"/>
        <v>26</v>
      </c>
      <c r="H662" s="12">
        <f t="shared" ca="1" si="61"/>
        <v>-9</v>
      </c>
      <c r="I662" s="13">
        <f t="shared" ca="1" si="62"/>
        <v>-8</v>
      </c>
      <c r="J662" s="14">
        <f t="shared" ca="1" si="65"/>
        <v>25</v>
      </c>
      <c r="K662" s="12" t="s">
        <v>40</v>
      </c>
      <c r="L662" s="12">
        <v>53</v>
      </c>
      <c r="M662" s="12" t="s">
        <v>44</v>
      </c>
      <c r="N662" s="12">
        <v>142</v>
      </c>
    </row>
    <row r="663" spans="1:15">
      <c r="A663" s="12">
        <f t="shared" si="63"/>
        <v>661</v>
      </c>
      <c r="B663" s="12" t="s">
        <v>8</v>
      </c>
      <c r="C663" s="12" t="s">
        <v>538</v>
      </c>
      <c r="D663" s="12" t="s">
        <v>198</v>
      </c>
      <c r="E663" s="89">
        <f t="shared" ca="1" si="64"/>
        <v>40951</v>
      </c>
      <c r="F663" s="11">
        <f>DATE(28,5,7)</f>
        <v>10355</v>
      </c>
      <c r="G663" s="12">
        <f t="shared" ca="1" si="60"/>
        <v>84</v>
      </c>
      <c r="H663" s="12">
        <f t="shared" ca="1" si="61"/>
        <v>-3</v>
      </c>
      <c r="I663" s="13">
        <f t="shared" ca="1" si="62"/>
        <v>5</v>
      </c>
      <c r="J663" s="14">
        <f t="shared" ca="1" si="65"/>
        <v>83</v>
      </c>
      <c r="K663" s="12" t="s">
        <v>41</v>
      </c>
      <c r="L663" s="12">
        <v>53</v>
      </c>
      <c r="M663" s="12" t="s">
        <v>40</v>
      </c>
      <c r="N663" s="12">
        <v>142</v>
      </c>
    </row>
    <row r="664" spans="1:15">
      <c r="A664" s="12">
        <f t="shared" si="63"/>
        <v>662</v>
      </c>
      <c r="B664" s="12" t="s">
        <v>8</v>
      </c>
      <c r="C664" s="12" t="s">
        <v>539</v>
      </c>
      <c r="D664" s="12" t="s">
        <v>425</v>
      </c>
      <c r="E664" s="89">
        <f t="shared" ca="1" si="64"/>
        <v>40951</v>
      </c>
      <c r="F664" s="11">
        <f>DATE(43,8,22)</f>
        <v>15940</v>
      </c>
      <c r="G664" s="12">
        <f t="shared" ca="1" si="60"/>
        <v>69</v>
      </c>
      <c r="H664" s="12">
        <f t="shared" ca="1" si="61"/>
        <v>-6</v>
      </c>
      <c r="I664" s="13">
        <f t="shared" ca="1" si="62"/>
        <v>-10</v>
      </c>
      <c r="J664" s="14">
        <f t="shared" ca="1" si="65"/>
        <v>68</v>
      </c>
      <c r="K664" s="12" t="s">
        <v>40</v>
      </c>
      <c r="L664" s="12">
        <v>53</v>
      </c>
      <c r="M664" s="12" t="s">
        <v>40</v>
      </c>
      <c r="N664" s="12">
        <v>143</v>
      </c>
      <c r="O664" s="90" t="s">
        <v>2748</v>
      </c>
    </row>
    <row r="665" spans="1:15">
      <c r="A665" s="12">
        <f t="shared" si="63"/>
        <v>663</v>
      </c>
      <c r="B665" s="12" t="s">
        <v>8</v>
      </c>
      <c r="C665" s="12" t="s">
        <v>166</v>
      </c>
      <c r="D665" s="12" t="s">
        <v>91</v>
      </c>
      <c r="E665" s="89">
        <f t="shared" ca="1" si="64"/>
        <v>40951</v>
      </c>
      <c r="F665" s="11">
        <f>DATE(69,8,30)</f>
        <v>25445</v>
      </c>
      <c r="G665" s="12">
        <f t="shared" ref="G665:G728" ca="1" si="66">YEAR(E665)-YEAR(F665)</f>
        <v>43</v>
      </c>
      <c r="H665" s="12">
        <f t="shared" ref="H665:H728" ca="1" si="67">MONTH(E665)-MONTH(F665)</f>
        <v>-6</v>
      </c>
      <c r="I665" s="13">
        <f t="shared" ref="I665:I728" ca="1" si="68">DAY(E665)-DAY(F665)</f>
        <v>-18</v>
      </c>
      <c r="J665" s="14">
        <f t="shared" ca="1" si="65"/>
        <v>42</v>
      </c>
      <c r="K665" s="12" t="s">
        <v>40</v>
      </c>
      <c r="L665" s="12">
        <v>53</v>
      </c>
      <c r="M665" s="12" t="s">
        <v>40</v>
      </c>
      <c r="N665" s="12">
        <v>143</v>
      </c>
    </row>
    <row r="666" spans="1:15">
      <c r="A666" s="12">
        <f t="shared" si="63"/>
        <v>664</v>
      </c>
      <c r="B666" s="12" t="s">
        <v>8</v>
      </c>
      <c r="C666" s="12" t="s">
        <v>474</v>
      </c>
      <c r="D666" s="12" t="s">
        <v>166</v>
      </c>
      <c r="E666" s="89">
        <f t="shared" ca="1" si="64"/>
        <v>40951</v>
      </c>
      <c r="F666" s="11">
        <f>DATE(76,12,14)</f>
        <v>28108</v>
      </c>
      <c r="G666" s="12">
        <f t="shared" ca="1" si="66"/>
        <v>36</v>
      </c>
      <c r="H666" s="12">
        <f t="shared" ca="1" si="67"/>
        <v>-10</v>
      </c>
      <c r="I666" s="13">
        <f t="shared" ca="1" si="68"/>
        <v>-2</v>
      </c>
      <c r="J666" s="14">
        <f t="shared" ca="1" si="65"/>
        <v>35</v>
      </c>
      <c r="K666" s="12" t="s">
        <v>41</v>
      </c>
      <c r="L666" s="12">
        <v>53</v>
      </c>
      <c r="M666" s="12" t="s">
        <v>40</v>
      </c>
      <c r="N666" s="12">
        <v>143</v>
      </c>
    </row>
    <row r="667" spans="1:15">
      <c r="A667" s="12">
        <f t="shared" si="63"/>
        <v>665</v>
      </c>
      <c r="B667" s="12" t="s">
        <v>8</v>
      </c>
      <c r="C667" s="12" t="s">
        <v>540</v>
      </c>
      <c r="D667" s="12" t="s">
        <v>166</v>
      </c>
      <c r="E667" s="89">
        <f t="shared" ca="1" si="64"/>
        <v>40951</v>
      </c>
      <c r="F667" s="11">
        <f>DATE(96,11,23)</f>
        <v>35392</v>
      </c>
      <c r="G667" s="12">
        <f t="shared" ca="1" si="66"/>
        <v>16</v>
      </c>
      <c r="H667" s="12">
        <f t="shared" ca="1" si="67"/>
        <v>-9</v>
      </c>
      <c r="I667" s="13">
        <f t="shared" ca="1" si="68"/>
        <v>-11</v>
      </c>
      <c r="J667" s="14">
        <f t="shared" ca="1" si="65"/>
        <v>15</v>
      </c>
      <c r="K667" s="12" t="s">
        <v>40</v>
      </c>
      <c r="L667" s="12">
        <v>53</v>
      </c>
      <c r="M667" s="12" t="s">
        <v>44</v>
      </c>
      <c r="N667" s="12">
        <v>143</v>
      </c>
    </row>
    <row r="668" spans="1:15">
      <c r="A668" s="12">
        <f t="shared" si="63"/>
        <v>666</v>
      </c>
      <c r="B668" s="12" t="s">
        <v>8</v>
      </c>
      <c r="C668" s="12" t="s">
        <v>542</v>
      </c>
      <c r="D668" s="12" t="s">
        <v>166</v>
      </c>
      <c r="E668" s="89">
        <f t="shared" ca="1" si="64"/>
        <v>40951</v>
      </c>
      <c r="F668" s="11">
        <f>DATE(2003,12,5)</f>
        <v>37960</v>
      </c>
      <c r="G668" s="12">
        <f t="shared" ca="1" si="66"/>
        <v>9</v>
      </c>
      <c r="H668" s="12">
        <f t="shared" ca="1" si="67"/>
        <v>-10</v>
      </c>
      <c r="I668" s="13">
        <f t="shared" ca="1" si="68"/>
        <v>7</v>
      </c>
      <c r="J668" s="14">
        <f t="shared" ca="1" si="65"/>
        <v>8</v>
      </c>
      <c r="K668" s="12" t="s">
        <v>41</v>
      </c>
      <c r="L668" s="12">
        <v>53</v>
      </c>
      <c r="M668" s="12" t="s">
        <v>44</v>
      </c>
      <c r="N668" s="12">
        <v>143</v>
      </c>
    </row>
    <row r="669" spans="1:15">
      <c r="A669" s="12">
        <f t="shared" si="63"/>
        <v>667</v>
      </c>
      <c r="B669" s="12" t="s">
        <v>8</v>
      </c>
      <c r="C669" s="12" t="s">
        <v>541</v>
      </c>
      <c r="D669" s="12" t="s">
        <v>91</v>
      </c>
      <c r="E669" s="89">
        <f t="shared" ca="1" si="64"/>
        <v>40951</v>
      </c>
      <c r="F669" s="11">
        <f>DATE(71,8,14)</f>
        <v>26159</v>
      </c>
      <c r="G669" s="12">
        <f t="shared" ca="1" si="66"/>
        <v>41</v>
      </c>
      <c r="H669" s="12">
        <f t="shared" ca="1" si="67"/>
        <v>-6</v>
      </c>
      <c r="I669" s="13">
        <f t="shared" ca="1" si="68"/>
        <v>-2</v>
      </c>
      <c r="J669" s="14">
        <f t="shared" ca="1" si="65"/>
        <v>40</v>
      </c>
      <c r="K669" s="12" t="s">
        <v>40</v>
      </c>
      <c r="L669" s="12">
        <v>53</v>
      </c>
      <c r="M669" s="12" t="s">
        <v>40</v>
      </c>
      <c r="N669" s="12">
        <v>143</v>
      </c>
    </row>
    <row r="670" spans="1:15">
      <c r="A670" s="12">
        <f t="shared" ref="A670:A733" si="69">A669+1</f>
        <v>668</v>
      </c>
      <c r="B670" s="12" t="s">
        <v>8</v>
      </c>
      <c r="C670" s="12" t="s">
        <v>175</v>
      </c>
      <c r="D670" s="12" t="s">
        <v>541</v>
      </c>
      <c r="E670" s="89">
        <f t="shared" ca="1" si="64"/>
        <v>40951</v>
      </c>
      <c r="F670" s="11">
        <f>DATE(74,12,18)</f>
        <v>27381</v>
      </c>
      <c r="G670" s="12">
        <f t="shared" ca="1" si="66"/>
        <v>38</v>
      </c>
      <c r="H670" s="12">
        <f t="shared" ca="1" si="67"/>
        <v>-10</v>
      </c>
      <c r="I670" s="13">
        <f t="shared" ca="1" si="68"/>
        <v>-6</v>
      </c>
      <c r="J670" s="14">
        <f t="shared" ca="1" si="65"/>
        <v>37</v>
      </c>
      <c r="K670" s="12" t="s">
        <v>41</v>
      </c>
      <c r="L670" s="12">
        <v>53</v>
      </c>
      <c r="M670" s="12" t="s">
        <v>40</v>
      </c>
      <c r="N670" s="12">
        <v>143</v>
      </c>
    </row>
    <row r="671" spans="1:15">
      <c r="A671" s="12">
        <f t="shared" si="69"/>
        <v>669</v>
      </c>
      <c r="B671" s="12" t="s">
        <v>8</v>
      </c>
      <c r="C671" s="12" t="s">
        <v>332</v>
      </c>
      <c r="D671" s="12" t="s">
        <v>198</v>
      </c>
      <c r="E671" s="89">
        <f t="shared" ca="1" si="64"/>
        <v>40951</v>
      </c>
      <c r="F671" s="11">
        <f>DATE(56,12,25)</f>
        <v>20814</v>
      </c>
      <c r="G671" s="12">
        <f t="shared" ca="1" si="66"/>
        <v>56</v>
      </c>
      <c r="H671" s="12">
        <f t="shared" ca="1" si="67"/>
        <v>-10</v>
      </c>
      <c r="I671" s="13">
        <f t="shared" ca="1" si="68"/>
        <v>-13</v>
      </c>
      <c r="J671" s="14">
        <f t="shared" ca="1" si="65"/>
        <v>55</v>
      </c>
      <c r="K671" s="12" t="s">
        <v>40</v>
      </c>
      <c r="L671" s="12">
        <v>54</v>
      </c>
      <c r="M671" s="12" t="s">
        <v>40</v>
      </c>
      <c r="N671" s="12">
        <v>144</v>
      </c>
      <c r="O671" s="90" t="s">
        <v>2748</v>
      </c>
    </row>
    <row r="672" spans="1:15">
      <c r="A672" s="12">
        <f t="shared" si="69"/>
        <v>670</v>
      </c>
      <c r="B672" s="12" t="s">
        <v>8</v>
      </c>
      <c r="C672" s="12" t="s">
        <v>175</v>
      </c>
      <c r="D672" s="12" t="s">
        <v>332</v>
      </c>
      <c r="E672" s="89">
        <f t="shared" ca="1" si="64"/>
        <v>40951</v>
      </c>
      <c r="F672" s="11">
        <f>DATE(64,2,12)</f>
        <v>23419</v>
      </c>
      <c r="G672" s="12">
        <f t="shared" ca="1" si="66"/>
        <v>48</v>
      </c>
      <c r="H672" s="12">
        <f t="shared" ca="1" si="67"/>
        <v>0</v>
      </c>
      <c r="I672" s="13">
        <f t="shared" ca="1" si="68"/>
        <v>0</v>
      </c>
      <c r="J672" s="14">
        <f t="shared" ca="1" si="65"/>
        <v>48</v>
      </c>
      <c r="K672" s="12" t="s">
        <v>41</v>
      </c>
      <c r="L672" s="12">
        <v>54</v>
      </c>
      <c r="M672" s="12" t="s">
        <v>40</v>
      </c>
      <c r="N672" s="12">
        <v>144</v>
      </c>
    </row>
    <row r="673" spans="1:15">
      <c r="A673" s="12">
        <f t="shared" si="69"/>
        <v>671</v>
      </c>
      <c r="B673" s="12" t="s">
        <v>8</v>
      </c>
      <c r="C673" s="12" t="s">
        <v>543</v>
      </c>
      <c r="D673" s="12" t="s">
        <v>332</v>
      </c>
      <c r="E673" s="89">
        <f t="shared" ca="1" si="64"/>
        <v>40951</v>
      </c>
      <c r="F673" s="11">
        <f>DATE(84,12,5)</f>
        <v>31021</v>
      </c>
      <c r="G673" s="12">
        <f t="shared" ca="1" si="66"/>
        <v>28</v>
      </c>
      <c r="H673" s="12">
        <f t="shared" ca="1" si="67"/>
        <v>-10</v>
      </c>
      <c r="I673" s="13">
        <f t="shared" ca="1" si="68"/>
        <v>7</v>
      </c>
      <c r="J673" s="14">
        <f t="shared" ca="1" si="65"/>
        <v>27</v>
      </c>
      <c r="K673" s="12" t="s">
        <v>40</v>
      </c>
      <c r="L673" s="12">
        <v>54</v>
      </c>
      <c r="M673" s="12" t="s">
        <v>44</v>
      </c>
      <c r="N673" s="12">
        <v>144</v>
      </c>
    </row>
    <row r="674" spans="1:15">
      <c r="A674" s="12">
        <f t="shared" si="69"/>
        <v>672</v>
      </c>
      <c r="B674" s="12" t="s">
        <v>8</v>
      </c>
      <c r="C674" s="12" t="s">
        <v>544</v>
      </c>
      <c r="D674" s="12" t="s">
        <v>332</v>
      </c>
      <c r="E674" s="89">
        <f t="shared" ca="1" si="64"/>
        <v>40951</v>
      </c>
      <c r="F674" s="11">
        <f>DATE(90,6,19)</f>
        <v>33043</v>
      </c>
      <c r="G674" s="12">
        <f t="shared" ca="1" si="66"/>
        <v>22</v>
      </c>
      <c r="H674" s="12">
        <f t="shared" ca="1" si="67"/>
        <v>-4</v>
      </c>
      <c r="I674" s="13">
        <f t="shared" ca="1" si="68"/>
        <v>-7</v>
      </c>
      <c r="J674" s="14">
        <f t="shared" ca="1" si="65"/>
        <v>21</v>
      </c>
      <c r="K674" s="12" t="s">
        <v>41</v>
      </c>
      <c r="L674" s="12">
        <v>54</v>
      </c>
      <c r="M674" s="12" t="s">
        <v>44</v>
      </c>
      <c r="N674" s="12">
        <v>144</v>
      </c>
    </row>
    <row r="675" spans="1:15">
      <c r="A675" s="12">
        <f t="shared" si="69"/>
        <v>673</v>
      </c>
      <c r="B675" s="12" t="s">
        <v>8</v>
      </c>
      <c r="C675" s="12" t="s">
        <v>545</v>
      </c>
      <c r="D675" s="12" t="s">
        <v>546</v>
      </c>
      <c r="E675" s="89">
        <f t="shared" ref="E675:E738" ca="1" si="70">TODAY()</f>
        <v>40951</v>
      </c>
      <c r="F675" s="32"/>
      <c r="G675" s="12">
        <f t="shared" ca="1" si="66"/>
        <v>112</v>
      </c>
      <c r="H675" s="12">
        <f t="shared" ca="1" si="67"/>
        <v>1</v>
      </c>
      <c r="I675" s="13">
        <f t="shared" ca="1" si="68"/>
        <v>12</v>
      </c>
      <c r="J675" s="14">
        <f t="shared" ca="1" si="65"/>
        <v>112</v>
      </c>
      <c r="K675" s="12" t="s">
        <v>40</v>
      </c>
      <c r="L675" s="12">
        <v>54</v>
      </c>
      <c r="M675" s="12" t="s">
        <v>40</v>
      </c>
      <c r="N675" s="12">
        <v>145</v>
      </c>
      <c r="O675" s="90" t="s">
        <v>2748</v>
      </c>
    </row>
    <row r="676" spans="1:15">
      <c r="A676" s="12">
        <f t="shared" si="69"/>
        <v>674</v>
      </c>
      <c r="B676" s="12" t="s">
        <v>8</v>
      </c>
      <c r="C676" s="12" t="s">
        <v>102</v>
      </c>
      <c r="D676" s="12" t="s">
        <v>545</v>
      </c>
      <c r="E676" s="89">
        <f t="shared" ca="1" si="70"/>
        <v>40951</v>
      </c>
      <c r="F676" s="32"/>
      <c r="G676" s="12">
        <f t="shared" ca="1" si="66"/>
        <v>112</v>
      </c>
      <c r="H676" s="12">
        <f t="shared" ca="1" si="67"/>
        <v>1</v>
      </c>
      <c r="I676" s="13">
        <f t="shared" ca="1" si="68"/>
        <v>12</v>
      </c>
      <c r="J676" s="14">
        <f t="shared" ca="1" si="65"/>
        <v>112</v>
      </c>
      <c r="K676" s="12" t="s">
        <v>41</v>
      </c>
      <c r="L676" s="12">
        <v>54</v>
      </c>
      <c r="M676" s="12" t="s">
        <v>40</v>
      </c>
      <c r="N676" s="12">
        <v>145</v>
      </c>
    </row>
    <row r="677" spans="1:15">
      <c r="A677" s="12">
        <f t="shared" si="69"/>
        <v>675</v>
      </c>
      <c r="B677" s="12" t="s">
        <v>8</v>
      </c>
      <c r="C677" s="12" t="s">
        <v>547</v>
      </c>
      <c r="D677" s="12" t="s">
        <v>545</v>
      </c>
      <c r="E677" s="89">
        <f t="shared" ca="1" si="70"/>
        <v>40951</v>
      </c>
      <c r="F677" s="11">
        <f>DATE(89,12,4)</f>
        <v>32846</v>
      </c>
      <c r="G677" s="12">
        <f t="shared" ca="1" si="66"/>
        <v>23</v>
      </c>
      <c r="H677" s="12">
        <f t="shared" ca="1" si="67"/>
        <v>-10</v>
      </c>
      <c r="I677" s="13">
        <f t="shared" ca="1" si="68"/>
        <v>8</v>
      </c>
      <c r="J677" s="14">
        <f t="shared" ca="1" si="65"/>
        <v>22</v>
      </c>
      <c r="K677" s="12" t="s">
        <v>41</v>
      </c>
      <c r="L677" s="12">
        <v>54</v>
      </c>
      <c r="M677" s="12" t="s">
        <v>44</v>
      </c>
      <c r="N677" s="12">
        <v>145</v>
      </c>
    </row>
    <row r="678" spans="1:15">
      <c r="A678" s="12">
        <f t="shared" si="69"/>
        <v>676</v>
      </c>
      <c r="B678" s="12" t="s">
        <v>8</v>
      </c>
      <c r="C678" s="12" t="s">
        <v>548</v>
      </c>
      <c r="D678" s="12" t="s">
        <v>60</v>
      </c>
      <c r="E678" s="89">
        <f t="shared" ca="1" si="70"/>
        <v>40951</v>
      </c>
      <c r="F678" s="32"/>
      <c r="G678" s="12">
        <f t="shared" ca="1" si="66"/>
        <v>112</v>
      </c>
      <c r="H678" s="12">
        <f t="shared" ca="1" si="67"/>
        <v>1</v>
      </c>
      <c r="I678" s="13">
        <f t="shared" ca="1" si="68"/>
        <v>12</v>
      </c>
      <c r="J678" s="14">
        <f t="shared" ca="1" si="65"/>
        <v>112</v>
      </c>
      <c r="K678" s="12" t="s">
        <v>41</v>
      </c>
      <c r="L678" s="12">
        <v>54</v>
      </c>
      <c r="M678" s="12" t="s">
        <v>40</v>
      </c>
      <c r="N678" s="12">
        <v>146</v>
      </c>
      <c r="O678" s="90" t="s">
        <v>2748</v>
      </c>
    </row>
    <row r="679" spans="1:15">
      <c r="A679" s="12">
        <f t="shared" si="69"/>
        <v>677</v>
      </c>
      <c r="B679" s="12" t="s">
        <v>8</v>
      </c>
      <c r="C679" s="12" t="s">
        <v>93</v>
      </c>
      <c r="D679" s="12" t="s">
        <v>60</v>
      </c>
      <c r="E679" s="89">
        <f t="shared" ca="1" si="70"/>
        <v>40951</v>
      </c>
      <c r="F679" s="11">
        <f>DATE(59,9,5)</f>
        <v>21798</v>
      </c>
      <c r="G679" s="12">
        <f t="shared" ca="1" si="66"/>
        <v>53</v>
      </c>
      <c r="H679" s="12">
        <f t="shared" ca="1" si="67"/>
        <v>-7</v>
      </c>
      <c r="I679" s="13">
        <f t="shared" ca="1" si="68"/>
        <v>7</v>
      </c>
      <c r="J679" s="14">
        <f t="shared" ca="1" si="65"/>
        <v>52</v>
      </c>
      <c r="K679" s="12" t="s">
        <v>40</v>
      </c>
      <c r="L679" s="12">
        <v>54</v>
      </c>
      <c r="M679" s="12" t="s">
        <v>40</v>
      </c>
      <c r="N679" s="12">
        <v>146</v>
      </c>
    </row>
    <row r="680" spans="1:15">
      <c r="A680" s="12">
        <f t="shared" si="69"/>
        <v>678</v>
      </c>
      <c r="B680" s="12" t="s">
        <v>8</v>
      </c>
      <c r="C680" s="12" t="s">
        <v>430</v>
      </c>
      <c r="D680" s="12" t="s">
        <v>93</v>
      </c>
      <c r="E680" s="89">
        <f t="shared" ca="1" si="70"/>
        <v>40951</v>
      </c>
      <c r="F680" s="11">
        <f>DATE(63,7,1)</f>
        <v>23193</v>
      </c>
      <c r="G680" s="12">
        <f t="shared" ca="1" si="66"/>
        <v>49</v>
      </c>
      <c r="H680" s="12">
        <f t="shared" ca="1" si="67"/>
        <v>-5</v>
      </c>
      <c r="I680" s="13">
        <f t="shared" ca="1" si="68"/>
        <v>11</v>
      </c>
      <c r="J680" s="14">
        <f t="shared" ca="1" si="65"/>
        <v>48</v>
      </c>
      <c r="K680" s="12" t="s">
        <v>41</v>
      </c>
      <c r="L680" s="12">
        <v>54</v>
      </c>
      <c r="M680" s="12" t="s">
        <v>40</v>
      </c>
      <c r="N680" s="12">
        <v>146</v>
      </c>
    </row>
    <row r="681" spans="1:15">
      <c r="A681" s="12">
        <f t="shared" si="69"/>
        <v>679</v>
      </c>
      <c r="B681" s="12" t="s">
        <v>8</v>
      </c>
      <c r="C681" s="12" t="s">
        <v>549</v>
      </c>
      <c r="D681" s="12" t="s">
        <v>93</v>
      </c>
      <c r="E681" s="89">
        <f t="shared" ca="1" si="70"/>
        <v>40951</v>
      </c>
      <c r="F681" s="11">
        <f>DATE(86,11,21)</f>
        <v>31737</v>
      </c>
      <c r="G681" s="12">
        <f t="shared" ca="1" si="66"/>
        <v>26</v>
      </c>
      <c r="H681" s="12">
        <f t="shared" ca="1" si="67"/>
        <v>-9</v>
      </c>
      <c r="I681" s="13">
        <f t="shared" ca="1" si="68"/>
        <v>-9</v>
      </c>
      <c r="J681" s="14">
        <f t="shared" ca="1" si="65"/>
        <v>25</v>
      </c>
      <c r="K681" s="12" t="s">
        <v>41</v>
      </c>
      <c r="L681" s="12">
        <v>54</v>
      </c>
      <c r="M681" s="12" t="s">
        <v>44</v>
      </c>
      <c r="N681" s="12">
        <v>146</v>
      </c>
    </row>
    <row r="682" spans="1:15">
      <c r="A682" s="12">
        <f t="shared" si="69"/>
        <v>680</v>
      </c>
      <c r="B682" s="12" t="s">
        <v>8</v>
      </c>
      <c r="C682" s="12" t="s">
        <v>234</v>
      </c>
      <c r="D682" s="12" t="s">
        <v>93</v>
      </c>
      <c r="E682" s="89">
        <f t="shared" ca="1" si="70"/>
        <v>40951</v>
      </c>
      <c r="F682" s="11">
        <f>DATE(92,4,17)</f>
        <v>33711</v>
      </c>
      <c r="G682" s="12">
        <f t="shared" ca="1" si="66"/>
        <v>20</v>
      </c>
      <c r="H682" s="12">
        <f t="shared" ca="1" si="67"/>
        <v>-2</v>
      </c>
      <c r="I682" s="13">
        <f t="shared" ca="1" si="68"/>
        <v>-5</v>
      </c>
      <c r="J682" s="14">
        <f t="shared" ca="1" si="65"/>
        <v>19</v>
      </c>
      <c r="K682" s="12" t="s">
        <v>40</v>
      </c>
      <c r="L682" s="12">
        <v>54</v>
      </c>
      <c r="M682" s="12" t="s">
        <v>44</v>
      </c>
      <c r="N682" s="12">
        <v>146</v>
      </c>
    </row>
    <row r="683" spans="1:15">
      <c r="A683" s="12">
        <f t="shared" si="69"/>
        <v>681</v>
      </c>
      <c r="B683" s="12" t="s">
        <v>8</v>
      </c>
      <c r="C683" s="12" t="s">
        <v>550</v>
      </c>
      <c r="D683" s="12" t="s">
        <v>551</v>
      </c>
      <c r="E683" s="89">
        <f t="shared" ca="1" si="70"/>
        <v>40951</v>
      </c>
      <c r="F683" s="11">
        <f>DATE(51,8,21)</f>
        <v>18861</v>
      </c>
      <c r="G683" s="12">
        <f t="shared" ca="1" si="66"/>
        <v>61</v>
      </c>
      <c r="H683" s="12">
        <f t="shared" ca="1" si="67"/>
        <v>-6</v>
      </c>
      <c r="I683" s="13">
        <f t="shared" ca="1" si="68"/>
        <v>-9</v>
      </c>
      <c r="J683" s="14">
        <f t="shared" ca="1" si="65"/>
        <v>60</v>
      </c>
      <c r="K683" s="12" t="s">
        <v>40</v>
      </c>
      <c r="L683" s="12">
        <v>55</v>
      </c>
      <c r="M683" s="12" t="s">
        <v>40</v>
      </c>
      <c r="N683" s="12">
        <v>147</v>
      </c>
      <c r="O683" s="90" t="s">
        <v>2748</v>
      </c>
    </row>
    <row r="684" spans="1:15">
      <c r="A684" s="12">
        <f t="shared" si="69"/>
        <v>682</v>
      </c>
      <c r="B684" s="12" t="s">
        <v>8</v>
      </c>
      <c r="C684" s="12" t="s">
        <v>552</v>
      </c>
      <c r="D684" s="12" t="s">
        <v>550</v>
      </c>
      <c r="E684" s="89">
        <f t="shared" ca="1" si="70"/>
        <v>40951</v>
      </c>
      <c r="F684" s="11">
        <f>DATE(55,4,28)</f>
        <v>20207</v>
      </c>
      <c r="G684" s="12">
        <f t="shared" ca="1" si="66"/>
        <v>57</v>
      </c>
      <c r="H684" s="12">
        <f t="shared" ca="1" si="67"/>
        <v>-2</v>
      </c>
      <c r="I684" s="13">
        <f t="shared" ca="1" si="68"/>
        <v>-16</v>
      </c>
      <c r="J684" s="14">
        <f t="shared" ca="1" si="65"/>
        <v>56</v>
      </c>
      <c r="K684" s="12" t="s">
        <v>41</v>
      </c>
      <c r="L684" s="12">
        <v>55</v>
      </c>
      <c r="M684" s="12" t="s">
        <v>40</v>
      </c>
      <c r="N684" s="12">
        <v>147</v>
      </c>
    </row>
    <row r="685" spans="1:15">
      <c r="A685" s="12">
        <f t="shared" si="69"/>
        <v>683</v>
      </c>
      <c r="B685" s="12" t="s">
        <v>8</v>
      </c>
      <c r="C685" s="12" t="s">
        <v>553</v>
      </c>
      <c r="D685" s="12" t="s">
        <v>550</v>
      </c>
      <c r="E685" s="89">
        <f t="shared" ca="1" si="70"/>
        <v>40951</v>
      </c>
      <c r="F685" s="11">
        <f>DATE(84,2,2)</f>
        <v>30714</v>
      </c>
      <c r="G685" s="12">
        <f t="shared" ca="1" si="66"/>
        <v>28</v>
      </c>
      <c r="H685" s="12">
        <f t="shared" ca="1" si="67"/>
        <v>0</v>
      </c>
      <c r="I685" s="13">
        <f t="shared" ca="1" si="68"/>
        <v>10</v>
      </c>
      <c r="J685" s="14">
        <f t="shared" ca="1" si="65"/>
        <v>28</v>
      </c>
      <c r="K685" s="12" t="s">
        <v>41</v>
      </c>
      <c r="L685" s="12">
        <v>55</v>
      </c>
      <c r="M685" s="12" t="s">
        <v>44</v>
      </c>
      <c r="N685" s="12">
        <v>147</v>
      </c>
    </row>
    <row r="686" spans="1:15">
      <c r="A686" s="12">
        <f t="shared" si="69"/>
        <v>684</v>
      </c>
      <c r="B686" s="12" t="s">
        <v>8</v>
      </c>
      <c r="C686" s="12" t="s">
        <v>554</v>
      </c>
      <c r="D686" s="12" t="s">
        <v>550</v>
      </c>
      <c r="E686" s="89">
        <f t="shared" ca="1" si="70"/>
        <v>40951</v>
      </c>
      <c r="F686" s="11">
        <f>DATE(88,12,31)</f>
        <v>32508</v>
      </c>
      <c r="G686" s="12">
        <f t="shared" ca="1" si="66"/>
        <v>24</v>
      </c>
      <c r="H686" s="12">
        <f t="shared" ca="1" si="67"/>
        <v>-10</v>
      </c>
      <c r="I686" s="13">
        <f t="shared" ca="1" si="68"/>
        <v>-19</v>
      </c>
      <c r="J686" s="14">
        <f t="shared" ca="1" si="65"/>
        <v>23</v>
      </c>
      <c r="K686" s="12" t="s">
        <v>41</v>
      </c>
      <c r="L686" s="12">
        <v>55</v>
      </c>
      <c r="M686" s="12" t="s">
        <v>44</v>
      </c>
      <c r="N686" s="12">
        <v>147</v>
      </c>
    </row>
    <row r="687" spans="1:15">
      <c r="A687" s="12">
        <f t="shared" si="69"/>
        <v>685</v>
      </c>
      <c r="B687" s="12" t="s">
        <v>8</v>
      </c>
      <c r="C687" s="12" t="s">
        <v>555</v>
      </c>
      <c r="D687" s="12" t="s">
        <v>550</v>
      </c>
      <c r="E687" s="89">
        <f t="shared" ca="1" si="70"/>
        <v>40951</v>
      </c>
      <c r="F687" s="11">
        <f>DATE(93,10,18)</f>
        <v>34260</v>
      </c>
      <c r="G687" s="12">
        <f t="shared" ca="1" si="66"/>
        <v>19</v>
      </c>
      <c r="H687" s="12">
        <f t="shared" ca="1" si="67"/>
        <v>-8</v>
      </c>
      <c r="I687" s="13">
        <f t="shared" ca="1" si="68"/>
        <v>-6</v>
      </c>
      <c r="J687" s="14">
        <f t="shared" ca="1" si="65"/>
        <v>18</v>
      </c>
      <c r="K687" s="12" t="s">
        <v>41</v>
      </c>
      <c r="L687" s="12">
        <v>55</v>
      </c>
      <c r="M687" s="12" t="s">
        <v>44</v>
      </c>
      <c r="N687" s="12">
        <v>147</v>
      </c>
    </row>
    <row r="688" spans="1:15">
      <c r="A688" s="12">
        <f t="shared" si="69"/>
        <v>686</v>
      </c>
      <c r="B688" s="12" t="s">
        <v>8</v>
      </c>
      <c r="C688" s="12" t="s">
        <v>439</v>
      </c>
      <c r="D688" s="12" t="s">
        <v>556</v>
      </c>
      <c r="E688" s="89">
        <f t="shared" ca="1" si="70"/>
        <v>40951</v>
      </c>
      <c r="F688" s="11">
        <f>DATE(61,12,23)</f>
        <v>22638</v>
      </c>
      <c r="G688" s="12">
        <f t="shared" ca="1" si="66"/>
        <v>51</v>
      </c>
      <c r="H688" s="12">
        <f t="shared" ca="1" si="67"/>
        <v>-10</v>
      </c>
      <c r="I688" s="13">
        <f t="shared" ca="1" si="68"/>
        <v>-11</v>
      </c>
      <c r="J688" s="14">
        <f t="shared" ca="1" si="65"/>
        <v>50</v>
      </c>
      <c r="K688" s="12" t="s">
        <v>40</v>
      </c>
      <c r="L688" s="12">
        <v>55</v>
      </c>
      <c r="M688" s="12" t="s">
        <v>40</v>
      </c>
      <c r="N688" s="12">
        <v>148</v>
      </c>
      <c r="O688" s="90" t="s">
        <v>2748</v>
      </c>
    </row>
    <row r="689" spans="1:15">
      <c r="A689" s="12">
        <f t="shared" si="69"/>
        <v>687</v>
      </c>
      <c r="B689" s="12" t="s">
        <v>8</v>
      </c>
      <c r="C689" s="12" t="s">
        <v>124</v>
      </c>
      <c r="D689" s="12" t="s">
        <v>439</v>
      </c>
      <c r="E689" s="89">
        <f t="shared" ca="1" si="70"/>
        <v>40951</v>
      </c>
      <c r="F689" s="11">
        <f>DATE(64,7,27)</f>
        <v>23585</v>
      </c>
      <c r="G689" s="12">
        <f t="shared" ca="1" si="66"/>
        <v>48</v>
      </c>
      <c r="H689" s="12">
        <f t="shared" ca="1" si="67"/>
        <v>-5</v>
      </c>
      <c r="I689" s="13">
        <f t="shared" ca="1" si="68"/>
        <v>-15</v>
      </c>
      <c r="J689" s="14">
        <f t="shared" ca="1" si="65"/>
        <v>47</v>
      </c>
      <c r="K689" s="12" t="s">
        <v>41</v>
      </c>
      <c r="L689" s="12">
        <v>55</v>
      </c>
      <c r="M689" s="12" t="s">
        <v>40</v>
      </c>
      <c r="N689" s="12">
        <v>148</v>
      </c>
    </row>
    <row r="690" spans="1:15">
      <c r="A690" s="12">
        <f t="shared" si="69"/>
        <v>688</v>
      </c>
      <c r="B690" s="12" t="s">
        <v>8</v>
      </c>
      <c r="C690" s="12" t="s">
        <v>557</v>
      </c>
      <c r="D690" s="12" t="s">
        <v>439</v>
      </c>
      <c r="E690" s="89">
        <f t="shared" ca="1" si="70"/>
        <v>40951</v>
      </c>
      <c r="F690" s="11">
        <f>DATE(87,3,1)</f>
        <v>31837</v>
      </c>
      <c r="G690" s="12">
        <f t="shared" ca="1" si="66"/>
        <v>25</v>
      </c>
      <c r="H690" s="12">
        <f t="shared" ca="1" si="67"/>
        <v>-1</v>
      </c>
      <c r="I690" s="13">
        <f t="shared" ca="1" si="68"/>
        <v>11</v>
      </c>
      <c r="J690" s="14">
        <f t="shared" ca="1" si="65"/>
        <v>24</v>
      </c>
      <c r="K690" s="12" t="s">
        <v>41</v>
      </c>
      <c r="L690" s="12">
        <v>55</v>
      </c>
      <c r="M690" s="12" t="s">
        <v>44</v>
      </c>
      <c r="N690" s="12">
        <v>148</v>
      </c>
    </row>
    <row r="691" spans="1:15">
      <c r="A691" s="12">
        <f t="shared" si="69"/>
        <v>689</v>
      </c>
      <c r="B691" s="12" t="s">
        <v>8</v>
      </c>
      <c r="C691" s="12" t="s">
        <v>558</v>
      </c>
      <c r="D691" s="12" t="s">
        <v>439</v>
      </c>
      <c r="E691" s="89">
        <f t="shared" ca="1" si="70"/>
        <v>40951</v>
      </c>
      <c r="F691" s="11">
        <f>DATE(90,5,8)</f>
        <v>33001</v>
      </c>
      <c r="G691" s="12">
        <f t="shared" ca="1" si="66"/>
        <v>22</v>
      </c>
      <c r="H691" s="12">
        <f t="shared" ca="1" si="67"/>
        <v>-3</v>
      </c>
      <c r="I691" s="13">
        <f t="shared" ca="1" si="68"/>
        <v>4</v>
      </c>
      <c r="J691" s="14">
        <f t="shared" ca="1" si="65"/>
        <v>21</v>
      </c>
      <c r="K691" s="12" t="s">
        <v>41</v>
      </c>
      <c r="L691" s="12">
        <v>55</v>
      </c>
      <c r="M691" s="12" t="s">
        <v>44</v>
      </c>
      <c r="N691" s="12">
        <v>148</v>
      </c>
    </row>
    <row r="692" spans="1:15">
      <c r="A692" s="12">
        <f t="shared" si="69"/>
        <v>690</v>
      </c>
      <c r="B692" s="12" t="s">
        <v>8</v>
      </c>
      <c r="C692" s="12" t="s">
        <v>559</v>
      </c>
      <c r="D692" s="12" t="s">
        <v>439</v>
      </c>
      <c r="E692" s="89">
        <f t="shared" ca="1" si="70"/>
        <v>40951</v>
      </c>
      <c r="F692" s="11">
        <f>DATE(94,3,28)</f>
        <v>34421</v>
      </c>
      <c r="G692" s="12">
        <f t="shared" ca="1" si="66"/>
        <v>18</v>
      </c>
      <c r="H692" s="12">
        <f t="shared" ca="1" si="67"/>
        <v>-1</v>
      </c>
      <c r="I692" s="13">
        <f t="shared" ca="1" si="68"/>
        <v>-16</v>
      </c>
      <c r="J692" s="14">
        <f t="shared" ca="1" si="65"/>
        <v>17</v>
      </c>
      <c r="K692" s="12" t="s">
        <v>40</v>
      </c>
      <c r="L692" s="12">
        <v>55</v>
      </c>
      <c r="M692" s="12" t="s">
        <v>44</v>
      </c>
      <c r="N692" s="12">
        <v>148</v>
      </c>
    </row>
    <row r="693" spans="1:15">
      <c r="A693" s="12">
        <f t="shared" si="69"/>
        <v>691</v>
      </c>
      <c r="B693" s="12" t="s">
        <v>8</v>
      </c>
      <c r="C693" s="12" t="s">
        <v>560</v>
      </c>
      <c r="D693" s="12" t="s">
        <v>561</v>
      </c>
      <c r="E693" s="89">
        <f t="shared" ca="1" si="70"/>
        <v>40951</v>
      </c>
      <c r="F693" s="11">
        <f>DATE(52,8,19)</f>
        <v>19225</v>
      </c>
      <c r="G693" s="12">
        <f t="shared" ca="1" si="66"/>
        <v>60</v>
      </c>
      <c r="H693" s="12">
        <f t="shared" ca="1" si="67"/>
        <v>-6</v>
      </c>
      <c r="I693" s="13">
        <f t="shared" ca="1" si="68"/>
        <v>-7</v>
      </c>
      <c r="J693" s="14">
        <f t="shared" ca="1" si="65"/>
        <v>59</v>
      </c>
      <c r="K693" s="12" t="s">
        <v>40</v>
      </c>
      <c r="L693" s="12">
        <v>55</v>
      </c>
      <c r="M693" s="12" t="s">
        <v>40</v>
      </c>
      <c r="N693" s="12">
        <v>149</v>
      </c>
      <c r="O693" s="90" t="s">
        <v>2748</v>
      </c>
    </row>
    <row r="694" spans="1:15">
      <c r="A694" s="12">
        <f t="shared" si="69"/>
        <v>692</v>
      </c>
      <c r="B694" s="12" t="s">
        <v>8</v>
      </c>
      <c r="C694" s="12" t="s">
        <v>81</v>
      </c>
      <c r="D694" s="12" t="s">
        <v>560</v>
      </c>
      <c r="E694" s="89">
        <f t="shared" ca="1" si="70"/>
        <v>40951</v>
      </c>
      <c r="F694" s="11">
        <f>DATE(59,11,26)</f>
        <v>21880</v>
      </c>
      <c r="G694" s="12">
        <f t="shared" ca="1" si="66"/>
        <v>53</v>
      </c>
      <c r="H694" s="12">
        <f t="shared" ca="1" si="67"/>
        <v>-9</v>
      </c>
      <c r="I694" s="13">
        <f t="shared" ca="1" si="68"/>
        <v>-14</v>
      </c>
      <c r="J694" s="14">
        <f t="shared" ca="1" si="65"/>
        <v>52</v>
      </c>
      <c r="K694" s="12" t="s">
        <v>41</v>
      </c>
      <c r="L694" s="12">
        <v>55</v>
      </c>
      <c r="M694" s="12" t="s">
        <v>40</v>
      </c>
      <c r="N694" s="12">
        <v>149</v>
      </c>
    </row>
    <row r="695" spans="1:15">
      <c r="A695" s="12">
        <f t="shared" si="69"/>
        <v>693</v>
      </c>
      <c r="B695" s="12" t="s">
        <v>8</v>
      </c>
      <c r="C695" s="12" t="s">
        <v>562</v>
      </c>
      <c r="D695" s="12" t="s">
        <v>560</v>
      </c>
      <c r="E695" s="89">
        <f t="shared" ca="1" si="70"/>
        <v>40951</v>
      </c>
      <c r="F695" s="11">
        <f>DATE(88,2,1)</f>
        <v>32174</v>
      </c>
      <c r="G695" s="12">
        <f t="shared" ca="1" si="66"/>
        <v>24</v>
      </c>
      <c r="H695" s="12">
        <f t="shared" ca="1" si="67"/>
        <v>0</v>
      </c>
      <c r="I695" s="13">
        <f t="shared" ca="1" si="68"/>
        <v>11</v>
      </c>
      <c r="J695" s="14">
        <f t="shared" ca="1" si="65"/>
        <v>24</v>
      </c>
      <c r="K695" s="12" t="s">
        <v>40</v>
      </c>
      <c r="L695" s="12">
        <v>55</v>
      </c>
      <c r="M695" s="12" t="s">
        <v>44</v>
      </c>
      <c r="N695" s="12">
        <v>149</v>
      </c>
    </row>
    <row r="696" spans="1:15">
      <c r="A696" s="12">
        <f t="shared" si="69"/>
        <v>694</v>
      </c>
      <c r="B696" s="12" t="s">
        <v>8</v>
      </c>
      <c r="C696" s="12" t="s">
        <v>563</v>
      </c>
      <c r="D696" s="12" t="s">
        <v>561</v>
      </c>
      <c r="E696" s="89">
        <f t="shared" ca="1" si="70"/>
        <v>40951</v>
      </c>
      <c r="F696" s="32"/>
      <c r="G696" s="12">
        <f t="shared" ca="1" si="66"/>
        <v>112</v>
      </c>
      <c r="H696" s="12">
        <f t="shared" ca="1" si="67"/>
        <v>1</v>
      </c>
      <c r="I696" s="13">
        <f t="shared" ca="1" si="68"/>
        <v>12</v>
      </c>
      <c r="J696" s="14">
        <f t="shared" ca="1" si="65"/>
        <v>112</v>
      </c>
      <c r="K696" s="12" t="s">
        <v>41</v>
      </c>
      <c r="L696" s="12">
        <v>55</v>
      </c>
      <c r="M696" s="12" t="s">
        <v>40</v>
      </c>
      <c r="N696" s="12">
        <v>149</v>
      </c>
    </row>
    <row r="697" spans="1:15">
      <c r="A697" s="12">
        <f t="shared" si="69"/>
        <v>695</v>
      </c>
      <c r="B697" s="12" t="s">
        <v>8</v>
      </c>
      <c r="C697" s="12" t="s">
        <v>444</v>
      </c>
      <c r="D697" s="12" t="s">
        <v>564</v>
      </c>
      <c r="E697" s="89">
        <f t="shared" ca="1" si="70"/>
        <v>40951</v>
      </c>
      <c r="F697" s="11">
        <f>DATE(73,11,27)</f>
        <v>26995</v>
      </c>
      <c r="G697" s="12">
        <f t="shared" ca="1" si="66"/>
        <v>39</v>
      </c>
      <c r="H697" s="12">
        <f t="shared" ca="1" si="67"/>
        <v>-9</v>
      </c>
      <c r="I697" s="13">
        <f t="shared" ca="1" si="68"/>
        <v>-15</v>
      </c>
      <c r="J697" s="14">
        <f t="shared" ca="1" si="65"/>
        <v>38</v>
      </c>
      <c r="K697" s="12" t="s">
        <v>40</v>
      </c>
      <c r="L697" s="12">
        <v>56</v>
      </c>
      <c r="M697" s="12" t="s">
        <v>40</v>
      </c>
      <c r="N697" s="12">
        <v>150</v>
      </c>
      <c r="O697" s="90" t="s">
        <v>2748</v>
      </c>
    </row>
    <row r="698" spans="1:15">
      <c r="A698" s="12">
        <f t="shared" si="69"/>
        <v>696</v>
      </c>
      <c r="B698" s="12" t="s">
        <v>8</v>
      </c>
      <c r="C698" s="12" t="s">
        <v>565</v>
      </c>
      <c r="D698" s="12" t="s">
        <v>444</v>
      </c>
      <c r="E698" s="89">
        <f t="shared" ca="1" si="70"/>
        <v>40951</v>
      </c>
      <c r="F698" s="11">
        <f>DATE(79,9,8)</f>
        <v>29106</v>
      </c>
      <c r="G698" s="12">
        <f t="shared" ca="1" si="66"/>
        <v>33</v>
      </c>
      <c r="H698" s="12">
        <f t="shared" ca="1" si="67"/>
        <v>-7</v>
      </c>
      <c r="I698" s="13">
        <f t="shared" ca="1" si="68"/>
        <v>4</v>
      </c>
      <c r="J698" s="14">
        <f t="shared" ca="1" si="65"/>
        <v>32</v>
      </c>
      <c r="K698" s="12" t="s">
        <v>41</v>
      </c>
      <c r="L698" s="12">
        <v>56</v>
      </c>
      <c r="M698" s="12" t="s">
        <v>40</v>
      </c>
      <c r="N698" s="12">
        <v>150</v>
      </c>
    </row>
    <row r="699" spans="1:15">
      <c r="A699" s="12">
        <f t="shared" si="69"/>
        <v>697</v>
      </c>
      <c r="B699" s="12" t="s">
        <v>8</v>
      </c>
      <c r="C699" s="12" t="s">
        <v>566</v>
      </c>
      <c r="D699" s="12" t="s">
        <v>444</v>
      </c>
      <c r="E699" s="89">
        <f t="shared" ca="1" si="70"/>
        <v>40951</v>
      </c>
      <c r="F699" s="11">
        <f>DATE(2000,11,13)</f>
        <v>36843</v>
      </c>
      <c r="G699" s="12">
        <f t="shared" ca="1" si="66"/>
        <v>12</v>
      </c>
      <c r="H699" s="12">
        <f t="shared" ca="1" si="67"/>
        <v>-9</v>
      </c>
      <c r="I699" s="13">
        <f t="shared" ca="1" si="68"/>
        <v>-1</v>
      </c>
      <c r="J699" s="14">
        <f t="shared" ca="1" si="65"/>
        <v>11</v>
      </c>
      <c r="K699" s="12" t="s">
        <v>40</v>
      </c>
      <c r="L699" s="12">
        <v>56</v>
      </c>
      <c r="M699" s="12" t="s">
        <v>44</v>
      </c>
      <c r="N699" s="12">
        <v>150</v>
      </c>
    </row>
    <row r="700" spans="1:15">
      <c r="A700" s="12">
        <f t="shared" si="69"/>
        <v>698</v>
      </c>
      <c r="B700" s="12" t="s">
        <v>8</v>
      </c>
      <c r="C700" s="12" t="s">
        <v>567</v>
      </c>
      <c r="D700" s="12" t="s">
        <v>444</v>
      </c>
      <c r="E700" s="89">
        <f t="shared" ca="1" si="70"/>
        <v>40951</v>
      </c>
      <c r="F700" s="11">
        <f>DATE(2004,10,14)</f>
        <v>38274</v>
      </c>
      <c r="G700" s="12">
        <f t="shared" ca="1" si="66"/>
        <v>8</v>
      </c>
      <c r="H700" s="12">
        <f t="shared" ca="1" si="67"/>
        <v>-8</v>
      </c>
      <c r="I700" s="13">
        <f t="shared" ca="1" si="68"/>
        <v>-2</v>
      </c>
      <c r="J700" s="14">
        <f t="shared" ca="1" si="65"/>
        <v>7</v>
      </c>
      <c r="K700" s="12" t="s">
        <v>41</v>
      </c>
      <c r="L700" s="12">
        <v>56</v>
      </c>
      <c r="M700" s="12" t="s">
        <v>44</v>
      </c>
      <c r="N700" s="12">
        <v>150</v>
      </c>
    </row>
    <row r="701" spans="1:15">
      <c r="A701" s="12">
        <f t="shared" si="69"/>
        <v>699</v>
      </c>
      <c r="B701" s="12" t="s">
        <v>8</v>
      </c>
      <c r="C701" s="12" t="s">
        <v>568</v>
      </c>
      <c r="D701" s="12" t="s">
        <v>358</v>
      </c>
      <c r="E701" s="89">
        <f t="shared" ca="1" si="70"/>
        <v>40951</v>
      </c>
      <c r="F701" s="11">
        <f>DATE(57,4,22)</f>
        <v>20932</v>
      </c>
      <c r="G701" s="12">
        <f t="shared" ca="1" si="66"/>
        <v>55</v>
      </c>
      <c r="H701" s="12">
        <f t="shared" ca="1" si="67"/>
        <v>-2</v>
      </c>
      <c r="I701" s="13">
        <f t="shared" ca="1" si="68"/>
        <v>-10</v>
      </c>
      <c r="J701" s="14">
        <f t="shared" ca="1" si="65"/>
        <v>54</v>
      </c>
      <c r="K701" s="12" t="s">
        <v>40</v>
      </c>
      <c r="L701" s="12">
        <v>56</v>
      </c>
      <c r="M701" s="12" t="s">
        <v>40</v>
      </c>
      <c r="N701" s="12">
        <v>151</v>
      </c>
      <c r="O701" s="90" t="s">
        <v>2748</v>
      </c>
    </row>
    <row r="702" spans="1:15">
      <c r="A702" s="12">
        <f t="shared" si="69"/>
        <v>700</v>
      </c>
      <c r="B702" s="12" t="s">
        <v>8</v>
      </c>
      <c r="C702" s="12" t="s">
        <v>62</v>
      </c>
      <c r="D702" s="12" t="s">
        <v>568</v>
      </c>
      <c r="E702" s="89">
        <f t="shared" ca="1" si="70"/>
        <v>40951</v>
      </c>
      <c r="F702" s="11">
        <f>DATE(66,6,22)</f>
        <v>24280</v>
      </c>
      <c r="G702" s="12">
        <f t="shared" ca="1" si="66"/>
        <v>46</v>
      </c>
      <c r="H702" s="12">
        <f t="shared" ca="1" si="67"/>
        <v>-4</v>
      </c>
      <c r="I702" s="13">
        <f t="shared" ca="1" si="68"/>
        <v>-10</v>
      </c>
      <c r="J702" s="14">
        <f t="shared" ca="1" si="65"/>
        <v>45</v>
      </c>
      <c r="K702" s="12" t="s">
        <v>41</v>
      </c>
      <c r="L702" s="12">
        <v>56</v>
      </c>
      <c r="M702" s="12" t="s">
        <v>40</v>
      </c>
      <c r="N702" s="12">
        <v>151</v>
      </c>
    </row>
    <row r="703" spans="1:15">
      <c r="A703" s="12">
        <f t="shared" si="69"/>
        <v>701</v>
      </c>
      <c r="B703" s="12" t="s">
        <v>8</v>
      </c>
      <c r="C703" s="12" t="s">
        <v>569</v>
      </c>
      <c r="D703" s="12" t="s">
        <v>568</v>
      </c>
      <c r="E703" s="89">
        <f t="shared" ca="1" si="70"/>
        <v>40951</v>
      </c>
      <c r="F703" s="11">
        <f>DATE(86,3,7)</f>
        <v>31478</v>
      </c>
      <c r="G703" s="12">
        <f t="shared" ca="1" si="66"/>
        <v>26</v>
      </c>
      <c r="H703" s="12">
        <f t="shared" ca="1" si="67"/>
        <v>-1</v>
      </c>
      <c r="I703" s="13">
        <f t="shared" ca="1" si="68"/>
        <v>5</v>
      </c>
      <c r="J703" s="14">
        <f t="shared" ca="1" si="65"/>
        <v>25</v>
      </c>
      <c r="K703" s="12" t="s">
        <v>40</v>
      </c>
      <c r="L703" s="12">
        <v>56</v>
      </c>
      <c r="M703" s="12" t="s">
        <v>44</v>
      </c>
      <c r="N703" s="12">
        <v>151</v>
      </c>
    </row>
    <row r="704" spans="1:15">
      <c r="A704" s="12">
        <f t="shared" si="69"/>
        <v>702</v>
      </c>
      <c r="B704" s="12" t="s">
        <v>8</v>
      </c>
      <c r="C704" s="12" t="s">
        <v>376</v>
      </c>
      <c r="D704" s="12" t="s">
        <v>568</v>
      </c>
      <c r="E704" s="89">
        <f t="shared" ca="1" si="70"/>
        <v>40951</v>
      </c>
      <c r="F704" s="11">
        <f>DATE(89,5,31)</f>
        <v>32659</v>
      </c>
      <c r="G704" s="12">
        <f t="shared" ca="1" si="66"/>
        <v>23</v>
      </c>
      <c r="H704" s="12">
        <f t="shared" ca="1" si="67"/>
        <v>-3</v>
      </c>
      <c r="I704" s="13">
        <f t="shared" ca="1" si="68"/>
        <v>-19</v>
      </c>
      <c r="J704" s="14">
        <f t="shared" ca="1" si="65"/>
        <v>22</v>
      </c>
      <c r="K704" s="12" t="s">
        <v>40</v>
      </c>
      <c r="L704" s="12">
        <v>56</v>
      </c>
      <c r="M704" s="12" t="s">
        <v>44</v>
      </c>
      <c r="N704" s="12">
        <v>151</v>
      </c>
    </row>
    <row r="705" spans="1:15">
      <c r="A705" s="12">
        <f t="shared" si="69"/>
        <v>703</v>
      </c>
      <c r="B705" s="12" t="s">
        <v>8</v>
      </c>
      <c r="C705" s="12" t="s">
        <v>341</v>
      </c>
      <c r="D705" s="12" t="s">
        <v>77</v>
      </c>
      <c r="E705" s="89">
        <f t="shared" ca="1" si="70"/>
        <v>40951</v>
      </c>
      <c r="F705" s="11">
        <f>DATE(63,9,1)</f>
        <v>23255</v>
      </c>
      <c r="G705" s="12">
        <f t="shared" ca="1" si="66"/>
        <v>49</v>
      </c>
      <c r="H705" s="12">
        <f t="shared" ca="1" si="67"/>
        <v>-7</v>
      </c>
      <c r="I705" s="13">
        <f t="shared" ca="1" si="68"/>
        <v>11</v>
      </c>
      <c r="J705" s="14">
        <f t="shared" ca="1" si="65"/>
        <v>48</v>
      </c>
      <c r="K705" s="12" t="s">
        <v>40</v>
      </c>
      <c r="L705" s="12">
        <v>56</v>
      </c>
      <c r="M705" s="12" t="s">
        <v>40</v>
      </c>
      <c r="N705" s="12">
        <v>152</v>
      </c>
      <c r="O705" s="90" t="s">
        <v>2748</v>
      </c>
    </row>
    <row r="706" spans="1:15">
      <c r="A706" s="12">
        <f t="shared" si="69"/>
        <v>704</v>
      </c>
      <c r="B706" s="12" t="s">
        <v>8</v>
      </c>
      <c r="C706" s="12" t="s">
        <v>570</v>
      </c>
      <c r="D706" s="12" t="s">
        <v>341</v>
      </c>
      <c r="E706" s="89">
        <f t="shared" ca="1" si="70"/>
        <v>40951</v>
      </c>
      <c r="F706" s="11">
        <f>DATE(65,10,18)</f>
        <v>24033</v>
      </c>
      <c r="G706" s="12">
        <f t="shared" ca="1" si="66"/>
        <v>47</v>
      </c>
      <c r="H706" s="12">
        <f t="shared" ca="1" si="67"/>
        <v>-8</v>
      </c>
      <c r="I706" s="13">
        <f t="shared" ca="1" si="68"/>
        <v>-6</v>
      </c>
      <c r="J706" s="14">
        <f t="shared" ca="1" si="65"/>
        <v>46</v>
      </c>
      <c r="K706" s="12" t="s">
        <v>41</v>
      </c>
      <c r="L706" s="12">
        <v>56</v>
      </c>
      <c r="M706" s="12" t="s">
        <v>40</v>
      </c>
      <c r="N706" s="12">
        <v>152</v>
      </c>
    </row>
    <row r="707" spans="1:15">
      <c r="A707" s="12">
        <f t="shared" si="69"/>
        <v>705</v>
      </c>
      <c r="B707" s="12" t="s">
        <v>8</v>
      </c>
      <c r="C707" s="12" t="s">
        <v>474</v>
      </c>
      <c r="D707" s="12" t="s">
        <v>341</v>
      </c>
      <c r="E707" s="89">
        <f t="shared" ca="1" si="70"/>
        <v>40951</v>
      </c>
      <c r="F707" s="11">
        <f>DATE(81,4,6)</f>
        <v>29682</v>
      </c>
      <c r="G707" s="12">
        <f t="shared" ca="1" si="66"/>
        <v>31</v>
      </c>
      <c r="H707" s="12">
        <f t="shared" ca="1" si="67"/>
        <v>-2</v>
      </c>
      <c r="I707" s="13">
        <f t="shared" ca="1" si="68"/>
        <v>6</v>
      </c>
      <c r="J707" s="14">
        <f t="shared" ref="J707:J770" ca="1" si="71">IF(H707&lt;0,G707-1,IF(H707&gt;0,G707,IF(I707&lt;0,G707-1,G707)))</f>
        <v>30</v>
      </c>
      <c r="K707" s="12" t="s">
        <v>41</v>
      </c>
      <c r="L707" s="12">
        <v>56</v>
      </c>
      <c r="M707" s="12" t="s">
        <v>44</v>
      </c>
      <c r="N707" s="12">
        <v>152</v>
      </c>
    </row>
    <row r="708" spans="1:15">
      <c r="A708" s="12">
        <f t="shared" si="69"/>
        <v>706</v>
      </c>
      <c r="B708" s="12" t="s">
        <v>8</v>
      </c>
      <c r="C708" s="12" t="s">
        <v>571</v>
      </c>
      <c r="D708" s="12" t="s">
        <v>341</v>
      </c>
      <c r="E708" s="89">
        <f t="shared" ca="1" si="70"/>
        <v>40951</v>
      </c>
      <c r="F708" s="11">
        <f>DATE(84,10,8)</f>
        <v>30963</v>
      </c>
      <c r="G708" s="12">
        <f t="shared" ca="1" si="66"/>
        <v>28</v>
      </c>
      <c r="H708" s="12">
        <f t="shared" ca="1" si="67"/>
        <v>-8</v>
      </c>
      <c r="I708" s="13">
        <f t="shared" ca="1" si="68"/>
        <v>4</v>
      </c>
      <c r="J708" s="14">
        <f t="shared" ca="1" si="71"/>
        <v>27</v>
      </c>
      <c r="K708" s="12" t="s">
        <v>40</v>
      </c>
      <c r="L708" s="12">
        <v>56</v>
      </c>
      <c r="M708" s="12" t="s">
        <v>44</v>
      </c>
      <c r="N708" s="12">
        <v>152</v>
      </c>
    </row>
    <row r="709" spans="1:15">
      <c r="A709" s="12">
        <f t="shared" si="69"/>
        <v>707</v>
      </c>
      <c r="B709" s="12" t="s">
        <v>8</v>
      </c>
      <c r="C709" s="12" t="s">
        <v>572</v>
      </c>
      <c r="D709" s="12" t="s">
        <v>573</v>
      </c>
      <c r="E709" s="89">
        <f t="shared" ca="1" si="70"/>
        <v>40951</v>
      </c>
      <c r="F709" s="11">
        <f>DATE(34,4,29)</f>
        <v>12538</v>
      </c>
      <c r="G709" s="12">
        <f t="shared" ca="1" si="66"/>
        <v>78</v>
      </c>
      <c r="H709" s="12">
        <f t="shared" ca="1" si="67"/>
        <v>-2</v>
      </c>
      <c r="I709" s="13">
        <f t="shared" ca="1" si="68"/>
        <v>-17</v>
      </c>
      <c r="J709" s="14">
        <f t="shared" ca="1" si="71"/>
        <v>77</v>
      </c>
      <c r="K709" s="12" t="s">
        <v>40</v>
      </c>
      <c r="L709" s="12">
        <v>57</v>
      </c>
      <c r="M709" s="12" t="s">
        <v>40</v>
      </c>
      <c r="N709" s="12">
        <v>153</v>
      </c>
      <c r="O709" s="90" t="s">
        <v>2748</v>
      </c>
    </row>
    <row r="710" spans="1:15">
      <c r="A710" s="12">
        <f t="shared" si="69"/>
        <v>708</v>
      </c>
      <c r="B710" s="12" t="s">
        <v>8</v>
      </c>
      <c r="C710" s="12" t="s">
        <v>138</v>
      </c>
      <c r="D710" s="12" t="s">
        <v>572</v>
      </c>
      <c r="E710" s="89">
        <f t="shared" ca="1" si="70"/>
        <v>40951</v>
      </c>
      <c r="F710" s="11">
        <f>DATE(57,12,8)</f>
        <v>21162</v>
      </c>
      <c r="G710" s="12">
        <f t="shared" ca="1" si="66"/>
        <v>55</v>
      </c>
      <c r="H710" s="12">
        <f t="shared" ca="1" si="67"/>
        <v>-10</v>
      </c>
      <c r="I710" s="13">
        <f t="shared" ca="1" si="68"/>
        <v>4</v>
      </c>
      <c r="J710" s="14">
        <f t="shared" ca="1" si="71"/>
        <v>54</v>
      </c>
      <c r="K710" s="12" t="s">
        <v>40</v>
      </c>
      <c r="L710" s="12">
        <v>57</v>
      </c>
      <c r="M710" s="12" t="s">
        <v>40</v>
      </c>
      <c r="N710" s="12">
        <v>153</v>
      </c>
    </row>
    <row r="711" spans="1:15">
      <c r="A711" s="12">
        <f t="shared" si="69"/>
        <v>709</v>
      </c>
      <c r="B711" s="12" t="s">
        <v>8</v>
      </c>
      <c r="C711" s="12" t="s">
        <v>574</v>
      </c>
      <c r="D711" s="12" t="s">
        <v>138</v>
      </c>
      <c r="E711" s="89">
        <f t="shared" ca="1" si="70"/>
        <v>40951</v>
      </c>
      <c r="F711" s="11">
        <f>DATE(61,11,4)</f>
        <v>22589</v>
      </c>
      <c r="G711" s="12">
        <f t="shared" ca="1" si="66"/>
        <v>51</v>
      </c>
      <c r="H711" s="12">
        <f t="shared" ca="1" si="67"/>
        <v>-9</v>
      </c>
      <c r="I711" s="13">
        <f t="shared" ca="1" si="68"/>
        <v>8</v>
      </c>
      <c r="J711" s="14">
        <f t="shared" ca="1" si="71"/>
        <v>50</v>
      </c>
      <c r="K711" s="12" t="s">
        <v>41</v>
      </c>
      <c r="L711" s="12">
        <v>57</v>
      </c>
      <c r="M711" s="12" t="s">
        <v>40</v>
      </c>
      <c r="N711" s="12">
        <v>153</v>
      </c>
    </row>
    <row r="712" spans="1:15">
      <c r="A712" s="12">
        <f t="shared" si="69"/>
        <v>710</v>
      </c>
      <c r="B712" s="12" t="s">
        <v>8</v>
      </c>
      <c r="C712" s="12" t="s">
        <v>305</v>
      </c>
      <c r="D712" s="12" t="s">
        <v>138</v>
      </c>
      <c r="E712" s="89">
        <f t="shared" ca="1" si="70"/>
        <v>40951</v>
      </c>
      <c r="F712" s="11">
        <f>DATE(84,7,25)</f>
        <v>30888</v>
      </c>
      <c r="G712" s="12">
        <f t="shared" ca="1" si="66"/>
        <v>28</v>
      </c>
      <c r="H712" s="12">
        <f t="shared" ca="1" si="67"/>
        <v>-5</v>
      </c>
      <c r="I712" s="13">
        <f t="shared" ca="1" si="68"/>
        <v>-13</v>
      </c>
      <c r="J712" s="14">
        <f t="shared" ca="1" si="71"/>
        <v>27</v>
      </c>
      <c r="K712" s="12" t="s">
        <v>40</v>
      </c>
      <c r="L712" s="12">
        <v>57</v>
      </c>
      <c r="M712" s="12" t="s">
        <v>44</v>
      </c>
      <c r="N712" s="12">
        <v>153</v>
      </c>
    </row>
    <row r="713" spans="1:15">
      <c r="A713" s="12">
        <f t="shared" si="69"/>
        <v>711</v>
      </c>
      <c r="B713" s="12" t="s">
        <v>8</v>
      </c>
      <c r="C713" s="12" t="s">
        <v>376</v>
      </c>
      <c r="D713" s="12" t="s">
        <v>138</v>
      </c>
      <c r="E713" s="89">
        <f t="shared" ca="1" si="70"/>
        <v>40951</v>
      </c>
      <c r="F713" s="11">
        <f>DATE(90,9,13)</f>
        <v>33129</v>
      </c>
      <c r="G713" s="12">
        <f t="shared" ca="1" si="66"/>
        <v>22</v>
      </c>
      <c r="H713" s="12">
        <f t="shared" ca="1" si="67"/>
        <v>-7</v>
      </c>
      <c r="I713" s="13">
        <f t="shared" ca="1" si="68"/>
        <v>-1</v>
      </c>
      <c r="J713" s="14">
        <f t="shared" ca="1" si="71"/>
        <v>21</v>
      </c>
      <c r="K713" s="12" t="s">
        <v>40</v>
      </c>
      <c r="L713" s="12">
        <v>57</v>
      </c>
      <c r="M713" s="12" t="s">
        <v>44</v>
      </c>
      <c r="N713" s="12">
        <v>153</v>
      </c>
    </row>
    <row r="714" spans="1:15">
      <c r="A714" s="12">
        <f t="shared" si="69"/>
        <v>712</v>
      </c>
      <c r="B714" s="12" t="s">
        <v>8</v>
      </c>
      <c r="C714" s="12" t="s">
        <v>396</v>
      </c>
      <c r="D714" s="12" t="s">
        <v>572</v>
      </c>
      <c r="E714" s="89">
        <f t="shared" ca="1" si="70"/>
        <v>40951</v>
      </c>
      <c r="F714" s="11">
        <f>DATE(64,10,6)</f>
        <v>23656</v>
      </c>
      <c r="G714" s="12">
        <f t="shared" ca="1" si="66"/>
        <v>48</v>
      </c>
      <c r="H714" s="12">
        <f t="shared" ca="1" si="67"/>
        <v>-8</v>
      </c>
      <c r="I714" s="13">
        <f t="shared" ca="1" si="68"/>
        <v>6</v>
      </c>
      <c r="J714" s="14">
        <f t="shared" ca="1" si="71"/>
        <v>47</v>
      </c>
      <c r="K714" s="12" t="s">
        <v>40</v>
      </c>
      <c r="L714" s="12">
        <v>57</v>
      </c>
      <c r="M714" s="12" t="s">
        <v>40</v>
      </c>
      <c r="N714" s="12">
        <v>153</v>
      </c>
    </row>
    <row r="715" spans="1:15">
      <c r="A715" s="12">
        <f t="shared" si="69"/>
        <v>713</v>
      </c>
      <c r="B715" s="12" t="s">
        <v>8</v>
      </c>
      <c r="C715" s="12" t="s">
        <v>216</v>
      </c>
      <c r="D715" s="12" t="s">
        <v>396</v>
      </c>
      <c r="E715" s="89">
        <f t="shared" ca="1" si="70"/>
        <v>40951</v>
      </c>
      <c r="F715" s="11">
        <f>DATE(69,7,3)</f>
        <v>25387</v>
      </c>
      <c r="G715" s="12">
        <f t="shared" ca="1" si="66"/>
        <v>43</v>
      </c>
      <c r="H715" s="12">
        <f t="shared" ca="1" si="67"/>
        <v>-5</v>
      </c>
      <c r="I715" s="13">
        <f t="shared" ca="1" si="68"/>
        <v>9</v>
      </c>
      <c r="J715" s="14">
        <f t="shared" ca="1" si="71"/>
        <v>42</v>
      </c>
      <c r="K715" s="12" t="s">
        <v>41</v>
      </c>
      <c r="L715" s="12">
        <v>57</v>
      </c>
      <c r="M715" s="12" t="s">
        <v>40</v>
      </c>
      <c r="N715" s="12">
        <v>153</v>
      </c>
    </row>
    <row r="716" spans="1:15">
      <c r="A716" s="12">
        <f t="shared" si="69"/>
        <v>714</v>
      </c>
      <c r="B716" s="12" t="s">
        <v>8</v>
      </c>
      <c r="C716" s="12" t="s">
        <v>211</v>
      </c>
      <c r="D716" s="12" t="s">
        <v>396</v>
      </c>
      <c r="E716" s="89">
        <f t="shared" ca="1" si="70"/>
        <v>40951</v>
      </c>
      <c r="F716" s="11">
        <f>DATE(96,9,2)</f>
        <v>35310</v>
      </c>
      <c r="G716" s="12">
        <f t="shared" ca="1" si="66"/>
        <v>16</v>
      </c>
      <c r="H716" s="12">
        <f t="shared" ca="1" si="67"/>
        <v>-7</v>
      </c>
      <c r="I716" s="13">
        <f t="shared" ca="1" si="68"/>
        <v>10</v>
      </c>
      <c r="J716" s="14">
        <f t="shared" ca="1" si="71"/>
        <v>15</v>
      </c>
      <c r="K716" s="12" t="s">
        <v>41</v>
      </c>
      <c r="L716" s="12">
        <v>57</v>
      </c>
      <c r="M716" s="12" t="s">
        <v>44</v>
      </c>
      <c r="N716" s="12">
        <v>153</v>
      </c>
    </row>
    <row r="717" spans="1:15">
      <c r="A717" s="12">
        <f t="shared" si="69"/>
        <v>715</v>
      </c>
      <c r="B717" s="12" t="s">
        <v>8</v>
      </c>
      <c r="C717" s="12" t="s">
        <v>575</v>
      </c>
      <c r="D717" s="12" t="s">
        <v>396</v>
      </c>
      <c r="E717" s="89">
        <f t="shared" ca="1" si="70"/>
        <v>40951</v>
      </c>
      <c r="F717" s="11">
        <f>DATE(2000,3,2)</f>
        <v>36587</v>
      </c>
      <c r="G717" s="12">
        <f t="shared" ca="1" si="66"/>
        <v>12</v>
      </c>
      <c r="H717" s="12">
        <f t="shared" ca="1" si="67"/>
        <v>-1</v>
      </c>
      <c r="I717" s="13">
        <f t="shared" ca="1" si="68"/>
        <v>10</v>
      </c>
      <c r="J717" s="14">
        <f t="shared" ca="1" si="71"/>
        <v>11</v>
      </c>
      <c r="K717" s="12" t="s">
        <v>41</v>
      </c>
      <c r="L717" s="12">
        <v>57</v>
      </c>
      <c r="M717" s="12" t="s">
        <v>44</v>
      </c>
      <c r="N717" s="12">
        <v>153</v>
      </c>
    </row>
    <row r="718" spans="1:15">
      <c r="A718" s="12">
        <f t="shared" si="69"/>
        <v>716</v>
      </c>
      <c r="B718" s="12" t="s">
        <v>8</v>
      </c>
      <c r="C718" s="12" t="s">
        <v>576</v>
      </c>
      <c r="D718" s="12" t="s">
        <v>522</v>
      </c>
      <c r="E718" s="89">
        <f t="shared" ca="1" si="70"/>
        <v>40951</v>
      </c>
      <c r="F718" s="32"/>
      <c r="G718" s="12">
        <f t="shared" ca="1" si="66"/>
        <v>112</v>
      </c>
      <c r="H718" s="12">
        <f t="shared" ca="1" si="67"/>
        <v>1</v>
      </c>
      <c r="I718" s="13">
        <f t="shared" ca="1" si="68"/>
        <v>12</v>
      </c>
      <c r="J718" s="14">
        <f t="shared" ca="1" si="71"/>
        <v>112</v>
      </c>
      <c r="K718" s="12" t="s">
        <v>41</v>
      </c>
      <c r="L718" s="12">
        <v>57</v>
      </c>
      <c r="M718" s="12" t="s">
        <v>40</v>
      </c>
      <c r="N718" s="12">
        <v>154</v>
      </c>
      <c r="O718" s="90" t="s">
        <v>2748</v>
      </c>
    </row>
    <row r="719" spans="1:15">
      <c r="A719" s="12">
        <f t="shared" si="69"/>
        <v>717</v>
      </c>
      <c r="B719" s="12" t="s">
        <v>8</v>
      </c>
      <c r="C719" s="12" t="s">
        <v>577</v>
      </c>
      <c r="D719" s="12" t="s">
        <v>134</v>
      </c>
      <c r="E719" s="89">
        <f t="shared" ca="1" si="70"/>
        <v>40951</v>
      </c>
      <c r="F719" s="11">
        <f>DATE(43,1,31)</f>
        <v>15737</v>
      </c>
      <c r="G719" s="12">
        <f t="shared" ca="1" si="66"/>
        <v>69</v>
      </c>
      <c r="H719" s="12">
        <f t="shared" ca="1" si="67"/>
        <v>1</v>
      </c>
      <c r="I719" s="13">
        <f t="shared" ca="1" si="68"/>
        <v>-19</v>
      </c>
      <c r="J719" s="14">
        <f t="shared" ca="1" si="71"/>
        <v>69</v>
      </c>
      <c r="K719" s="12" t="s">
        <v>40</v>
      </c>
      <c r="L719" s="12">
        <v>58</v>
      </c>
      <c r="M719" s="12" t="s">
        <v>40</v>
      </c>
      <c r="N719" s="12">
        <v>155</v>
      </c>
    </row>
    <row r="720" spans="1:15">
      <c r="A720" s="12">
        <f t="shared" si="69"/>
        <v>718</v>
      </c>
      <c r="B720" s="12" t="s">
        <v>8</v>
      </c>
      <c r="C720" s="12" t="s">
        <v>578</v>
      </c>
      <c r="D720" s="12" t="s">
        <v>577</v>
      </c>
      <c r="E720" s="89">
        <f t="shared" ca="1" si="70"/>
        <v>40951</v>
      </c>
      <c r="F720" s="11">
        <f>DATE(52,4,6)</f>
        <v>19090</v>
      </c>
      <c r="G720" s="12">
        <f t="shared" ca="1" si="66"/>
        <v>60</v>
      </c>
      <c r="H720" s="12">
        <f t="shared" ca="1" si="67"/>
        <v>-2</v>
      </c>
      <c r="I720" s="13">
        <f t="shared" ca="1" si="68"/>
        <v>6</v>
      </c>
      <c r="J720" s="14">
        <f t="shared" ca="1" si="71"/>
        <v>59</v>
      </c>
      <c r="K720" s="12" t="s">
        <v>41</v>
      </c>
      <c r="L720" s="12">
        <v>58</v>
      </c>
      <c r="M720" s="12" t="s">
        <v>40</v>
      </c>
      <c r="N720" s="12">
        <v>155</v>
      </c>
    </row>
    <row r="721" spans="1:15">
      <c r="A721" s="12">
        <f t="shared" si="69"/>
        <v>719</v>
      </c>
      <c r="B721" s="12" t="s">
        <v>8</v>
      </c>
      <c r="C721" s="12" t="s">
        <v>118</v>
      </c>
      <c r="D721" s="12" t="s">
        <v>577</v>
      </c>
      <c r="E721" s="89">
        <f t="shared" ca="1" si="70"/>
        <v>40951</v>
      </c>
      <c r="F721" s="11">
        <f>DATE(72,1,31)</f>
        <v>26329</v>
      </c>
      <c r="G721" s="12">
        <f t="shared" ca="1" si="66"/>
        <v>40</v>
      </c>
      <c r="H721" s="12">
        <f t="shared" ca="1" si="67"/>
        <v>1</v>
      </c>
      <c r="I721" s="13">
        <f t="shared" ca="1" si="68"/>
        <v>-19</v>
      </c>
      <c r="J721" s="14">
        <f t="shared" ca="1" si="71"/>
        <v>40</v>
      </c>
      <c r="K721" s="12" t="s">
        <v>40</v>
      </c>
      <c r="L721" s="12">
        <v>58</v>
      </c>
      <c r="M721" s="12" t="s">
        <v>40</v>
      </c>
      <c r="N721" s="12">
        <v>155</v>
      </c>
    </row>
    <row r="722" spans="1:15">
      <c r="A722" s="12">
        <f t="shared" si="69"/>
        <v>720</v>
      </c>
      <c r="B722" s="12" t="s">
        <v>8</v>
      </c>
      <c r="C722" s="12" t="s">
        <v>579</v>
      </c>
      <c r="D722" s="12" t="s">
        <v>581</v>
      </c>
      <c r="E722" s="89">
        <f t="shared" ca="1" si="70"/>
        <v>40951</v>
      </c>
      <c r="F722" s="11">
        <f>DATE(76,9,29)</f>
        <v>28032</v>
      </c>
      <c r="G722" s="12">
        <f t="shared" ca="1" si="66"/>
        <v>36</v>
      </c>
      <c r="H722" s="12">
        <f t="shared" ca="1" si="67"/>
        <v>-7</v>
      </c>
      <c r="I722" s="13">
        <f t="shared" ca="1" si="68"/>
        <v>-17</v>
      </c>
      <c r="J722" s="14">
        <f t="shared" ca="1" si="71"/>
        <v>35</v>
      </c>
      <c r="K722" s="12" t="s">
        <v>41</v>
      </c>
      <c r="L722" s="12">
        <v>58</v>
      </c>
      <c r="M722" s="12" t="s">
        <v>40</v>
      </c>
      <c r="N722" s="12">
        <v>155</v>
      </c>
    </row>
    <row r="723" spans="1:15">
      <c r="A723" s="12">
        <f t="shared" si="69"/>
        <v>721</v>
      </c>
      <c r="B723" s="12" t="s">
        <v>8</v>
      </c>
      <c r="C723" s="12" t="s">
        <v>156</v>
      </c>
      <c r="D723" s="12" t="s">
        <v>581</v>
      </c>
      <c r="E723" s="89">
        <f t="shared" ca="1" si="70"/>
        <v>40951</v>
      </c>
      <c r="F723" s="11">
        <f>DATE(2000,6,8)</f>
        <v>36685</v>
      </c>
      <c r="G723" s="12">
        <f t="shared" ca="1" si="66"/>
        <v>12</v>
      </c>
      <c r="H723" s="12">
        <f t="shared" ca="1" si="67"/>
        <v>-4</v>
      </c>
      <c r="I723" s="13">
        <f t="shared" ca="1" si="68"/>
        <v>4</v>
      </c>
      <c r="J723" s="14">
        <f t="shared" ca="1" si="71"/>
        <v>11</v>
      </c>
      <c r="K723" s="12" t="s">
        <v>41</v>
      </c>
      <c r="L723" s="12">
        <v>58</v>
      </c>
      <c r="M723" s="12" t="s">
        <v>44</v>
      </c>
      <c r="N723" s="12">
        <v>155</v>
      </c>
    </row>
    <row r="724" spans="1:15">
      <c r="A724" s="12">
        <f t="shared" si="69"/>
        <v>722</v>
      </c>
      <c r="B724" s="12" t="s">
        <v>8</v>
      </c>
      <c r="C724" s="12" t="s">
        <v>580</v>
      </c>
      <c r="D724" s="12" t="s">
        <v>581</v>
      </c>
      <c r="E724" s="89">
        <f t="shared" ca="1" si="70"/>
        <v>40951</v>
      </c>
      <c r="F724" s="11">
        <f>DATE(2005,10,18)</f>
        <v>38643</v>
      </c>
      <c r="G724" s="12">
        <f t="shared" ca="1" si="66"/>
        <v>7</v>
      </c>
      <c r="H724" s="12">
        <f t="shared" ca="1" si="67"/>
        <v>-8</v>
      </c>
      <c r="I724" s="13">
        <f t="shared" ca="1" si="68"/>
        <v>-6</v>
      </c>
      <c r="J724" s="14">
        <f t="shared" ca="1" si="71"/>
        <v>6</v>
      </c>
      <c r="K724" s="12" t="s">
        <v>41</v>
      </c>
      <c r="L724" s="12">
        <v>58</v>
      </c>
      <c r="M724" s="12" t="s">
        <v>44</v>
      </c>
      <c r="N724" s="12">
        <v>155</v>
      </c>
    </row>
    <row r="725" spans="1:15">
      <c r="A725" s="12">
        <f t="shared" si="69"/>
        <v>723</v>
      </c>
      <c r="B725" s="12" t="s">
        <v>8</v>
      </c>
      <c r="C725" s="12" t="s">
        <v>582</v>
      </c>
      <c r="D725" s="12" t="s">
        <v>577</v>
      </c>
      <c r="E725" s="89">
        <f t="shared" ca="1" si="70"/>
        <v>40951</v>
      </c>
      <c r="F725" s="11">
        <f>DATE(75,5,1)</f>
        <v>27515</v>
      </c>
      <c r="G725" s="12">
        <f t="shared" ca="1" si="66"/>
        <v>37</v>
      </c>
      <c r="H725" s="12">
        <f t="shared" ca="1" si="67"/>
        <v>-3</v>
      </c>
      <c r="I725" s="13">
        <f t="shared" ca="1" si="68"/>
        <v>11</v>
      </c>
      <c r="J725" s="14">
        <f t="shared" ca="1" si="71"/>
        <v>36</v>
      </c>
      <c r="K725" s="12" t="s">
        <v>40</v>
      </c>
      <c r="L725" s="12">
        <v>58</v>
      </c>
      <c r="M725" s="12" t="s">
        <v>40</v>
      </c>
      <c r="N725" s="12">
        <v>155</v>
      </c>
    </row>
    <row r="726" spans="1:15">
      <c r="A726" s="12">
        <f t="shared" si="69"/>
        <v>724</v>
      </c>
      <c r="B726" s="12" t="s">
        <v>8</v>
      </c>
      <c r="C726" s="12" t="s">
        <v>583</v>
      </c>
      <c r="D726" s="12" t="s">
        <v>582</v>
      </c>
      <c r="E726" s="89">
        <f t="shared" ca="1" si="70"/>
        <v>40951</v>
      </c>
      <c r="F726" s="11">
        <f>DATE(75,8,18)</f>
        <v>27624</v>
      </c>
      <c r="G726" s="12">
        <f t="shared" ca="1" si="66"/>
        <v>37</v>
      </c>
      <c r="H726" s="12">
        <f t="shared" ca="1" si="67"/>
        <v>-6</v>
      </c>
      <c r="I726" s="13">
        <f t="shared" ca="1" si="68"/>
        <v>-6</v>
      </c>
      <c r="J726" s="14">
        <f t="shared" ca="1" si="71"/>
        <v>36</v>
      </c>
      <c r="K726" s="12" t="s">
        <v>41</v>
      </c>
      <c r="L726" s="12">
        <v>58</v>
      </c>
      <c r="M726" s="12" t="s">
        <v>40</v>
      </c>
      <c r="N726" s="12">
        <v>155</v>
      </c>
    </row>
    <row r="727" spans="1:15">
      <c r="A727" s="12">
        <f t="shared" si="69"/>
        <v>725</v>
      </c>
      <c r="B727" s="12" t="s">
        <v>8</v>
      </c>
      <c r="C727" s="12" t="s">
        <v>584</v>
      </c>
      <c r="D727" s="12" t="s">
        <v>582</v>
      </c>
      <c r="E727" s="89">
        <f t="shared" ca="1" si="70"/>
        <v>40951</v>
      </c>
      <c r="F727" s="11">
        <f>DATE(2004,12,25)</f>
        <v>38346</v>
      </c>
      <c r="G727" s="12">
        <f t="shared" ca="1" si="66"/>
        <v>8</v>
      </c>
      <c r="H727" s="12">
        <f t="shared" ca="1" si="67"/>
        <v>-10</v>
      </c>
      <c r="I727" s="13">
        <f t="shared" ca="1" si="68"/>
        <v>-13</v>
      </c>
      <c r="J727" s="14">
        <f t="shared" ca="1" si="71"/>
        <v>7</v>
      </c>
      <c r="K727" s="12" t="s">
        <v>40</v>
      </c>
      <c r="L727" s="12">
        <v>58</v>
      </c>
      <c r="M727" s="12" t="s">
        <v>44</v>
      </c>
      <c r="N727" s="12">
        <v>155</v>
      </c>
    </row>
    <row r="728" spans="1:15">
      <c r="A728" s="12">
        <f t="shared" si="69"/>
        <v>726</v>
      </c>
      <c r="B728" s="12" t="s">
        <v>8</v>
      </c>
      <c r="C728" s="12" t="s">
        <v>585</v>
      </c>
      <c r="D728" s="12" t="s">
        <v>586</v>
      </c>
      <c r="E728" s="89">
        <f t="shared" ca="1" si="70"/>
        <v>40951</v>
      </c>
      <c r="F728" s="11">
        <f>DATE(43,3,31)</f>
        <v>15796</v>
      </c>
      <c r="G728" s="12">
        <f t="shared" ca="1" si="66"/>
        <v>69</v>
      </c>
      <c r="H728" s="12">
        <f t="shared" ca="1" si="67"/>
        <v>-1</v>
      </c>
      <c r="I728" s="13">
        <f t="shared" ca="1" si="68"/>
        <v>-19</v>
      </c>
      <c r="J728" s="14">
        <f t="shared" ca="1" si="71"/>
        <v>68</v>
      </c>
      <c r="K728" s="12" t="s">
        <v>40</v>
      </c>
      <c r="L728" s="12">
        <v>58</v>
      </c>
      <c r="M728" s="12" t="s">
        <v>40</v>
      </c>
      <c r="N728" s="12">
        <v>156</v>
      </c>
      <c r="O728" s="90" t="s">
        <v>2748</v>
      </c>
    </row>
    <row r="729" spans="1:15">
      <c r="A729" s="12">
        <f t="shared" si="69"/>
        <v>727</v>
      </c>
      <c r="B729" s="12" t="s">
        <v>8</v>
      </c>
      <c r="C729" s="12" t="s">
        <v>587</v>
      </c>
      <c r="D729" s="12" t="s">
        <v>585</v>
      </c>
      <c r="E729" s="89">
        <f t="shared" ca="1" si="70"/>
        <v>40951</v>
      </c>
      <c r="F729" s="11">
        <f>DATE(45,11,8)</f>
        <v>16749</v>
      </c>
      <c r="G729" s="12">
        <f t="shared" ref="G729:G792" ca="1" si="72">YEAR(E729)-YEAR(F729)</f>
        <v>67</v>
      </c>
      <c r="H729" s="12">
        <f t="shared" ref="H729:H792" ca="1" si="73">MONTH(E729)-MONTH(F729)</f>
        <v>-9</v>
      </c>
      <c r="I729" s="13">
        <f t="shared" ref="I729:I792" ca="1" si="74">DAY(E729)-DAY(F729)</f>
        <v>4</v>
      </c>
      <c r="J729" s="14">
        <f t="shared" ca="1" si="71"/>
        <v>66</v>
      </c>
      <c r="K729" s="12" t="s">
        <v>41</v>
      </c>
      <c r="L729" s="12">
        <v>58</v>
      </c>
      <c r="M729" s="12" t="s">
        <v>40</v>
      </c>
      <c r="N729" s="12">
        <v>156</v>
      </c>
    </row>
    <row r="730" spans="1:15">
      <c r="A730" s="12">
        <f t="shared" si="69"/>
        <v>728</v>
      </c>
      <c r="B730" s="12" t="s">
        <v>8</v>
      </c>
      <c r="C730" s="12" t="s">
        <v>588</v>
      </c>
      <c r="D730" s="12" t="s">
        <v>585</v>
      </c>
      <c r="E730" s="89">
        <f t="shared" ca="1" si="70"/>
        <v>40951</v>
      </c>
      <c r="F730" s="11">
        <f>DATE(64,5,15)</f>
        <v>23512</v>
      </c>
      <c r="G730" s="12">
        <f t="shared" ca="1" si="72"/>
        <v>48</v>
      </c>
      <c r="H730" s="12">
        <f t="shared" ca="1" si="73"/>
        <v>-3</v>
      </c>
      <c r="I730" s="13">
        <f t="shared" ca="1" si="74"/>
        <v>-3</v>
      </c>
      <c r="J730" s="14">
        <f t="shared" ca="1" si="71"/>
        <v>47</v>
      </c>
      <c r="K730" s="12" t="s">
        <v>40</v>
      </c>
      <c r="L730" s="12">
        <v>58</v>
      </c>
      <c r="M730" s="12" t="s">
        <v>40</v>
      </c>
      <c r="N730" s="12">
        <v>156</v>
      </c>
    </row>
    <row r="731" spans="1:15">
      <c r="A731" s="12">
        <f t="shared" si="69"/>
        <v>729</v>
      </c>
      <c r="B731" s="12" t="s">
        <v>8</v>
      </c>
      <c r="C731" s="12" t="s">
        <v>155</v>
      </c>
      <c r="D731" s="12" t="s">
        <v>588</v>
      </c>
      <c r="E731" s="89">
        <f t="shared" ca="1" si="70"/>
        <v>40951</v>
      </c>
      <c r="F731" s="11">
        <f>DATE(68,12,28)</f>
        <v>25200</v>
      </c>
      <c r="G731" s="12">
        <f t="shared" ca="1" si="72"/>
        <v>44</v>
      </c>
      <c r="H731" s="12">
        <f t="shared" ca="1" si="73"/>
        <v>-10</v>
      </c>
      <c r="I731" s="13">
        <f t="shared" ca="1" si="74"/>
        <v>-16</v>
      </c>
      <c r="J731" s="14">
        <f t="shared" ca="1" si="71"/>
        <v>43</v>
      </c>
      <c r="K731" s="12" t="s">
        <v>41</v>
      </c>
      <c r="L731" s="12">
        <v>58</v>
      </c>
      <c r="M731" s="12" t="s">
        <v>40</v>
      </c>
      <c r="N731" s="12">
        <v>156</v>
      </c>
    </row>
    <row r="732" spans="1:15">
      <c r="A732" s="12">
        <f t="shared" si="69"/>
        <v>730</v>
      </c>
      <c r="B732" s="12" t="s">
        <v>8</v>
      </c>
      <c r="C732" s="12" t="s">
        <v>589</v>
      </c>
      <c r="D732" s="12" t="s">
        <v>588</v>
      </c>
      <c r="E732" s="89">
        <f t="shared" ca="1" si="70"/>
        <v>40951</v>
      </c>
      <c r="F732" s="11">
        <f>DATE(93,4,14)</f>
        <v>34073</v>
      </c>
      <c r="G732" s="12">
        <f t="shared" ca="1" si="72"/>
        <v>19</v>
      </c>
      <c r="H732" s="12">
        <f t="shared" ca="1" si="73"/>
        <v>-2</v>
      </c>
      <c r="I732" s="13">
        <f t="shared" ca="1" si="74"/>
        <v>-2</v>
      </c>
      <c r="J732" s="14">
        <f t="shared" ca="1" si="71"/>
        <v>18</v>
      </c>
      <c r="K732" s="12" t="s">
        <v>40</v>
      </c>
      <c r="L732" s="12">
        <v>58</v>
      </c>
      <c r="M732" s="12" t="s">
        <v>44</v>
      </c>
      <c r="N732" s="12">
        <v>156</v>
      </c>
    </row>
    <row r="733" spans="1:15">
      <c r="A733" s="12">
        <f t="shared" si="69"/>
        <v>731</v>
      </c>
      <c r="B733" s="12" t="s">
        <v>8</v>
      </c>
      <c r="C733" s="12" t="s">
        <v>590</v>
      </c>
      <c r="D733" s="12" t="s">
        <v>588</v>
      </c>
      <c r="E733" s="89">
        <f t="shared" ca="1" si="70"/>
        <v>40951</v>
      </c>
      <c r="F733" s="11">
        <f>DATE(95,10,25)</f>
        <v>34997</v>
      </c>
      <c r="G733" s="12">
        <f t="shared" ca="1" si="72"/>
        <v>17</v>
      </c>
      <c r="H733" s="12">
        <f t="shared" ca="1" si="73"/>
        <v>-8</v>
      </c>
      <c r="I733" s="13">
        <f t="shared" ca="1" si="74"/>
        <v>-13</v>
      </c>
      <c r="J733" s="14">
        <f t="shared" ca="1" si="71"/>
        <v>16</v>
      </c>
      <c r="K733" s="12" t="s">
        <v>41</v>
      </c>
      <c r="L733" s="12">
        <v>58</v>
      </c>
      <c r="M733" s="12" t="s">
        <v>44</v>
      </c>
      <c r="N733" s="12">
        <v>156</v>
      </c>
    </row>
    <row r="734" spans="1:15">
      <c r="A734" s="12">
        <f t="shared" ref="A734:A797" si="75">A733+1</f>
        <v>732</v>
      </c>
      <c r="B734" s="12" t="s">
        <v>8</v>
      </c>
      <c r="C734" s="12" t="s">
        <v>591</v>
      </c>
      <c r="D734" s="12" t="s">
        <v>556</v>
      </c>
      <c r="E734" s="89">
        <f t="shared" ca="1" si="70"/>
        <v>40951</v>
      </c>
      <c r="F734" s="11">
        <f>DATE(47,11,7)</f>
        <v>17478</v>
      </c>
      <c r="G734" s="12">
        <f t="shared" ca="1" si="72"/>
        <v>65</v>
      </c>
      <c r="H734" s="12">
        <f t="shared" ca="1" si="73"/>
        <v>-9</v>
      </c>
      <c r="I734" s="13">
        <f t="shared" ca="1" si="74"/>
        <v>5</v>
      </c>
      <c r="J734" s="14">
        <f t="shared" ca="1" si="71"/>
        <v>64</v>
      </c>
      <c r="K734" s="12" t="s">
        <v>40</v>
      </c>
      <c r="L734" s="12">
        <v>59</v>
      </c>
      <c r="M734" s="12" t="s">
        <v>40</v>
      </c>
      <c r="N734" s="12">
        <v>157</v>
      </c>
      <c r="O734" s="90" t="s">
        <v>2748</v>
      </c>
    </row>
    <row r="735" spans="1:15">
      <c r="A735" s="12">
        <f t="shared" si="75"/>
        <v>733</v>
      </c>
      <c r="B735" s="12" t="s">
        <v>8</v>
      </c>
      <c r="C735" s="12" t="s">
        <v>216</v>
      </c>
      <c r="D735" s="12" t="s">
        <v>423</v>
      </c>
      <c r="E735" s="89">
        <f t="shared" ca="1" si="70"/>
        <v>40951</v>
      </c>
      <c r="F735" s="11">
        <f>DATE(53,5,15)</f>
        <v>19494</v>
      </c>
      <c r="G735" s="12">
        <f t="shared" ca="1" si="72"/>
        <v>59</v>
      </c>
      <c r="H735" s="12">
        <f t="shared" ca="1" si="73"/>
        <v>-3</v>
      </c>
      <c r="I735" s="13">
        <f t="shared" ca="1" si="74"/>
        <v>-3</v>
      </c>
      <c r="J735" s="14">
        <f t="shared" ca="1" si="71"/>
        <v>58</v>
      </c>
      <c r="K735" s="12" t="s">
        <v>41</v>
      </c>
      <c r="L735" s="12">
        <v>59</v>
      </c>
      <c r="M735" s="12" t="s">
        <v>40</v>
      </c>
      <c r="N735" s="12">
        <v>157</v>
      </c>
    </row>
    <row r="736" spans="1:15">
      <c r="A736" s="12">
        <f t="shared" si="75"/>
        <v>734</v>
      </c>
      <c r="B736" s="12" t="s">
        <v>8</v>
      </c>
      <c r="C736" s="12" t="s">
        <v>592</v>
      </c>
      <c r="D736" s="12" t="s">
        <v>423</v>
      </c>
      <c r="E736" s="89">
        <f t="shared" ca="1" si="70"/>
        <v>40951</v>
      </c>
      <c r="F736" s="11">
        <f>DATE(71,12,11)</f>
        <v>26278</v>
      </c>
      <c r="G736" s="12">
        <f t="shared" ca="1" si="72"/>
        <v>41</v>
      </c>
      <c r="H736" s="12">
        <f t="shared" ca="1" si="73"/>
        <v>-10</v>
      </c>
      <c r="I736" s="13">
        <f t="shared" ca="1" si="74"/>
        <v>1</v>
      </c>
      <c r="J736" s="14">
        <f t="shared" ca="1" si="71"/>
        <v>40</v>
      </c>
      <c r="K736" s="12" t="s">
        <v>40</v>
      </c>
      <c r="L736" s="12">
        <v>59</v>
      </c>
      <c r="M736" s="12" t="s">
        <v>40</v>
      </c>
      <c r="N736" s="12">
        <v>157</v>
      </c>
    </row>
    <row r="737" spans="1:15">
      <c r="A737" s="12">
        <f t="shared" si="75"/>
        <v>735</v>
      </c>
      <c r="B737" s="12" t="s">
        <v>8</v>
      </c>
      <c r="C737" s="12" t="s">
        <v>288</v>
      </c>
      <c r="D737" s="12" t="s">
        <v>592</v>
      </c>
      <c r="E737" s="89">
        <f t="shared" ca="1" si="70"/>
        <v>40951</v>
      </c>
      <c r="F737" s="11">
        <f>DATE(72,3,16)</f>
        <v>26374</v>
      </c>
      <c r="G737" s="12">
        <f t="shared" ca="1" si="72"/>
        <v>40</v>
      </c>
      <c r="H737" s="12">
        <f t="shared" ca="1" si="73"/>
        <v>-1</v>
      </c>
      <c r="I737" s="13">
        <f t="shared" ca="1" si="74"/>
        <v>-4</v>
      </c>
      <c r="J737" s="14">
        <f t="shared" ca="1" si="71"/>
        <v>39</v>
      </c>
      <c r="K737" s="12" t="s">
        <v>41</v>
      </c>
      <c r="L737" s="12">
        <v>59</v>
      </c>
      <c r="M737" s="12" t="s">
        <v>40</v>
      </c>
      <c r="N737" s="12">
        <v>157</v>
      </c>
    </row>
    <row r="738" spans="1:15">
      <c r="A738" s="12">
        <f t="shared" si="75"/>
        <v>736</v>
      </c>
      <c r="B738" s="12" t="s">
        <v>8</v>
      </c>
      <c r="C738" s="12" t="s">
        <v>593</v>
      </c>
      <c r="D738" s="12" t="s">
        <v>592</v>
      </c>
      <c r="E738" s="89">
        <f t="shared" ca="1" si="70"/>
        <v>40951</v>
      </c>
      <c r="F738" s="11">
        <f>DATE(98,6,13)</f>
        <v>35959</v>
      </c>
      <c r="G738" s="12">
        <f t="shared" ca="1" si="72"/>
        <v>14</v>
      </c>
      <c r="H738" s="12">
        <f t="shared" ca="1" si="73"/>
        <v>-4</v>
      </c>
      <c r="I738" s="13">
        <f t="shared" ca="1" si="74"/>
        <v>-1</v>
      </c>
      <c r="J738" s="14">
        <f t="shared" ca="1" si="71"/>
        <v>13</v>
      </c>
      <c r="K738" s="12" t="s">
        <v>40</v>
      </c>
      <c r="L738" s="12">
        <v>59</v>
      </c>
      <c r="M738" s="12" t="s">
        <v>44</v>
      </c>
      <c r="N738" s="12">
        <v>157</v>
      </c>
    </row>
    <row r="739" spans="1:15">
      <c r="A739" s="12">
        <f t="shared" si="75"/>
        <v>737</v>
      </c>
      <c r="B739" s="12" t="s">
        <v>8</v>
      </c>
      <c r="C739" s="12" t="s">
        <v>590</v>
      </c>
      <c r="D739" s="12" t="s">
        <v>592</v>
      </c>
      <c r="E739" s="89">
        <f t="shared" ref="E739:E802" ca="1" si="76">TODAY()</f>
        <v>40951</v>
      </c>
      <c r="F739" s="11">
        <f>DATE(2000,2,28)</f>
        <v>36584</v>
      </c>
      <c r="G739" s="12">
        <f t="shared" ca="1" si="72"/>
        <v>12</v>
      </c>
      <c r="H739" s="12">
        <f t="shared" ca="1" si="73"/>
        <v>0</v>
      </c>
      <c r="I739" s="13">
        <f t="shared" ca="1" si="74"/>
        <v>-16</v>
      </c>
      <c r="J739" s="14">
        <f t="shared" ca="1" si="71"/>
        <v>11</v>
      </c>
      <c r="K739" s="12" t="s">
        <v>41</v>
      </c>
      <c r="L739" s="12">
        <v>59</v>
      </c>
      <c r="M739" s="12" t="s">
        <v>44</v>
      </c>
      <c r="N739" s="12">
        <v>157</v>
      </c>
    </row>
    <row r="740" spans="1:15">
      <c r="A740" s="12">
        <f t="shared" si="75"/>
        <v>738</v>
      </c>
      <c r="B740" s="12" t="s">
        <v>8</v>
      </c>
      <c r="C740" s="12" t="s">
        <v>594</v>
      </c>
      <c r="D740" s="12" t="s">
        <v>423</v>
      </c>
      <c r="E740" s="89">
        <f t="shared" ca="1" si="76"/>
        <v>40951</v>
      </c>
      <c r="F740" s="11">
        <f>DATE(77,10,28)</f>
        <v>28426</v>
      </c>
      <c r="G740" s="12">
        <f t="shared" ca="1" si="72"/>
        <v>35</v>
      </c>
      <c r="H740" s="12">
        <f t="shared" ca="1" si="73"/>
        <v>-8</v>
      </c>
      <c r="I740" s="13">
        <f t="shared" ca="1" si="74"/>
        <v>-16</v>
      </c>
      <c r="J740" s="14">
        <f t="shared" ca="1" si="71"/>
        <v>34</v>
      </c>
      <c r="K740" s="12" t="s">
        <v>40</v>
      </c>
      <c r="L740" s="12">
        <v>59</v>
      </c>
      <c r="M740" s="12" t="s">
        <v>44</v>
      </c>
      <c r="N740" s="12">
        <v>157</v>
      </c>
    </row>
    <row r="741" spans="1:15">
      <c r="A741" s="12">
        <f t="shared" si="75"/>
        <v>739</v>
      </c>
      <c r="B741" s="12" t="s">
        <v>8</v>
      </c>
      <c r="C741" s="12" t="s">
        <v>595</v>
      </c>
      <c r="D741" s="12" t="s">
        <v>198</v>
      </c>
      <c r="E741" s="89">
        <f t="shared" ca="1" si="76"/>
        <v>40951</v>
      </c>
      <c r="F741" s="11">
        <f>DATE(43,2,10)</f>
        <v>15747</v>
      </c>
      <c r="G741" s="12">
        <f t="shared" ca="1" si="72"/>
        <v>69</v>
      </c>
      <c r="H741" s="12">
        <f t="shared" ca="1" si="73"/>
        <v>0</v>
      </c>
      <c r="I741" s="13">
        <f t="shared" ca="1" si="74"/>
        <v>2</v>
      </c>
      <c r="J741" s="14">
        <f t="shared" ca="1" si="71"/>
        <v>69</v>
      </c>
      <c r="K741" s="12" t="s">
        <v>40</v>
      </c>
      <c r="L741" s="12">
        <v>59</v>
      </c>
      <c r="M741" s="12" t="s">
        <v>40</v>
      </c>
      <c r="N741" s="12">
        <v>158</v>
      </c>
      <c r="O741" s="90" t="s">
        <v>2748</v>
      </c>
    </row>
    <row r="742" spans="1:15">
      <c r="A742" s="12">
        <f t="shared" si="75"/>
        <v>740</v>
      </c>
      <c r="B742" s="12" t="s">
        <v>8</v>
      </c>
      <c r="C742" s="12" t="s">
        <v>596</v>
      </c>
      <c r="D742" s="12" t="s">
        <v>595</v>
      </c>
      <c r="E742" s="89">
        <f t="shared" ca="1" si="76"/>
        <v>40951</v>
      </c>
      <c r="F742" s="11">
        <f>DATE(47,7,17)</f>
        <v>17365</v>
      </c>
      <c r="G742" s="12">
        <f t="shared" ca="1" si="72"/>
        <v>65</v>
      </c>
      <c r="H742" s="12">
        <f t="shared" ca="1" si="73"/>
        <v>-5</v>
      </c>
      <c r="I742" s="13">
        <f t="shared" ca="1" si="74"/>
        <v>-5</v>
      </c>
      <c r="J742" s="14">
        <f t="shared" ca="1" si="71"/>
        <v>64</v>
      </c>
      <c r="K742" s="12" t="s">
        <v>41</v>
      </c>
      <c r="L742" s="12">
        <v>59</v>
      </c>
      <c r="M742" s="12" t="s">
        <v>40</v>
      </c>
      <c r="N742" s="12">
        <v>158</v>
      </c>
    </row>
    <row r="743" spans="1:15">
      <c r="A743" s="12">
        <f t="shared" si="75"/>
        <v>741</v>
      </c>
      <c r="B743" s="12" t="s">
        <v>8</v>
      </c>
      <c r="C743" s="12" t="s">
        <v>597</v>
      </c>
      <c r="D743" s="12" t="s">
        <v>595</v>
      </c>
      <c r="E743" s="89">
        <f t="shared" ca="1" si="76"/>
        <v>40951</v>
      </c>
      <c r="F743" s="11">
        <f>DATE(74,9,2)</f>
        <v>27274</v>
      </c>
      <c r="G743" s="12">
        <f t="shared" ca="1" si="72"/>
        <v>38</v>
      </c>
      <c r="H743" s="12">
        <f t="shared" ca="1" si="73"/>
        <v>-7</v>
      </c>
      <c r="I743" s="13">
        <f t="shared" ca="1" si="74"/>
        <v>10</v>
      </c>
      <c r="J743" s="14">
        <f t="shared" ca="1" si="71"/>
        <v>37</v>
      </c>
      <c r="K743" s="12" t="s">
        <v>40</v>
      </c>
      <c r="L743" s="12">
        <v>59</v>
      </c>
      <c r="M743" s="12" t="s">
        <v>40</v>
      </c>
      <c r="N743" s="12">
        <v>158</v>
      </c>
    </row>
    <row r="744" spans="1:15">
      <c r="A744" s="12">
        <f t="shared" si="75"/>
        <v>742</v>
      </c>
      <c r="B744" s="12" t="s">
        <v>8</v>
      </c>
      <c r="C744" s="12" t="s">
        <v>406</v>
      </c>
      <c r="D744" s="12" t="s">
        <v>597</v>
      </c>
      <c r="E744" s="89">
        <f t="shared" ca="1" si="76"/>
        <v>40951</v>
      </c>
      <c r="F744" s="11">
        <f>DATE(78,9,28)</f>
        <v>28761</v>
      </c>
      <c r="G744" s="12">
        <f t="shared" ca="1" si="72"/>
        <v>34</v>
      </c>
      <c r="H744" s="12">
        <f t="shared" ca="1" si="73"/>
        <v>-7</v>
      </c>
      <c r="I744" s="13">
        <f t="shared" ca="1" si="74"/>
        <v>-16</v>
      </c>
      <c r="J744" s="14">
        <f t="shared" ca="1" si="71"/>
        <v>33</v>
      </c>
      <c r="K744" s="12" t="s">
        <v>41</v>
      </c>
      <c r="L744" s="12">
        <v>59</v>
      </c>
      <c r="M744" s="12" t="s">
        <v>40</v>
      </c>
      <c r="N744" s="12">
        <v>158</v>
      </c>
    </row>
    <row r="745" spans="1:15">
      <c r="A745" s="12">
        <f t="shared" si="75"/>
        <v>743</v>
      </c>
      <c r="B745" s="12" t="s">
        <v>8</v>
      </c>
      <c r="C745" s="12" t="s">
        <v>49</v>
      </c>
      <c r="D745" s="12" t="s">
        <v>556</v>
      </c>
      <c r="E745" s="89">
        <f t="shared" ca="1" si="76"/>
        <v>40951</v>
      </c>
      <c r="F745" s="11">
        <f>DATE(57,3,23)</f>
        <v>20902</v>
      </c>
      <c r="G745" s="12">
        <f t="shared" ca="1" si="72"/>
        <v>55</v>
      </c>
      <c r="H745" s="12">
        <f t="shared" ca="1" si="73"/>
        <v>-1</v>
      </c>
      <c r="I745" s="13">
        <f t="shared" ca="1" si="74"/>
        <v>-11</v>
      </c>
      <c r="J745" s="14">
        <f t="shared" ca="1" si="71"/>
        <v>54</v>
      </c>
      <c r="K745" s="12" t="s">
        <v>40</v>
      </c>
      <c r="L745" s="12">
        <v>59</v>
      </c>
      <c r="M745" s="12" t="s">
        <v>40</v>
      </c>
      <c r="N745" s="12">
        <v>159</v>
      </c>
      <c r="O745" s="90" t="s">
        <v>2748</v>
      </c>
    </row>
    <row r="746" spans="1:15">
      <c r="A746" s="12">
        <f t="shared" si="75"/>
        <v>744</v>
      </c>
      <c r="B746" s="12" t="s">
        <v>8</v>
      </c>
      <c r="C746" s="12" t="s">
        <v>598</v>
      </c>
      <c r="D746" s="12" t="s">
        <v>49</v>
      </c>
      <c r="E746" s="89">
        <f t="shared" ca="1" si="76"/>
        <v>40951</v>
      </c>
      <c r="F746" s="11">
        <f>DATE(58,1,7)</f>
        <v>21192</v>
      </c>
      <c r="G746" s="12">
        <f t="shared" ca="1" si="72"/>
        <v>54</v>
      </c>
      <c r="H746" s="12">
        <f t="shared" ca="1" si="73"/>
        <v>1</v>
      </c>
      <c r="I746" s="13">
        <f t="shared" ca="1" si="74"/>
        <v>5</v>
      </c>
      <c r="J746" s="14">
        <f t="shared" ca="1" si="71"/>
        <v>54</v>
      </c>
      <c r="K746" s="12" t="s">
        <v>41</v>
      </c>
      <c r="L746" s="12">
        <v>59</v>
      </c>
      <c r="M746" s="12" t="s">
        <v>40</v>
      </c>
      <c r="N746" s="12">
        <v>159</v>
      </c>
    </row>
    <row r="747" spans="1:15">
      <c r="A747" s="12">
        <f t="shared" si="75"/>
        <v>745</v>
      </c>
      <c r="B747" s="12" t="s">
        <v>8</v>
      </c>
      <c r="C747" s="12" t="s">
        <v>166</v>
      </c>
      <c r="D747" s="12" t="s">
        <v>49</v>
      </c>
      <c r="E747" s="89">
        <f t="shared" ca="1" si="76"/>
        <v>40951</v>
      </c>
      <c r="F747" s="11">
        <f>DATE(81,3,25)</f>
        <v>29670</v>
      </c>
      <c r="G747" s="12">
        <f t="shared" ca="1" si="72"/>
        <v>31</v>
      </c>
      <c r="H747" s="12">
        <f t="shared" ca="1" si="73"/>
        <v>-1</v>
      </c>
      <c r="I747" s="13">
        <f t="shared" ca="1" si="74"/>
        <v>-13</v>
      </c>
      <c r="J747" s="14">
        <f t="shared" ca="1" si="71"/>
        <v>30</v>
      </c>
      <c r="K747" s="12" t="s">
        <v>40</v>
      </c>
      <c r="L747" s="12">
        <v>59</v>
      </c>
      <c r="M747" s="12" t="s">
        <v>44</v>
      </c>
      <c r="N747" s="12">
        <v>159</v>
      </c>
    </row>
    <row r="748" spans="1:15">
      <c r="A748" s="12">
        <f t="shared" si="75"/>
        <v>746</v>
      </c>
      <c r="B748" s="12" t="s">
        <v>8</v>
      </c>
      <c r="C748" s="12" t="s">
        <v>599</v>
      </c>
      <c r="D748" s="12" t="s">
        <v>49</v>
      </c>
      <c r="E748" s="89">
        <f t="shared" ca="1" si="76"/>
        <v>40951</v>
      </c>
      <c r="F748" s="11">
        <f>DATE(82,11,20)</f>
        <v>30275</v>
      </c>
      <c r="G748" s="12">
        <f t="shared" ca="1" si="72"/>
        <v>30</v>
      </c>
      <c r="H748" s="12">
        <f t="shared" ca="1" si="73"/>
        <v>-9</v>
      </c>
      <c r="I748" s="13">
        <f t="shared" ca="1" si="74"/>
        <v>-8</v>
      </c>
      <c r="J748" s="14">
        <f t="shared" ca="1" si="71"/>
        <v>29</v>
      </c>
      <c r="K748" s="12" t="s">
        <v>40</v>
      </c>
      <c r="L748" s="12">
        <v>59</v>
      </c>
      <c r="M748" s="12" t="s">
        <v>44</v>
      </c>
      <c r="N748" s="12">
        <v>159</v>
      </c>
    </row>
    <row r="749" spans="1:15">
      <c r="A749" s="12">
        <f t="shared" si="75"/>
        <v>747</v>
      </c>
      <c r="B749" s="12" t="s">
        <v>8</v>
      </c>
      <c r="C749" s="12" t="s">
        <v>600</v>
      </c>
      <c r="D749" s="12" t="s">
        <v>198</v>
      </c>
      <c r="E749" s="89">
        <f t="shared" ca="1" si="76"/>
        <v>40951</v>
      </c>
      <c r="F749" s="11">
        <f>DATE(45,10,11)</f>
        <v>16721</v>
      </c>
      <c r="G749" s="12">
        <f t="shared" ca="1" si="72"/>
        <v>67</v>
      </c>
      <c r="H749" s="12">
        <f t="shared" ca="1" si="73"/>
        <v>-8</v>
      </c>
      <c r="I749" s="13">
        <f t="shared" ca="1" si="74"/>
        <v>1</v>
      </c>
      <c r="J749" s="14">
        <f t="shared" ca="1" si="71"/>
        <v>66</v>
      </c>
      <c r="K749" s="12" t="s">
        <v>40</v>
      </c>
      <c r="L749" s="12">
        <v>60</v>
      </c>
      <c r="M749" s="12" t="s">
        <v>40</v>
      </c>
      <c r="N749" s="12">
        <v>160</v>
      </c>
      <c r="O749" s="90" t="s">
        <v>2748</v>
      </c>
    </row>
    <row r="750" spans="1:15">
      <c r="A750" s="12">
        <f t="shared" si="75"/>
        <v>748</v>
      </c>
      <c r="B750" s="12" t="s">
        <v>8</v>
      </c>
      <c r="C750" s="12" t="s">
        <v>218</v>
      </c>
      <c r="D750" s="12" t="s">
        <v>463</v>
      </c>
      <c r="E750" s="89">
        <f t="shared" ca="1" si="76"/>
        <v>40951</v>
      </c>
      <c r="F750" s="11">
        <f>DATE(47,1,25)</f>
        <v>17192</v>
      </c>
      <c r="G750" s="12">
        <f t="shared" ca="1" si="72"/>
        <v>65</v>
      </c>
      <c r="H750" s="12">
        <f t="shared" ca="1" si="73"/>
        <v>1</v>
      </c>
      <c r="I750" s="13">
        <f t="shared" ca="1" si="74"/>
        <v>-13</v>
      </c>
      <c r="J750" s="14">
        <f t="shared" ca="1" si="71"/>
        <v>65</v>
      </c>
      <c r="K750" s="12" t="s">
        <v>41</v>
      </c>
      <c r="L750" s="12">
        <v>60</v>
      </c>
      <c r="M750" s="12" t="s">
        <v>40</v>
      </c>
      <c r="N750" s="12">
        <v>160</v>
      </c>
    </row>
    <row r="751" spans="1:15">
      <c r="A751" s="12">
        <f t="shared" si="75"/>
        <v>749</v>
      </c>
      <c r="B751" s="12" t="s">
        <v>8</v>
      </c>
      <c r="C751" s="12" t="s">
        <v>601</v>
      </c>
      <c r="D751" s="12" t="s">
        <v>528</v>
      </c>
      <c r="E751" s="89">
        <f t="shared" ca="1" si="76"/>
        <v>40951</v>
      </c>
      <c r="F751" s="11">
        <f>DATE(27,7,31)</f>
        <v>10074</v>
      </c>
      <c r="G751" s="12">
        <f t="shared" ca="1" si="72"/>
        <v>85</v>
      </c>
      <c r="H751" s="12">
        <f t="shared" ca="1" si="73"/>
        <v>-5</v>
      </c>
      <c r="I751" s="13">
        <f t="shared" ca="1" si="74"/>
        <v>-19</v>
      </c>
      <c r="J751" s="14">
        <f t="shared" ca="1" si="71"/>
        <v>84</v>
      </c>
      <c r="K751" s="12" t="s">
        <v>40</v>
      </c>
      <c r="L751" s="12">
        <v>60</v>
      </c>
      <c r="M751" s="12" t="s">
        <v>40</v>
      </c>
      <c r="N751" s="12">
        <v>161</v>
      </c>
      <c r="O751" s="90" t="s">
        <v>2748</v>
      </c>
    </row>
    <row r="752" spans="1:15">
      <c r="A752" s="12">
        <f t="shared" si="75"/>
        <v>750</v>
      </c>
      <c r="B752" s="12" t="s">
        <v>8</v>
      </c>
      <c r="C752" s="12" t="s">
        <v>400</v>
      </c>
      <c r="D752" s="12" t="s">
        <v>601</v>
      </c>
      <c r="E752" s="89">
        <f t="shared" ca="1" si="76"/>
        <v>40951</v>
      </c>
      <c r="F752" s="11">
        <f>DATE(30,11,30)</f>
        <v>11292</v>
      </c>
      <c r="G752" s="12">
        <f t="shared" ca="1" si="72"/>
        <v>82</v>
      </c>
      <c r="H752" s="12">
        <f t="shared" ca="1" si="73"/>
        <v>-9</v>
      </c>
      <c r="I752" s="13">
        <f t="shared" ca="1" si="74"/>
        <v>-18</v>
      </c>
      <c r="J752" s="14">
        <f t="shared" ca="1" si="71"/>
        <v>81</v>
      </c>
      <c r="K752" s="12" t="s">
        <v>41</v>
      </c>
      <c r="L752" s="12">
        <v>60</v>
      </c>
      <c r="M752" s="12" t="s">
        <v>40</v>
      </c>
      <c r="N752" s="12">
        <v>161</v>
      </c>
    </row>
    <row r="753" spans="1:15">
      <c r="A753" s="12">
        <f t="shared" si="75"/>
        <v>751</v>
      </c>
      <c r="B753" s="12" t="s">
        <v>8</v>
      </c>
      <c r="C753" s="12" t="s">
        <v>400</v>
      </c>
      <c r="D753" s="12" t="s">
        <v>602</v>
      </c>
      <c r="E753" s="89">
        <f t="shared" ca="1" si="76"/>
        <v>40951</v>
      </c>
      <c r="F753" s="11">
        <f>DATE(39,10,20)</f>
        <v>14538</v>
      </c>
      <c r="G753" s="12">
        <f t="shared" ca="1" si="72"/>
        <v>73</v>
      </c>
      <c r="H753" s="12">
        <f t="shared" ca="1" si="73"/>
        <v>-8</v>
      </c>
      <c r="I753" s="13">
        <f t="shared" ca="1" si="74"/>
        <v>-8</v>
      </c>
      <c r="J753" s="14">
        <f t="shared" ca="1" si="71"/>
        <v>72</v>
      </c>
      <c r="K753" s="12" t="s">
        <v>41</v>
      </c>
      <c r="L753" s="12">
        <v>60</v>
      </c>
      <c r="M753" s="12" t="s">
        <v>40</v>
      </c>
      <c r="N753" s="12">
        <v>162</v>
      </c>
      <c r="O753" s="90" t="s">
        <v>2748</v>
      </c>
    </row>
    <row r="754" spans="1:15">
      <c r="A754" s="12">
        <f t="shared" si="75"/>
        <v>752</v>
      </c>
      <c r="B754" s="12" t="s">
        <v>8</v>
      </c>
      <c r="C754" s="12" t="s">
        <v>367</v>
      </c>
      <c r="D754" s="12" t="s">
        <v>602</v>
      </c>
      <c r="E754" s="89">
        <f t="shared" ca="1" si="76"/>
        <v>40951</v>
      </c>
      <c r="F754" s="11">
        <f>DATE(60,1,26)</f>
        <v>21941</v>
      </c>
      <c r="G754" s="12">
        <f t="shared" ca="1" si="72"/>
        <v>52</v>
      </c>
      <c r="H754" s="12">
        <f t="shared" ca="1" si="73"/>
        <v>1</v>
      </c>
      <c r="I754" s="13">
        <f t="shared" ca="1" si="74"/>
        <v>-14</v>
      </c>
      <c r="J754" s="14">
        <f t="shared" ca="1" si="71"/>
        <v>52</v>
      </c>
      <c r="K754" s="12" t="s">
        <v>40</v>
      </c>
      <c r="L754" s="12">
        <v>60</v>
      </c>
      <c r="M754" s="12" t="s">
        <v>40</v>
      </c>
      <c r="N754" s="12">
        <v>162</v>
      </c>
    </row>
    <row r="755" spans="1:15">
      <c r="A755" s="12">
        <f t="shared" si="75"/>
        <v>753</v>
      </c>
      <c r="B755" s="12" t="s">
        <v>8</v>
      </c>
      <c r="C755" s="12" t="s">
        <v>603</v>
      </c>
      <c r="D755" s="12" t="s">
        <v>367</v>
      </c>
      <c r="E755" s="89">
        <f t="shared" ca="1" si="76"/>
        <v>40951</v>
      </c>
      <c r="F755" s="11">
        <f>DATE(68,5,2)</f>
        <v>24960</v>
      </c>
      <c r="G755" s="12">
        <f t="shared" ca="1" si="72"/>
        <v>44</v>
      </c>
      <c r="H755" s="12">
        <f t="shared" ca="1" si="73"/>
        <v>-3</v>
      </c>
      <c r="I755" s="13">
        <f t="shared" ca="1" si="74"/>
        <v>10</v>
      </c>
      <c r="J755" s="14">
        <f t="shared" ca="1" si="71"/>
        <v>43</v>
      </c>
      <c r="K755" s="12" t="s">
        <v>41</v>
      </c>
      <c r="L755" s="12">
        <v>60</v>
      </c>
      <c r="M755" s="12" t="s">
        <v>40</v>
      </c>
      <c r="N755" s="12">
        <v>162</v>
      </c>
    </row>
    <row r="756" spans="1:15">
      <c r="A756" s="12">
        <f t="shared" si="75"/>
        <v>754</v>
      </c>
      <c r="B756" s="12" t="s">
        <v>8</v>
      </c>
      <c r="C756" s="12" t="s">
        <v>604</v>
      </c>
      <c r="D756" s="12" t="s">
        <v>367</v>
      </c>
      <c r="E756" s="89">
        <f t="shared" ca="1" si="76"/>
        <v>40951</v>
      </c>
      <c r="F756" s="11">
        <f>DATE(88,8,23)</f>
        <v>32378</v>
      </c>
      <c r="G756" s="12">
        <f t="shared" ca="1" si="72"/>
        <v>24</v>
      </c>
      <c r="H756" s="12">
        <f t="shared" ca="1" si="73"/>
        <v>-6</v>
      </c>
      <c r="I756" s="13">
        <f t="shared" ca="1" si="74"/>
        <v>-11</v>
      </c>
      <c r="J756" s="14">
        <f t="shared" ca="1" si="71"/>
        <v>23</v>
      </c>
      <c r="K756" s="12" t="s">
        <v>40</v>
      </c>
      <c r="L756" s="12">
        <v>60</v>
      </c>
      <c r="M756" s="12" t="s">
        <v>44</v>
      </c>
      <c r="N756" s="12">
        <v>162</v>
      </c>
    </row>
    <row r="757" spans="1:15">
      <c r="A757" s="12">
        <f t="shared" si="75"/>
        <v>755</v>
      </c>
      <c r="B757" s="12" t="s">
        <v>8</v>
      </c>
      <c r="C757" s="12" t="s">
        <v>605</v>
      </c>
      <c r="D757" s="12" t="s">
        <v>367</v>
      </c>
      <c r="E757" s="89">
        <f t="shared" ca="1" si="76"/>
        <v>40951</v>
      </c>
      <c r="F757" s="11">
        <f>DATE(96,8,20)</f>
        <v>35297</v>
      </c>
      <c r="G757" s="12">
        <f t="shared" ca="1" si="72"/>
        <v>16</v>
      </c>
      <c r="H757" s="12">
        <f t="shared" ca="1" si="73"/>
        <v>-6</v>
      </c>
      <c r="I757" s="13">
        <f t="shared" ca="1" si="74"/>
        <v>-8</v>
      </c>
      <c r="J757" s="14">
        <f t="shared" ca="1" si="71"/>
        <v>15</v>
      </c>
      <c r="K757" s="12" t="s">
        <v>40</v>
      </c>
      <c r="L757" s="12">
        <v>60</v>
      </c>
      <c r="M757" s="12" t="s">
        <v>44</v>
      </c>
      <c r="N757" s="12">
        <v>162</v>
      </c>
    </row>
    <row r="758" spans="1:15">
      <c r="A758" s="12">
        <f t="shared" si="75"/>
        <v>756</v>
      </c>
      <c r="B758" s="12" t="s">
        <v>8</v>
      </c>
      <c r="C758" s="12" t="s">
        <v>367</v>
      </c>
      <c r="D758" s="12" t="s">
        <v>606</v>
      </c>
      <c r="E758" s="89">
        <f t="shared" ca="1" si="76"/>
        <v>40951</v>
      </c>
      <c r="F758" s="32"/>
      <c r="G758" s="12">
        <f t="shared" ca="1" si="72"/>
        <v>112</v>
      </c>
      <c r="H758" s="12">
        <f t="shared" ca="1" si="73"/>
        <v>1</v>
      </c>
      <c r="I758" s="13">
        <f t="shared" ca="1" si="74"/>
        <v>12</v>
      </c>
      <c r="J758" s="14">
        <f t="shared" ca="1" si="71"/>
        <v>112</v>
      </c>
      <c r="K758" s="12" t="s">
        <v>40</v>
      </c>
      <c r="L758" s="12">
        <v>60</v>
      </c>
      <c r="M758" s="12" t="s">
        <v>40</v>
      </c>
      <c r="N758" s="12">
        <v>163</v>
      </c>
      <c r="O758" s="90" t="s">
        <v>2748</v>
      </c>
    </row>
    <row r="759" spans="1:15">
      <c r="A759" s="12">
        <f t="shared" si="75"/>
        <v>757</v>
      </c>
      <c r="B759" s="12" t="s">
        <v>8</v>
      </c>
      <c r="C759" s="12" t="s">
        <v>607</v>
      </c>
      <c r="D759" s="12" t="s">
        <v>367</v>
      </c>
      <c r="E759" s="89">
        <f t="shared" ca="1" si="76"/>
        <v>40951</v>
      </c>
      <c r="F759" s="32"/>
      <c r="G759" s="12">
        <f t="shared" ca="1" si="72"/>
        <v>112</v>
      </c>
      <c r="H759" s="12">
        <f t="shared" ca="1" si="73"/>
        <v>1</v>
      </c>
      <c r="I759" s="13">
        <f t="shared" ca="1" si="74"/>
        <v>12</v>
      </c>
      <c r="J759" s="14">
        <f t="shared" ca="1" si="71"/>
        <v>112</v>
      </c>
      <c r="K759" s="12" t="s">
        <v>41</v>
      </c>
      <c r="L759" s="12">
        <v>60</v>
      </c>
      <c r="M759" s="12" t="s">
        <v>40</v>
      </c>
      <c r="N759" s="12">
        <v>163</v>
      </c>
    </row>
    <row r="760" spans="1:15">
      <c r="A760" s="12">
        <f t="shared" si="75"/>
        <v>758</v>
      </c>
      <c r="B760" s="12" t="s">
        <v>8</v>
      </c>
      <c r="C760" s="12" t="s">
        <v>608</v>
      </c>
      <c r="D760" s="12" t="s">
        <v>367</v>
      </c>
      <c r="E760" s="89">
        <f t="shared" ca="1" si="76"/>
        <v>40951</v>
      </c>
      <c r="F760" s="32"/>
      <c r="G760" s="12">
        <f t="shared" ca="1" si="72"/>
        <v>112</v>
      </c>
      <c r="H760" s="12">
        <f t="shared" ca="1" si="73"/>
        <v>1</v>
      </c>
      <c r="I760" s="13">
        <f t="shared" ca="1" si="74"/>
        <v>12</v>
      </c>
      <c r="J760" s="14">
        <f t="shared" ca="1" si="71"/>
        <v>112</v>
      </c>
      <c r="K760" s="12" t="s">
        <v>40</v>
      </c>
      <c r="L760" s="12">
        <v>60</v>
      </c>
      <c r="M760" s="12" t="s">
        <v>44</v>
      </c>
      <c r="N760" s="12">
        <v>163</v>
      </c>
    </row>
    <row r="761" spans="1:15">
      <c r="A761" s="12">
        <f t="shared" si="75"/>
        <v>759</v>
      </c>
      <c r="B761" s="12" t="s">
        <v>8</v>
      </c>
      <c r="C761" s="12" t="s">
        <v>235</v>
      </c>
      <c r="D761" s="12" t="s">
        <v>546</v>
      </c>
      <c r="E761" s="89">
        <f t="shared" ca="1" si="76"/>
        <v>40951</v>
      </c>
      <c r="F761" s="11">
        <f>DATE(53,6,26)</f>
        <v>19536</v>
      </c>
      <c r="G761" s="12">
        <f t="shared" ca="1" si="72"/>
        <v>59</v>
      </c>
      <c r="H761" s="12">
        <f t="shared" ca="1" si="73"/>
        <v>-4</v>
      </c>
      <c r="I761" s="13">
        <f t="shared" ca="1" si="74"/>
        <v>-14</v>
      </c>
      <c r="J761" s="14">
        <f t="shared" ca="1" si="71"/>
        <v>58</v>
      </c>
      <c r="K761" s="12" t="s">
        <v>40</v>
      </c>
      <c r="L761" s="12">
        <v>61</v>
      </c>
      <c r="M761" s="12" t="s">
        <v>40</v>
      </c>
      <c r="N761" s="12">
        <v>164</v>
      </c>
      <c r="O761" s="90" t="s">
        <v>2748</v>
      </c>
    </row>
    <row r="762" spans="1:15">
      <c r="A762" s="12">
        <f t="shared" si="75"/>
        <v>760</v>
      </c>
      <c r="B762" s="12" t="s">
        <v>8</v>
      </c>
      <c r="C762" s="12" t="s">
        <v>609</v>
      </c>
      <c r="D762" s="12" t="s">
        <v>235</v>
      </c>
      <c r="E762" s="89">
        <f t="shared" ca="1" si="76"/>
        <v>40951</v>
      </c>
      <c r="F762" s="11">
        <f>DATE(54,5,19)</f>
        <v>19863</v>
      </c>
      <c r="G762" s="12">
        <f t="shared" ca="1" si="72"/>
        <v>58</v>
      </c>
      <c r="H762" s="12">
        <f t="shared" ca="1" si="73"/>
        <v>-3</v>
      </c>
      <c r="I762" s="13">
        <f t="shared" ca="1" si="74"/>
        <v>-7</v>
      </c>
      <c r="J762" s="14">
        <f t="shared" ca="1" si="71"/>
        <v>57</v>
      </c>
      <c r="K762" s="12" t="s">
        <v>41</v>
      </c>
      <c r="L762" s="12">
        <v>61</v>
      </c>
      <c r="M762" s="12" t="s">
        <v>40</v>
      </c>
      <c r="N762" s="12">
        <v>164</v>
      </c>
    </row>
    <row r="763" spans="1:15">
      <c r="A763" s="12">
        <f t="shared" si="75"/>
        <v>761</v>
      </c>
      <c r="B763" s="12" t="s">
        <v>8</v>
      </c>
      <c r="C763" s="12" t="s">
        <v>183</v>
      </c>
      <c r="D763" s="12" t="s">
        <v>235</v>
      </c>
      <c r="E763" s="89">
        <f t="shared" ca="1" si="76"/>
        <v>40951</v>
      </c>
      <c r="F763" s="11">
        <f>DATE(81,5,17)</f>
        <v>29723</v>
      </c>
      <c r="G763" s="12">
        <f t="shared" ca="1" si="72"/>
        <v>31</v>
      </c>
      <c r="H763" s="12">
        <f t="shared" ca="1" si="73"/>
        <v>-3</v>
      </c>
      <c r="I763" s="13">
        <f t="shared" ca="1" si="74"/>
        <v>-5</v>
      </c>
      <c r="J763" s="14">
        <f t="shared" ca="1" si="71"/>
        <v>30</v>
      </c>
      <c r="K763" s="12" t="s">
        <v>40</v>
      </c>
      <c r="L763" s="12">
        <v>61</v>
      </c>
      <c r="M763" s="12" t="s">
        <v>44</v>
      </c>
      <c r="N763" s="12">
        <v>164</v>
      </c>
    </row>
    <row r="764" spans="1:15">
      <c r="A764" s="12">
        <f t="shared" si="75"/>
        <v>762</v>
      </c>
      <c r="B764" s="12" t="s">
        <v>8</v>
      </c>
      <c r="C764" s="12" t="s">
        <v>610</v>
      </c>
      <c r="D764" s="12" t="s">
        <v>267</v>
      </c>
      <c r="E764" s="89">
        <f t="shared" ca="1" si="76"/>
        <v>40951</v>
      </c>
      <c r="F764" s="11">
        <f>DATE(57,9,15)</f>
        <v>21078</v>
      </c>
      <c r="G764" s="12">
        <f t="shared" ca="1" si="72"/>
        <v>55</v>
      </c>
      <c r="H764" s="12">
        <f t="shared" ca="1" si="73"/>
        <v>-7</v>
      </c>
      <c r="I764" s="13">
        <f t="shared" ca="1" si="74"/>
        <v>-3</v>
      </c>
      <c r="J764" s="14">
        <f t="shared" ca="1" si="71"/>
        <v>54</v>
      </c>
      <c r="K764" s="12" t="s">
        <v>40</v>
      </c>
      <c r="L764" s="12">
        <v>61</v>
      </c>
      <c r="M764" s="12" t="s">
        <v>40</v>
      </c>
      <c r="N764" s="12">
        <v>165</v>
      </c>
      <c r="O764" s="90" t="s">
        <v>2748</v>
      </c>
    </row>
    <row r="765" spans="1:15">
      <c r="A765" s="12">
        <f t="shared" si="75"/>
        <v>763</v>
      </c>
      <c r="B765" s="12" t="s">
        <v>8</v>
      </c>
      <c r="C765" s="12" t="s">
        <v>611</v>
      </c>
      <c r="D765" s="12" t="s">
        <v>610</v>
      </c>
      <c r="E765" s="89">
        <f t="shared" ca="1" si="76"/>
        <v>40951</v>
      </c>
      <c r="F765" s="11">
        <f>DATE(62,12,10)</f>
        <v>22990</v>
      </c>
      <c r="G765" s="12">
        <f t="shared" ca="1" si="72"/>
        <v>50</v>
      </c>
      <c r="H765" s="12">
        <f t="shared" ca="1" si="73"/>
        <v>-10</v>
      </c>
      <c r="I765" s="13">
        <f t="shared" ca="1" si="74"/>
        <v>2</v>
      </c>
      <c r="J765" s="14">
        <f t="shared" ca="1" si="71"/>
        <v>49</v>
      </c>
      <c r="K765" s="12" t="s">
        <v>41</v>
      </c>
      <c r="L765" s="12">
        <v>61</v>
      </c>
      <c r="M765" s="12" t="s">
        <v>40</v>
      </c>
      <c r="N765" s="12">
        <v>165</v>
      </c>
    </row>
    <row r="766" spans="1:15">
      <c r="A766" s="12">
        <f t="shared" si="75"/>
        <v>764</v>
      </c>
      <c r="B766" s="12" t="s">
        <v>8</v>
      </c>
      <c r="C766" s="12" t="s">
        <v>612</v>
      </c>
      <c r="D766" s="12" t="s">
        <v>610</v>
      </c>
      <c r="E766" s="89">
        <f t="shared" ca="1" si="76"/>
        <v>40951</v>
      </c>
      <c r="F766" s="11">
        <f>DATE(84,8,11)</f>
        <v>30905</v>
      </c>
      <c r="G766" s="12">
        <f t="shared" ca="1" si="72"/>
        <v>28</v>
      </c>
      <c r="H766" s="12">
        <f t="shared" ca="1" si="73"/>
        <v>-6</v>
      </c>
      <c r="I766" s="13">
        <f t="shared" ca="1" si="74"/>
        <v>1</v>
      </c>
      <c r="J766" s="14">
        <f t="shared" ca="1" si="71"/>
        <v>27</v>
      </c>
      <c r="K766" s="12" t="s">
        <v>40</v>
      </c>
      <c r="L766" s="12">
        <v>61</v>
      </c>
      <c r="M766" s="12" t="s">
        <v>44</v>
      </c>
      <c r="N766" s="12">
        <v>165</v>
      </c>
    </row>
    <row r="767" spans="1:15">
      <c r="A767" s="12">
        <f t="shared" si="75"/>
        <v>765</v>
      </c>
      <c r="B767" s="12" t="s">
        <v>8</v>
      </c>
      <c r="C767" s="12" t="s">
        <v>613</v>
      </c>
      <c r="D767" s="12" t="s">
        <v>610</v>
      </c>
      <c r="E767" s="89">
        <f t="shared" ca="1" si="76"/>
        <v>40951</v>
      </c>
      <c r="F767" s="11">
        <f>DATE(89,9,29)</f>
        <v>32780</v>
      </c>
      <c r="G767" s="12">
        <f t="shared" ca="1" si="72"/>
        <v>23</v>
      </c>
      <c r="H767" s="12">
        <f t="shared" ca="1" si="73"/>
        <v>-7</v>
      </c>
      <c r="I767" s="13">
        <f t="shared" ca="1" si="74"/>
        <v>-17</v>
      </c>
      <c r="J767" s="14">
        <f t="shared" ca="1" si="71"/>
        <v>22</v>
      </c>
      <c r="K767" s="12" t="s">
        <v>41</v>
      </c>
      <c r="L767" s="12">
        <v>61</v>
      </c>
      <c r="M767" s="12" t="s">
        <v>44</v>
      </c>
      <c r="N767" s="12">
        <v>165</v>
      </c>
    </row>
    <row r="768" spans="1:15">
      <c r="A768" s="12">
        <f t="shared" si="75"/>
        <v>766</v>
      </c>
      <c r="B768" s="12" t="s">
        <v>8</v>
      </c>
      <c r="C768" s="12" t="s">
        <v>157</v>
      </c>
      <c r="D768" s="12" t="s">
        <v>198</v>
      </c>
      <c r="E768" s="89">
        <f t="shared" ca="1" si="76"/>
        <v>40951</v>
      </c>
      <c r="F768" s="11">
        <f>DATE(59,1,6)</f>
        <v>21556</v>
      </c>
      <c r="G768" s="12">
        <f t="shared" ca="1" si="72"/>
        <v>53</v>
      </c>
      <c r="H768" s="12">
        <f t="shared" ca="1" si="73"/>
        <v>1</v>
      </c>
      <c r="I768" s="13">
        <f t="shared" ca="1" si="74"/>
        <v>6</v>
      </c>
      <c r="J768" s="14">
        <f t="shared" ca="1" si="71"/>
        <v>53</v>
      </c>
      <c r="K768" s="12" t="s">
        <v>40</v>
      </c>
      <c r="L768" s="12">
        <v>61</v>
      </c>
      <c r="M768" s="12" t="s">
        <v>40</v>
      </c>
      <c r="N768" s="12">
        <v>166</v>
      </c>
      <c r="O768" s="90" t="s">
        <v>2748</v>
      </c>
    </row>
    <row r="769" spans="1:15">
      <c r="A769" s="12">
        <f t="shared" si="75"/>
        <v>767</v>
      </c>
      <c r="B769" s="12" t="s">
        <v>8</v>
      </c>
      <c r="C769" s="12" t="s">
        <v>614</v>
      </c>
      <c r="D769" s="12" t="s">
        <v>157</v>
      </c>
      <c r="E769" s="89">
        <f t="shared" ca="1" si="76"/>
        <v>40951</v>
      </c>
      <c r="F769" s="11">
        <f>DATE(65,7,7)</f>
        <v>23930</v>
      </c>
      <c r="G769" s="12">
        <f t="shared" ca="1" si="72"/>
        <v>47</v>
      </c>
      <c r="H769" s="12">
        <f t="shared" ca="1" si="73"/>
        <v>-5</v>
      </c>
      <c r="I769" s="13">
        <f t="shared" ca="1" si="74"/>
        <v>5</v>
      </c>
      <c r="J769" s="14">
        <f t="shared" ca="1" si="71"/>
        <v>46</v>
      </c>
      <c r="K769" s="12" t="s">
        <v>41</v>
      </c>
      <c r="L769" s="12">
        <v>61</v>
      </c>
      <c r="M769" s="12" t="s">
        <v>40</v>
      </c>
      <c r="N769" s="12">
        <v>166</v>
      </c>
    </row>
    <row r="770" spans="1:15">
      <c r="A770" s="12">
        <f t="shared" si="75"/>
        <v>768</v>
      </c>
      <c r="B770" s="12" t="s">
        <v>8</v>
      </c>
      <c r="C770" s="12" t="s">
        <v>615</v>
      </c>
      <c r="D770" s="12" t="s">
        <v>198</v>
      </c>
      <c r="E770" s="89">
        <f t="shared" ca="1" si="76"/>
        <v>40951</v>
      </c>
      <c r="F770" s="11">
        <f>DATE(56,9,5)</f>
        <v>20703</v>
      </c>
      <c r="G770" s="12">
        <f t="shared" ca="1" si="72"/>
        <v>56</v>
      </c>
      <c r="H770" s="12">
        <f t="shared" ca="1" si="73"/>
        <v>-7</v>
      </c>
      <c r="I770" s="13">
        <f t="shared" ca="1" si="74"/>
        <v>7</v>
      </c>
      <c r="J770" s="14">
        <f t="shared" ca="1" si="71"/>
        <v>55</v>
      </c>
      <c r="K770" s="12" t="s">
        <v>41</v>
      </c>
      <c r="L770" s="12">
        <v>61</v>
      </c>
      <c r="M770" s="12" t="s">
        <v>44</v>
      </c>
      <c r="N770" s="12">
        <v>166</v>
      </c>
    </row>
    <row r="771" spans="1:15">
      <c r="A771" s="12">
        <f t="shared" si="75"/>
        <v>769</v>
      </c>
      <c r="B771" s="12" t="s">
        <v>8</v>
      </c>
      <c r="C771" s="12" t="s">
        <v>616</v>
      </c>
      <c r="D771" s="12" t="s">
        <v>157</v>
      </c>
      <c r="E771" s="89">
        <f t="shared" ca="1" si="76"/>
        <v>40951</v>
      </c>
      <c r="F771" s="11">
        <f>DATE(85,11,4)</f>
        <v>31355</v>
      </c>
      <c r="G771" s="12">
        <f t="shared" ca="1" si="72"/>
        <v>27</v>
      </c>
      <c r="H771" s="12">
        <f t="shared" ca="1" si="73"/>
        <v>-9</v>
      </c>
      <c r="I771" s="13">
        <f t="shared" ca="1" si="74"/>
        <v>8</v>
      </c>
      <c r="J771" s="14">
        <f t="shared" ref="J771:J834" ca="1" si="77">IF(H771&lt;0,G771-1,IF(H771&gt;0,G771,IF(I771&lt;0,G771-1,G771)))</f>
        <v>26</v>
      </c>
      <c r="K771" s="12" t="s">
        <v>41</v>
      </c>
      <c r="L771" s="12">
        <v>61</v>
      </c>
      <c r="M771" s="12" t="s">
        <v>44</v>
      </c>
      <c r="N771" s="12">
        <v>166</v>
      </c>
    </row>
    <row r="772" spans="1:15">
      <c r="A772" s="12">
        <f t="shared" si="75"/>
        <v>770</v>
      </c>
      <c r="B772" s="12" t="s">
        <v>8</v>
      </c>
      <c r="C772" s="12" t="s">
        <v>617</v>
      </c>
      <c r="D772" s="12" t="s">
        <v>77</v>
      </c>
      <c r="E772" s="89">
        <f t="shared" ca="1" si="76"/>
        <v>40951</v>
      </c>
      <c r="F772" s="11">
        <f>DATE(42,3,6)</f>
        <v>15406</v>
      </c>
      <c r="G772" s="12">
        <f t="shared" ca="1" si="72"/>
        <v>70</v>
      </c>
      <c r="H772" s="12">
        <f t="shared" ca="1" si="73"/>
        <v>-1</v>
      </c>
      <c r="I772" s="13">
        <f t="shared" ca="1" si="74"/>
        <v>6</v>
      </c>
      <c r="J772" s="14">
        <f t="shared" ca="1" si="77"/>
        <v>69</v>
      </c>
      <c r="K772" s="12" t="s">
        <v>40</v>
      </c>
      <c r="L772" s="12">
        <v>62</v>
      </c>
      <c r="M772" s="12" t="s">
        <v>40</v>
      </c>
      <c r="N772" s="12">
        <v>167</v>
      </c>
      <c r="O772" s="90" t="s">
        <v>2748</v>
      </c>
    </row>
    <row r="773" spans="1:15">
      <c r="A773" s="12">
        <f t="shared" si="75"/>
        <v>771</v>
      </c>
      <c r="B773" s="12" t="s">
        <v>8</v>
      </c>
      <c r="C773" s="12" t="s">
        <v>615</v>
      </c>
      <c r="D773" s="12" t="s">
        <v>77</v>
      </c>
      <c r="E773" s="89">
        <f t="shared" ca="1" si="76"/>
        <v>40951</v>
      </c>
      <c r="F773" s="11">
        <f>DATE(22,6,25)</f>
        <v>8212</v>
      </c>
      <c r="G773" s="12">
        <f t="shared" ca="1" si="72"/>
        <v>90</v>
      </c>
      <c r="H773" s="12">
        <f t="shared" ca="1" si="73"/>
        <v>-4</v>
      </c>
      <c r="I773" s="13">
        <f t="shared" ca="1" si="74"/>
        <v>-13</v>
      </c>
      <c r="J773" s="14">
        <f t="shared" ca="1" si="77"/>
        <v>89</v>
      </c>
      <c r="K773" s="12" t="s">
        <v>41</v>
      </c>
      <c r="L773" s="12">
        <v>62</v>
      </c>
      <c r="M773" s="12" t="s">
        <v>40</v>
      </c>
      <c r="N773" s="12">
        <v>167</v>
      </c>
    </row>
    <row r="774" spans="1:15">
      <c r="A774" s="12">
        <f t="shared" si="75"/>
        <v>772</v>
      </c>
      <c r="B774" s="12" t="s">
        <v>8</v>
      </c>
      <c r="C774" s="12" t="s">
        <v>57</v>
      </c>
      <c r="D774" s="12" t="s">
        <v>617</v>
      </c>
      <c r="E774" s="89">
        <f t="shared" ca="1" si="76"/>
        <v>40951</v>
      </c>
      <c r="F774" s="11">
        <f>DATE(48,4,1)</f>
        <v>17624</v>
      </c>
      <c r="G774" s="12">
        <f t="shared" ca="1" si="72"/>
        <v>64</v>
      </c>
      <c r="H774" s="12">
        <f t="shared" ca="1" si="73"/>
        <v>-2</v>
      </c>
      <c r="I774" s="13">
        <f t="shared" ca="1" si="74"/>
        <v>11</v>
      </c>
      <c r="J774" s="14">
        <f t="shared" ca="1" si="77"/>
        <v>63</v>
      </c>
      <c r="K774" s="12" t="s">
        <v>41</v>
      </c>
      <c r="L774" s="12">
        <v>62</v>
      </c>
      <c r="M774" s="12" t="s">
        <v>40</v>
      </c>
      <c r="N774" s="12">
        <v>167</v>
      </c>
    </row>
    <row r="775" spans="1:15">
      <c r="A775" s="12">
        <f t="shared" si="75"/>
        <v>773</v>
      </c>
      <c r="B775" s="12" t="s">
        <v>8</v>
      </c>
      <c r="C775" s="12" t="s">
        <v>618</v>
      </c>
      <c r="D775" s="12" t="s">
        <v>617</v>
      </c>
      <c r="E775" s="89">
        <f t="shared" ca="1" si="76"/>
        <v>40951</v>
      </c>
      <c r="F775" s="11">
        <f>DATE(74,8,16)</f>
        <v>27257</v>
      </c>
      <c r="G775" s="12">
        <f t="shared" ca="1" si="72"/>
        <v>38</v>
      </c>
      <c r="H775" s="12">
        <f t="shared" ca="1" si="73"/>
        <v>-6</v>
      </c>
      <c r="I775" s="13">
        <f t="shared" ca="1" si="74"/>
        <v>-4</v>
      </c>
      <c r="J775" s="14">
        <f t="shared" ca="1" si="77"/>
        <v>37</v>
      </c>
      <c r="K775" s="12" t="s">
        <v>40</v>
      </c>
      <c r="L775" s="12">
        <v>62</v>
      </c>
      <c r="M775" s="12" t="s">
        <v>40</v>
      </c>
      <c r="N775" s="12">
        <v>167</v>
      </c>
    </row>
    <row r="776" spans="1:15">
      <c r="A776" s="12">
        <f t="shared" si="75"/>
        <v>774</v>
      </c>
      <c r="B776" s="12" t="s">
        <v>8</v>
      </c>
      <c r="C776" s="12" t="s">
        <v>619</v>
      </c>
      <c r="D776" s="12" t="s">
        <v>618</v>
      </c>
      <c r="E776" s="89">
        <f t="shared" ca="1" si="76"/>
        <v>40951</v>
      </c>
      <c r="F776" s="11">
        <f>DATE(81,7,18)</f>
        <v>29785</v>
      </c>
      <c r="G776" s="12">
        <f t="shared" ca="1" si="72"/>
        <v>31</v>
      </c>
      <c r="H776" s="12">
        <f t="shared" ca="1" si="73"/>
        <v>-5</v>
      </c>
      <c r="I776" s="13">
        <f t="shared" ca="1" si="74"/>
        <v>-6</v>
      </c>
      <c r="J776" s="14">
        <f t="shared" ca="1" si="77"/>
        <v>30</v>
      </c>
      <c r="K776" s="12" t="s">
        <v>41</v>
      </c>
      <c r="L776" s="12">
        <v>62</v>
      </c>
      <c r="M776" s="12" t="s">
        <v>40</v>
      </c>
      <c r="N776" s="12">
        <v>167</v>
      </c>
    </row>
    <row r="777" spans="1:15">
      <c r="A777" s="12">
        <f t="shared" si="75"/>
        <v>775</v>
      </c>
      <c r="B777" s="12" t="s">
        <v>8</v>
      </c>
      <c r="C777" s="12" t="s">
        <v>297</v>
      </c>
      <c r="D777" s="12" t="s">
        <v>618</v>
      </c>
      <c r="E777" s="89">
        <f t="shared" ca="1" si="76"/>
        <v>40951</v>
      </c>
      <c r="F777" s="11">
        <f>DATE(2005,10,30)</f>
        <v>38655</v>
      </c>
      <c r="G777" s="12">
        <f t="shared" ca="1" si="72"/>
        <v>7</v>
      </c>
      <c r="H777" s="12">
        <f t="shared" ca="1" si="73"/>
        <v>-8</v>
      </c>
      <c r="I777" s="13">
        <f t="shared" ca="1" si="74"/>
        <v>-18</v>
      </c>
      <c r="J777" s="14">
        <f t="shared" ca="1" si="77"/>
        <v>6</v>
      </c>
      <c r="K777" s="12" t="s">
        <v>40</v>
      </c>
      <c r="L777" s="12">
        <v>62</v>
      </c>
      <c r="M777" s="12" t="s">
        <v>44</v>
      </c>
      <c r="N777" s="12">
        <v>167</v>
      </c>
    </row>
    <row r="778" spans="1:15">
      <c r="A778" s="12">
        <f t="shared" si="75"/>
        <v>776</v>
      </c>
      <c r="B778" s="12" t="s">
        <v>8</v>
      </c>
      <c r="C778" s="12" t="s">
        <v>620</v>
      </c>
      <c r="D778" s="12" t="s">
        <v>65</v>
      </c>
      <c r="E778" s="89">
        <f t="shared" ca="1" si="76"/>
        <v>40951</v>
      </c>
      <c r="F778" s="32"/>
      <c r="G778" s="12">
        <f t="shared" ca="1" si="72"/>
        <v>112</v>
      </c>
      <c r="H778" s="12">
        <f t="shared" ca="1" si="73"/>
        <v>1</v>
      </c>
      <c r="I778" s="13">
        <f t="shared" ca="1" si="74"/>
        <v>12</v>
      </c>
      <c r="J778" s="14">
        <f t="shared" ca="1" si="77"/>
        <v>112</v>
      </c>
      <c r="K778" s="12" t="s">
        <v>41</v>
      </c>
      <c r="L778" s="12">
        <v>62</v>
      </c>
      <c r="M778" s="12" t="s">
        <v>40</v>
      </c>
      <c r="N778" s="12">
        <v>168</v>
      </c>
      <c r="O778" s="90" t="s">
        <v>2748</v>
      </c>
    </row>
    <row r="779" spans="1:15">
      <c r="A779" s="12">
        <f t="shared" si="75"/>
        <v>777</v>
      </c>
      <c r="B779" s="12" t="s">
        <v>8</v>
      </c>
      <c r="C779" s="12" t="s">
        <v>621</v>
      </c>
      <c r="D779" s="12" t="s">
        <v>65</v>
      </c>
      <c r="E779" s="89">
        <f t="shared" ca="1" si="76"/>
        <v>40951</v>
      </c>
      <c r="F779" s="32"/>
      <c r="G779" s="12">
        <f t="shared" ca="1" si="72"/>
        <v>112</v>
      </c>
      <c r="H779" s="12">
        <f t="shared" ca="1" si="73"/>
        <v>1</v>
      </c>
      <c r="I779" s="13">
        <f t="shared" ca="1" si="74"/>
        <v>12</v>
      </c>
      <c r="J779" s="14">
        <f t="shared" ca="1" si="77"/>
        <v>112</v>
      </c>
      <c r="K779" s="12" t="s">
        <v>41</v>
      </c>
      <c r="L779" s="12">
        <v>62</v>
      </c>
      <c r="M779" s="12" t="s">
        <v>44</v>
      </c>
      <c r="N779" s="12">
        <v>168</v>
      </c>
    </row>
    <row r="780" spans="1:15">
      <c r="A780" s="12">
        <f t="shared" si="75"/>
        <v>778</v>
      </c>
      <c r="B780" s="12" t="s">
        <v>8</v>
      </c>
      <c r="C780" s="12" t="s">
        <v>622</v>
      </c>
      <c r="D780" s="12" t="s">
        <v>65</v>
      </c>
      <c r="E780" s="89">
        <f t="shared" ca="1" si="76"/>
        <v>40951</v>
      </c>
      <c r="F780" s="32"/>
      <c r="G780" s="12">
        <f t="shared" ca="1" si="72"/>
        <v>112</v>
      </c>
      <c r="H780" s="12">
        <f t="shared" ca="1" si="73"/>
        <v>1</v>
      </c>
      <c r="I780" s="13">
        <f t="shared" ca="1" si="74"/>
        <v>12</v>
      </c>
      <c r="J780" s="14">
        <f t="shared" ca="1" si="77"/>
        <v>112</v>
      </c>
      <c r="K780" s="12" t="s">
        <v>41</v>
      </c>
      <c r="L780" s="12">
        <v>62</v>
      </c>
      <c r="M780" s="12" t="s">
        <v>44</v>
      </c>
      <c r="N780" s="12">
        <v>168</v>
      </c>
    </row>
    <row r="781" spans="1:15">
      <c r="A781" s="12">
        <f t="shared" si="75"/>
        <v>779</v>
      </c>
      <c r="B781" s="12" t="s">
        <v>8</v>
      </c>
      <c r="C781" s="12" t="s">
        <v>74</v>
      </c>
      <c r="E781" s="89">
        <f t="shared" ca="1" si="76"/>
        <v>40951</v>
      </c>
      <c r="F781" s="11">
        <f>DATE(81,6,29)</f>
        <v>29766</v>
      </c>
      <c r="G781" s="12">
        <f t="shared" ca="1" si="72"/>
        <v>31</v>
      </c>
      <c r="H781" s="12">
        <f t="shared" ca="1" si="73"/>
        <v>-4</v>
      </c>
      <c r="I781" s="13">
        <f t="shared" ca="1" si="74"/>
        <v>-17</v>
      </c>
      <c r="J781" s="14">
        <f t="shared" ca="1" si="77"/>
        <v>30</v>
      </c>
      <c r="K781" s="12" t="s">
        <v>41</v>
      </c>
      <c r="L781" s="12">
        <v>62</v>
      </c>
      <c r="M781" s="12" t="s">
        <v>44</v>
      </c>
      <c r="N781" s="12">
        <v>168</v>
      </c>
    </row>
    <row r="782" spans="1:15">
      <c r="A782" s="12">
        <f t="shared" si="75"/>
        <v>780</v>
      </c>
      <c r="B782" s="12" t="s">
        <v>8</v>
      </c>
      <c r="C782" s="12" t="s">
        <v>623</v>
      </c>
      <c r="D782" s="12" t="s">
        <v>624</v>
      </c>
      <c r="E782" s="89">
        <f t="shared" ca="1" si="76"/>
        <v>40951</v>
      </c>
      <c r="F782" s="11">
        <f>DATE(39,11,6)</f>
        <v>14555</v>
      </c>
      <c r="G782" s="12">
        <f t="shared" ca="1" si="72"/>
        <v>73</v>
      </c>
      <c r="H782" s="12">
        <f t="shared" ca="1" si="73"/>
        <v>-9</v>
      </c>
      <c r="I782" s="13">
        <f t="shared" ca="1" si="74"/>
        <v>6</v>
      </c>
      <c r="J782" s="14">
        <f t="shared" ca="1" si="77"/>
        <v>72</v>
      </c>
      <c r="K782" s="12" t="s">
        <v>40</v>
      </c>
      <c r="L782" s="12">
        <v>62</v>
      </c>
      <c r="M782" s="12" t="s">
        <v>40</v>
      </c>
      <c r="N782" s="12">
        <v>169</v>
      </c>
      <c r="O782" s="90" t="s">
        <v>2748</v>
      </c>
    </row>
    <row r="783" spans="1:15">
      <c r="A783" s="12">
        <f t="shared" si="75"/>
        <v>781</v>
      </c>
      <c r="B783" s="12" t="s">
        <v>8</v>
      </c>
      <c r="C783" s="12" t="s">
        <v>625</v>
      </c>
      <c r="D783" s="12" t="s">
        <v>623</v>
      </c>
      <c r="E783" s="89">
        <f t="shared" ca="1" si="76"/>
        <v>40951</v>
      </c>
      <c r="F783" s="11">
        <f>DATE(42,10,23)</f>
        <v>15637</v>
      </c>
      <c r="G783" s="12">
        <f t="shared" ca="1" si="72"/>
        <v>70</v>
      </c>
      <c r="H783" s="12">
        <f t="shared" ca="1" si="73"/>
        <v>-8</v>
      </c>
      <c r="I783" s="13">
        <f t="shared" ca="1" si="74"/>
        <v>-11</v>
      </c>
      <c r="J783" s="14">
        <f t="shared" ca="1" si="77"/>
        <v>69</v>
      </c>
      <c r="K783" s="12" t="s">
        <v>41</v>
      </c>
      <c r="L783" s="12">
        <v>62</v>
      </c>
      <c r="M783" s="12" t="s">
        <v>40</v>
      </c>
      <c r="N783" s="12">
        <v>169</v>
      </c>
    </row>
    <row r="784" spans="1:15">
      <c r="A784" s="12">
        <f t="shared" si="75"/>
        <v>782</v>
      </c>
      <c r="B784" s="12" t="s">
        <v>8</v>
      </c>
      <c r="C784" s="12" t="s">
        <v>623</v>
      </c>
      <c r="D784" s="12" t="s">
        <v>573</v>
      </c>
      <c r="E784" s="89">
        <f t="shared" ca="1" si="76"/>
        <v>40951</v>
      </c>
      <c r="F784" s="11">
        <f>DATE(40,7,27)</f>
        <v>14819</v>
      </c>
      <c r="G784" s="12">
        <f t="shared" ca="1" si="72"/>
        <v>72</v>
      </c>
      <c r="H784" s="12">
        <f t="shared" ca="1" si="73"/>
        <v>-5</v>
      </c>
      <c r="I784" s="13">
        <f t="shared" ca="1" si="74"/>
        <v>-15</v>
      </c>
      <c r="J784" s="14">
        <f t="shared" ca="1" si="77"/>
        <v>71</v>
      </c>
      <c r="K784" s="12" t="s">
        <v>40</v>
      </c>
      <c r="L784" s="12">
        <v>62</v>
      </c>
      <c r="M784" s="12" t="s">
        <v>40</v>
      </c>
      <c r="N784" s="12">
        <v>170</v>
      </c>
      <c r="O784" s="90" t="s">
        <v>2748</v>
      </c>
    </row>
    <row r="785" spans="1:15">
      <c r="A785" s="12">
        <f t="shared" si="75"/>
        <v>783</v>
      </c>
      <c r="B785" s="12" t="s">
        <v>8</v>
      </c>
      <c r="C785" s="12" t="s">
        <v>626</v>
      </c>
      <c r="D785" s="12" t="s">
        <v>623</v>
      </c>
      <c r="E785" s="89">
        <f t="shared" ca="1" si="76"/>
        <v>40951</v>
      </c>
      <c r="F785" s="11">
        <f>DATE(43,6,13)</f>
        <v>15870</v>
      </c>
      <c r="G785" s="12">
        <f t="shared" ca="1" si="72"/>
        <v>69</v>
      </c>
      <c r="H785" s="12">
        <f t="shared" ca="1" si="73"/>
        <v>-4</v>
      </c>
      <c r="I785" s="13">
        <f t="shared" ca="1" si="74"/>
        <v>-1</v>
      </c>
      <c r="J785" s="14">
        <f t="shared" ca="1" si="77"/>
        <v>68</v>
      </c>
      <c r="K785" s="12" t="s">
        <v>41</v>
      </c>
      <c r="L785" s="12">
        <v>62</v>
      </c>
      <c r="M785" s="12" t="s">
        <v>40</v>
      </c>
      <c r="N785" s="12">
        <v>170</v>
      </c>
    </row>
    <row r="786" spans="1:15">
      <c r="A786" s="12">
        <f t="shared" si="75"/>
        <v>784</v>
      </c>
      <c r="B786" s="12" t="s">
        <v>8</v>
      </c>
      <c r="C786" s="12" t="s">
        <v>627</v>
      </c>
      <c r="D786" s="12" t="s">
        <v>623</v>
      </c>
      <c r="E786" s="89">
        <f t="shared" ca="1" si="76"/>
        <v>40951</v>
      </c>
      <c r="F786" s="11">
        <f>DATE(77,8,7)</f>
        <v>28344</v>
      </c>
      <c r="G786" s="12">
        <f t="shared" ca="1" si="72"/>
        <v>35</v>
      </c>
      <c r="H786" s="12">
        <f t="shared" ca="1" si="73"/>
        <v>-6</v>
      </c>
      <c r="I786" s="13">
        <f t="shared" ca="1" si="74"/>
        <v>5</v>
      </c>
      <c r="J786" s="14">
        <f t="shared" ca="1" si="77"/>
        <v>34</v>
      </c>
      <c r="K786" s="12" t="s">
        <v>40</v>
      </c>
      <c r="L786" s="12">
        <v>62</v>
      </c>
      <c r="M786" s="12" t="s">
        <v>40</v>
      </c>
      <c r="N786" s="12">
        <v>170</v>
      </c>
    </row>
    <row r="787" spans="1:15">
      <c r="A787" s="12">
        <f t="shared" si="75"/>
        <v>785</v>
      </c>
      <c r="B787" s="12" t="s">
        <v>8</v>
      </c>
      <c r="C787" s="12" t="s">
        <v>628</v>
      </c>
      <c r="D787" s="12" t="s">
        <v>627</v>
      </c>
      <c r="E787" s="89">
        <f t="shared" ca="1" si="76"/>
        <v>40951</v>
      </c>
      <c r="F787" s="11">
        <f>DATE(81,3,10)</f>
        <v>29655</v>
      </c>
      <c r="G787" s="12">
        <f t="shared" ca="1" si="72"/>
        <v>31</v>
      </c>
      <c r="H787" s="12">
        <f t="shared" ca="1" si="73"/>
        <v>-1</v>
      </c>
      <c r="I787" s="13">
        <f t="shared" ca="1" si="74"/>
        <v>2</v>
      </c>
      <c r="J787" s="14">
        <f t="shared" ca="1" si="77"/>
        <v>30</v>
      </c>
      <c r="K787" s="12" t="s">
        <v>41</v>
      </c>
      <c r="L787" s="12">
        <v>62</v>
      </c>
      <c r="M787" s="12" t="s">
        <v>40</v>
      </c>
      <c r="N787" s="12">
        <v>170</v>
      </c>
    </row>
    <row r="788" spans="1:15">
      <c r="A788" s="12">
        <f t="shared" si="75"/>
        <v>786</v>
      </c>
      <c r="B788" s="12" t="s">
        <v>8</v>
      </c>
      <c r="C788" s="12" t="s">
        <v>90</v>
      </c>
      <c r="D788" s="12" t="s">
        <v>372</v>
      </c>
      <c r="E788" s="89">
        <f t="shared" ca="1" si="76"/>
        <v>40951</v>
      </c>
      <c r="F788" s="11">
        <f>DATE(49,8,10)</f>
        <v>18120</v>
      </c>
      <c r="G788" s="12">
        <f t="shared" ca="1" si="72"/>
        <v>63</v>
      </c>
      <c r="H788" s="12">
        <f t="shared" ca="1" si="73"/>
        <v>-6</v>
      </c>
      <c r="I788" s="13">
        <f t="shared" ca="1" si="74"/>
        <v>2</v>
      </c>
      <c r="J788" s="14">
        <f t="shared" ca="1" si="77"/>
        <v>62</v>
      </c>
      <c r="K788" s="12" t="s">
        <v>40</v>
      </c>
      <c r="L788" s="12">
        <v>63</v>
      </c>
      <c r="M788" s="12" t="s">
        <v>40</v>
      </c>
      <c r="N788" s="12">
        <v>171</v>
      </c>
      <c r="O788" s="90" t="s">
        <v>2748</v>
      </c>
    </row>
    <row r="789" spans="1:15">
      <c r="A789" s="12">
        <f t="shared" si="75"/>
        <v>787</v>
      </c>
      <c r="B789" s="12" t="s">
        <v>8</v>
      </c>
      <c r="C789" s="12" t="s">
        <v>188</v>
      </c>
      <c r="D789" s="12" t="s">
        <v>90</v>
      </c>
      <c r="E789" s="89">
        <f t="shared" ca="1" si="76"/>
        <v>40951</v>
      </c>
      <c r="F789" s="11">
        <f>DATE(54,9,20)</f>
        <v>19987</v>
      </c>
      <c r="G789" s="12">
        <f t="shared" ca="1" si="72"/>
        <v>58</v>
      </c>
      <c r="H789" s="12">
        <f t="shared" ca="1" si="73"/>
        <v>-7</v>
      </c>
      <c r="I789" s="13">
        <f t="shared" ca="1" si="74"/>
        <v>-8</v>
      </c>
      <c r="J789" s="14">
        <f t="shared" ca="1" si="77"/>
        <v>57</v>
      </c>
      <c r="K789" s="12" t="s">
        <v>41</v>
      </c>
      <c r="L789" s="12">
        <v>63</v>
      </c>
      <c r="M789" s="12" t="s">
        <v>40</v>
      </c>
      <c r="N789" s="12">
        <v>171</v>
      </c>
    </row>
    <row r="790" spans="1:15">
      <c r="A790" s="12">
        <f t="shared" si="75"/>
        <v>788</v>
      </c>
      <c r="B790" s="12" t="s">
        <v>8</v>
      </c>
      <c r="C790" s="12" t="s">
        <v>629</v>
      </c>
      <c r="D790" s="12" t="s">
        <v>372</v>
      </c>
      <c r="E790" s="89">
        <f t="shared" ca="1" si="76"/>
        <v>40951</v>
      </c>
      <c r="F790" s="11">
        <f>DATE(32,9,1)</f>
        <v>11933</v>
      </c>
      <c r="G790" s="12">
        <f t="shared" ca="1" si="72"/>
        <v>80</v>
      </c>
      <c r="H790" s="12">
        <f t="shared" ca="1" si="73"/>
        <v>-7</v>
      </c>
      <c r="I790" s="13">
        <f t="shared" ca="1" si="74"/>
        <v>11</v>
      </c>
      <c r="J790" s="14">
        <f t="shared" ca="1" si="77"/>
        <v>79</v>
      </c>
      <c r="K790" s="12" t="s">
        <v>41</v>
      </c>
      <c r="L790" s="12">
        <v>63</v>
      </c>
      <c r="M790" s="12" t="s">
        <v>40</v>
      </c>
      <c r="N790" s="12">
        <v>171</v>
      </c>
    </row>
    <row r="791" spans="1:15">
      <c r="A791" s="12">
        <f t="shared" si="75"/>
        <v>789</v>
      </c>
      <c r="B791" s="12" t="s">
        <v>8</v>
      </c>
      <c r="C791" s="12" t="s">
        <v>630</v>
      </c>
      <c r="D791" s="12" t="s">
        <v>90</v>
      </c>
      <c r="E791" s="89">
        <f t="shared" ca="1" si="76"/>
        <v>40951</v>
      </c>
      <c r="F791" s="11">
        <f>DATE(77,7,26)</f>
        <v>28332</v>
      </c>
      <c r="G791" s="12">
        <f t="shared" ca="1" si="72"/>
        <v>35</v>
      </c>
      <c r="H791" s="12">
        <f t="shared" ca="1" si="73"/>
        <v>-5</v>
      </c>
      <c r="I791" s="13">
        <f t="shared" ca="1" si="74"/>
        <v>-14</v>
      </c>
      <c r="J791" s="14">
        <f t="shared" ca="1" si="77"/>
        <v>34</v>
      </c>
      <c r="K791" s="12" t="s">
        <v>40</v>
      </c>
      <c r="L791" s="12">
        <v>63</v>
      </c>
      <c r="M791" s="12" t="s">
        <v>40</v>
      </c>
      <c r="N791" s="12">
        <v>171</v>
      </c>
    </row>
    <row r="792" spans="1:15">
      <c r="A792" s="12">
        <f t="shared" si="75"/>
        <v>790</v>
      </c>
      <c r="B792" s="12" t="s">
        <v>8</v>
      </c>
      <c r="C792" s="12" t="s">
        <v>631</v>
      </c>
      <c r="D792" s="12" t="s">
        <v>630</v>
      </c>
      <c r="E792" s="89">
        <f t="shared" ca="1" si="76"/>
        <v>40951</v>
      </c>
      <c r="F792" s="11">
        <f>DATE(80,9,29)</f>
        <v>29493</v>
      </c>
      <c r="G792" s="12">
        <f t="shared" ca="1" si="72"/>
        <v>32</v>
      </c>
      <c r="H792" s="12">
        <f t="shared" ca="1" si="73"/>
        <v>-7</v>
      </c>
      <c r="I792" s="13">
        <f t="shared" ca="1" si="74"/>
        <v>-17</v>
      </c>
      <c r="J792" s="14">
        <f t="shared" ca="1" si="77"/>
        <v>31</v>
      </c>
      <c r="K792" s="12" t="s">
        <v>41</v>
      </c>
      <c r="L792" s="12">
        <v>63</v>
      </c>
      <c r="M792" s="12" t="s">
        <v>40</v>
      </c>
      <c r="N792" s="12">
        <v>171</v>
      </c>
    </row>
    <row r="793" spans="1:15">
      <c r="A793" s="12">
        <f t="shared" si="75"/>
        <v>791</v>
      </c>
      <c r="B793" s="12" t="s">
        <v>8</v>
      </c>
      <c r="C793" s="12" t="s">
        <v>632</v>
      </c>
      <c r="D793" s="12" t="s">
        <v>90</v>
      </c>
      <c r="E793" s="89">
        <f t="shared" ca="1" si="76"/>
        <v>40951</v>
      </c>
      <c r="F793" s="11">
        <f>DATE(87,5,18)</f>
        <v>31915</v>
      </c>
      <c r="G793" s="12">
        <f t="shared" ref="G793:G856" ca="1" si="78">YEAR(E793)-YEAR(F793)</f>
        <v>25</v>
      </c>
      <c r="H793" s="12">
        <f t="shared" ref="H793:H856" ca="1" si="79">MONTH(E793)-MONTH(F793)</f>
        <v>-3</v>
      </c>
      <c r="I793" s="13">
        <f t="shared" ref="I793:I856" ca="1" si="80">DAY(E793)-DAY(F793)</f>
        <v>-6</v>
      </c>
      <c r="J793" s="14">
        <f t="shared" ca="1" si="77"/>
        <v>24</v>
      </c>
      <c r="K793" s="12" t="s">
        <v>41</v>
      </c>
      <c r="L793" s="12">
        <v>63</v>
      </c>
      <c r="M793" s="12" t="s">
        <v>44</v>
      </c>
      <c r="N793" s="12">
        <v>171</v>
      </c>
    </row>
    <row r="794" spans="1:15">
      <c r="A794" s="12">
        <f t="shared" si="75"/>
        <v>792</v>
      </c>
      <c r="B794" s="12" t="s">
        <v>8</v>
      </c>
      <c r="C794" s="12" t="s">
        <v>633</v>
      </c>
      <c r="D794" s="12" t="s">
        <v>630</v>
      </c>
      <c r="E794" s="89">
        <f t="shared" ca="1" si="76"/>
        <v>40951</v>
      </c>
      <c r="F794" s="11">
        <f>DATE(2005,10,7)</f>
        <v>38632</v>
      </c>
      <c r="G794" s="12">
        <f t="shared" ca="1" si="78"/>
        <v>7</v>
      </c>
      <c r="H794" s="12">
        <f t="shared" ca="1" si="79"/>
        <v>-8</v>
      </c>
      <c r="I794" s="13">
        <f t="shared" ca="1" si="80"/>
        <v>5</v>
      </c>
      <c r="J794" s="14">
        <f t="shared" ca="1" si="77"/>
        <v>6</v>
      </c>
      <c r="K794" s="12" t="s">
        <v>41</v>
      </c>
      <c r="L794" s="12">
        <v>63</v>
      </c>
      <c r="M794" s="12" t="s">
        <v>44</v>
      </c>
      <c r="N794" s="12">
        <v>171</v>
      </c>
    </row>
    <row r="795" spans="1:15">
      <c r="A795" s="12">
        <f t="shared" si="75"/>
        <v>793</v>
      </c>
      <c r="B795" s="12" t="s">
        <v>8</v>
      </c>
      <c r="C795" s="12" t="s">
        <v>90</v>
      </c>
      <c r="D795" s="12" t="s">
        <v>556</v>
      </c>
      <c r="E795" s="89">
        <f t="shared" ca="1" si="76"/>
        <v>40951</v>
      </c>
      <c r="F795" s="11">
        <f>DATE(59,11,9)</f>
        <v>21863</v>
      </c>
      <c r="G795" s="12">
        <f t="shared" ca="1" si="78"/>
        <v>53</v>
      </c>
      <c r="H795" s="12">
        <f t="shared" ca="1" si="79"/>
        <v>-9</v>
      </c>
      <c r="I795" s="13">
        <f t="shared" ca="1" si="80"/>
        <v>3</v>
      </c>
      <c r="J795" s="14">
        <f t="shared" ca="1" si="77"/>
        <v>52</v>
      </c>
      <c r="K795" s="12" t="s">
        <v>40</v>
      </c>
      <c r="L795" s="12">
        <v>63</v>
      </c>
      <c r="M795" s="12" t="s">
        <v>40</v>
      </c>
      <c r="N795" s="12">
        <v>172</v>
      </c>
      <c r="O795" s="90" t="s">
        <v>2748</v>
      </c>
    </row>
    <row r="796" spans="1:15">
      <c r="A796" s="12">
        <f t="shared" si="75"/>
        <v>794</v>
      </c>
      <c r="B796" s="12" t="s">
        <v>8</v>
      </c>
      <c r="C796" s="12" t="s">
        <v>570</v>
      </c>
      <c r="D796" s="12" t="s">
        <v>90</v>
      </c>
      <c r="E796" s="89">
        <f t="shared" ca="1" si="76"/>
        <v>40951</v>
      </c>
      <c r="F796" s="11">
        <f>DATE(59,10,27)</f>
        <v>21850</v>
      </c>
      <c r="G796" s="12">
        <f t="shared" ca="1" si="78"/>
        <v>53</v>
      </c>
      <c r="H796" s="12">
        <f t="shared" ca="1" si="79"/>
        <v>-8</v>
      </c>
      <c r="I796" s="13">
        <f t="shared" ca="1" si="80"/>
        <v>-15</v>
      </c>
      <c r="J796" s="14">
        <f t="shared" ca="1" si="77"/>
        <v>52</v>
      </c>
      <c r="K796" s="12" t="s">
        <v>41</v>
      </c>
      <c r="L796" s="12">
        <v>63</v>
      </c>
      <c r="M796" s="12" t="s">
        <v>40</v>
      </c>
      <c r="N796" s="12">
        <v>172</v>
      </c>
    </row>
    <row r="797" spans="1:15">
      <c r="A797" s="12">
        <f t="shared" si="75"/>
        <v>795</v>
      </c>
      <c r="B797" s="12" t="s">
        <v>8</v>
      </c>
      <c r="C797" s="12" t="s">
        <v>634</v>
      </c>
      <c r="D797" s="12" t="s">
        <v>90</v>
      </c>
      <c r="E797" s="89">
        <f t="shared" ca="1" si="76"/>
        <v>40951</v>
      </c>
      <c r="F797" s="11">
        <f>DATE(82,7,21)</f>
        <v>30153</v>
      </c>
      <c r="G797" s="12">
        <f t="shared" ca="1" si="78"/>
        <v>30</v>
      </c>
      <c r="H797" s="12">
        <f t="shared" ca="1" si="79"/>
        <v>-5</v>
      </c>
      <c r="I797" s="13">
        <f t="shared" ca="1" si="80"/>
        <v>-9</v>
      </c>
      <c r="J797" s="14">
        <f t="shared" ca="1" si="77"/>
        <v>29</v>
      </c>
      <c r="K797" s="12" t="s">
        <v>40</v>
      </c>
      <c r="L797" s="12">
        <v>63</v>
      </c>
      <c r="M797" s="12" t="s">
        <v>44</v>
      </c>
      <c r="N797" s="12">
        <v>172</v>
      </c>
    </row>
    <row r="798" spans="1:15">
      <c r="A798" s="12">
        <f t="shared" ref="A798:A861" si="81">A797+1</f>
        <v>796</v>
      </c>
      <c r="B798" s="12" t="s">
        <v>8</v>
      </c>
      <c r="C798" s="12" t="s">
        <v>635</v>
      </c>
      <c r="D798" s="12" t="s">
        <v>90</v>
      </c>
      <c r="E798" s="89">
        <f t="shared" ca="1" si="76"/>
        <v>40951</v>
      </c>
      <c r="F798" s="11">
        <f>DATE(83,8,28)</f>
        <v>30556</v>
      </c>
      <c r="G798" s="12">
        <f t="shared" ca="1" si="78"/>
        <v>29</v>
      </c>
      <c r="H798" s="12">
        <f t="shared" ca="1" si="79"/>
        <v>-6</v>
      </c>
      <c r="I798" s="13">
        <f t="shared" ca="1" si="80"/>
        <v>-16</v>
      </c>
      <c r="J798" s="14">
        <f t="shared" ca="1" si="77"/>
        <v>28</v>
      </c>
      <c r="K798" s="12" t="s">
        <v>41</v>
      </c>
      <c r="L798" s="12">
        <v>63</v>
      </c>
      <c r="M798" s="12" t="s">
        <v>44</v>
      </c>
      <c r="N798" s="12">
        <v>172</v>
      </c>
    </row>
    <row r="799" spans="1:15">
      <c r="A799" s="12">
        <f t="shared" si="81"/>
        <v>797</v>
      </c>
      <c r="B799" s="12" t="s">
        <v>8</v>
      </c>
      <c r="C799" s="12" t="s">
        <v>290</v>
      </c>
      <c r="D799" s="12" t="s">
        <v>90</v>
      </c>
      <c r="E799" s="89">
        <f t="shared" ca="1" si="76"/>
        <v>40951</v>
      </c>
      <c r="F799" s="11">
        <f>DATE(86,3,13)</f>
        <v>31484</v>
      </c>
      <c r="G799" s="12">
        <f t="shared" ca="1" si="78"/>
        <v>26</v>
      </c>
      <c r="H799" s="12">
        <f t="shared" ca="1" si="79"/>
        <v>-1</v>
      </c>
      <c r="I799" s="13">
        <f t="shared" ca="1" si="80"/>
        <v>-1</v>
      </c>
      <c r="J799" s="14">
        <f t="shared" ca="1" si="77"/>
        <v>25</v>
      </c>
      <c r="K799" s="12" t="s">
        <v>41</v>
      </c>
      <c r="L799" s="12">
        <v>63</v>
      </c>
      <c r="M799" s="12" t="s">
        <v>44</v>
      </c>
      <c r="N799" s="12">
        <v>172</v>
      </c>
    </row>
    <row r="800" spans="1:15">
      <c r="A800" s="12">
        <f t="shared" si="81"/>
        <v>798</v>
      </c>
      <c r="B800" s="12" t="s">
        <v>8</v>
      </c>
      <c r="C800" s="12" t="s">
        <v>636</v>
      </c>
      <c r="D800" s="12" t="s">
        <v>90</v>
      </c>
      <c r="E800" s="89">
        <f t="shared" ca="1" si="76"/>
        <v>40951</v>
      </c>
      <c r="F800" s="11">
        <f>DATE(90,11,18)</f>
        <v>33195</v>
      </c>
      <c r="G800" s="12">
        <f t="shared" ca="1" si="78"/>
        <v>22</v>
      </c>
      <c r="H800" s="12">
        <f t="shared" ca="1" si="79"/>
        <v>-9</v>
      </c>
      <c r="I800" s="13">
        <f t="shared" ca="1" si="80"/>
        <v>-6</v>
      </c>
      <c r="J800" s="14">
        <f t="shared" ca="1" si="77"/>
        <v>21</v>
      </c>
      <c r="K800" s="12" t="s">
        <v>41</v>
      </c>
      <c r="L800" s="12">
        <v>63</v>
      </c>
      <c r="M800" s="12" t="s">
        <v>44</v>
      </c>
      <c r="N800" s="12">
        <v>172</v>
      </c>
    </row>
    <row r="801" spans="1:15">
      <c r="A801" s="12">
        <f t="shared" si="81"/>
        <v>799</v>
      </c>
      <c r="B801" s="12" t="s">
        <v>8</v>
      </c>
      <c r="C801" s="12" t="s">
        <v>359</v>
      </c>
      <c r="D801" s="12" t="s">
        <v>637</v>
      </c>
      <c r="E801" s="89">
        <f t="shared" ca="1" si="76"/>
        <v>40951</v>
      </c>
      <c r="F801" s="32"/>
      <c r="G801" s="12">
        <f t="shared" ca="1" si="78"/>
        <v>112</v>
      </c>
      <c r="H801" s="12">
        <f t="shared" ca="1" si="79"/>
        <v>1</v>
      </c>
      <c r="I801" s="13">
        <f t="shared" ca="1" si="80"/>
        <v>12</v>
      </c>
      <c r="J801" s="14">
        <f t="shared" ca="1" si="77"/>
        <v>112</v>
      </c>
      <c r="K801" s="12" t="s">
        <v>41</v>
      </c>
      <c r="L801" s="12">
        <v>63</v>
      </c>
      <c r="M801" s="12" t="s">
        <v>40</v>
      </c>
      <c r="N801" s="12">
        <v>173</v>
      </c>
      <c r="O801" s="90" t="s">
        <v>2748</v>
      </c>
    </row>
    <row r="802" spans="1:15">
      <c r="A802" s="12">
        <f t="shared" si="81"/>
        <v>800</v>
      </c>
      <c r="B802" s="12" t="s">
        <v>8</v>
      </c>
      <c r="C802" s="12" t="s">
        <v>462</v>
      </c>
      <c r="D802" s="12" t="s">
        <v>637</v>
      </c>
      <c r="E802" s="89">
        <f t="shared" ca="1" si="76"/>
        <v>40951</v>
      </c>
      <c r="F802" s="32"/>
      <c r="G802" s="12">
        <f t="shared" ca="1" si="78"/>
        <v>112</v>
      </c>
      <c r="H802" s="12">
        <f t="shared" ca="1" si="79"/>
        <v>1</v>
      </c>
      <c r="I802" s="13">
        <f t="shared" ca="1" si="80"/>
        <v>12</v>
      </c>
      <c r="J802" s="14">
        <f t="shared" ca="1" si="77"/>
        <v>112</v>
      </c>
      <c r="K802" s="12" t="s">
        <v>41</v>
      </c>
      <c r="L802" s="12">
        <v>63</v>
      </c>
      <c r="M802" s="12" t="s">
        <v>44</v>
      </c>
      <c r="N802" s="12">
        <v>173</v>
      </c>
    </row>
    <row r="803" spans="1:15">
      <c r="A803" s="12">
        <f t="shared" si="81"/>
        <v>801</v>
      </c>
      <c r="B803" s="12" t="s">
        <v>8</v>
      </c>
      <c r="C803" s="12" t="s">
        <v>96</v>
      </c>
      <c r="D803" s="12" t="s">
        <v>637</v>
      </c>
      <c r="E803" s="89">
        <f t="shared" ref="E803:E866" ca="1" si="82">TODAY()</f>
        <v>40951</v>
      </c>
      <c r="F803" s="32"/>
      <c r="G803" s="12">
        <f t="shared" ca="1" si="78"/>
        <v>112</v>
      </c>
      <c r="H803" s="12">
        <f t="shared" ca="1" si="79"/>
        <v>1</v>
      </c>
      <c r="I803" s="13">
        <f t="shared" ca="1" si="80"/>
        <v>12</v>
      </c>
      <c r="J803" s="14">
        <f t="shared" ca="1" si="77"/>
        <v>112</v>
      </c>
      <c r="K803" s="12" t="s">
        <v>40</v>
      </c>
      <c r="L803" s="12">
        <v>63</v>
      </c>
      <c r="M803" s="12" t="s">
        <v>40</v>
      </c>
      <c r="N803" s="12">
        <v>173</v>
      </c>
    </row>
    <row r="804" spans="1:15">
      <c r="A804" s="12">
        <f t="shared" si="81"/>
        <v>802</v>
      </c>
      <c r="B804" s="12" t="s">
        <v>8</v>
      </c>
      <c r="C804" s="12" t="s">
        <v>368</v>
      </c>
      <c r="D804" s="12" t="s">
        <v>93</v>
      </c>
      <c r="E804" s="89">
        <f t="shared" ca="1" si="82"/>
        <v>40951</v>
      </c>
      <c r="F804" s="32"/>
      <c r="G804" s="12">
        <f t="shared" ca="1" si="78"/>
        <v>112</v>
      </c>
      <c r="H804" s="12">
        <f t="shared" ca="1" si="79"/>
        <v>1</v>
      </c>
      <c r="I804" s="13">
        <f t="shared" ca="1" si="80"/>
        <v>12</v>
      </c>
      <c r="J804" s="14">
        <f t="shared" ca="1" si="77"/>
        <v>112</v>
      </c>
      <c r="K804" s="12" t="s">
        <v>41</v>
      </c>
      <c r="L804" s="12">
        <v>63</v>
      </c>
      <c r="M804" s="12" t="s">
        <v>40</v>
      </c>
      <c r="N804" s="12">
        <v>173</v>
      </c>
    </row>
    <row r="805" spans="1:15">
      <c r="A805" s="12">
        <f t="shared" si="81"/>
        <v>803</v>
      </c>
      <c r="B805" s="12" t="s">
        <v>8</v>
      </c>
      <c r="C805" s="12" t="s">
        <v>638</v>
      </c>
      <c r="D805" s="12" t="s">
        <v>93</v>
      </c>
      <c r="E805" s="89">
        <f t="shared" ca="1" si="82"/>
        <v>40951</v>
      </c>
      <c r="F805" s="32"/>
      <c r="G805" s="12">
        <f t="shared" ca="1" si="78"/>
        <v>112</v>
      </c>
      <c r="H805" s="12">
        <f t="shared" ca="1" si="79"/>
        <v>1</v>
      </c>
      <c r="I805" s="13">
        <f t="shared" ca="1" si="80"/>
        <v>12</v>
      </c>
      <c r="J805" s="14">
        <f t="shared" ca="1" si="77"/>
        <v>112</v>
      </c>
      <c r="K805" s="12" t="s">
        <v>41</v>
      </c>
      <c r="L805" s="12">
        <v>63</v>
      </c>
      <c r="M805" s="12" t="s">
        <v>44</v>
      </c>
      <c r="N805" s="12">
        <v>173</v>
      </c>
    </row>
    <row r="806" spans="1:15">
      <c r="A806" s="12">
        <f t="shared" si="81"/>
        <v>804</v>
      </c>
      <c r="B806" s="12" t="s">
        <v>8</v>
      </c>
      <c r="C806" s="12" t="s">
        <v>75</v>
      </c>
      <c r="D806" s="12" t="s">
        <v>93</v>
      </c>
      <c r="E806" s="89">
        <f t="shared" ca="1" si="82"/>
        <v>40951</v>
      </c>
      <c r="F806" s="32"/>
      <c r="G806" s="12">
        <f t="shared" ca="1" si="78"/>
        <v>112</v>
      </c>
      <c r="H806" s="12">
        <f t="shared" ca="1" si="79"/>
        <v>1</v>
      </c>
      <c r="I806" s="13">
        <f t="shared" ca="1" si="80"/>
        <v>12</v>
      </c>
      <c r="J806" s="14">
        <f t="shared" ca="1" si="77"/>
        <v>112</v>
      </c>
      <c r="K806" s="12" t="s">
        <v>40</v>
      </c>
      <c r="L806" s="12">
        <v>63</v>
      </c>
      <c r="M806" s="12" t="s">
        <v>44</v>
      </c>
      <c r="N806" s="12">
        <v>173</v>
      </c>
    </row>
    <row r="807" spans="1:15">
      <c r="A807" s="12">
        <f t="shared" si="81"/>
        <v>805</v>
      </c>
      <c r="B807" s="12" t="s">
        <v>8</v>
      </c>
      <c r="C807" s="12" t="s">
        <v>237</v>
      </c>
      <c r="D807" s="12" t="s">
        <v>546</v>
      </c>
      <c r="E807" s="89">
        <f t="shared" ca="1" si="82"/>
        <v>40951</v>
      </c>
      <c r="F807" s="11">
        <f>DATE(47,9,1)</f>
        <v>17411</v>
      </c>
      <c r="G807" s="12">
        <f t="shared" ca="1" si="78"/>
        <v>65</v>
      </c>
      <c r="H807" s="12">
        <f t="shared" ca="1" si="79"/>
        <v>-7</v>
      </c>
      <c r="I807" s="13">
        <f t="shared" ca="1" si="80"/>
        <v>11</v>
      </c>
      <c r="J807" s="14">
        <f t="shared" ca="1" si="77"/>
        <v>64</v>
      </c>
      <c r="K807" s="12" t="s">
        <v>40</v>
      </c>
      <c r="L807" s="12">
        <v>64</v>
      </c>
      <c r="M807" s="12" t="s">
        <v>40</v>
      </c>
      <c r="N807" s="12">
        <v>174</v>
      </c>
      <c r="O807" s="90" t="s">
        <v>2748</v>
      </c>
    </row>
    <row r="808" spans="1:15">
      <c r="A808" s="12">
        <f t="shared" si="81"/>
        <v>806</v>
      </c>
      <c r="B808" s="12" t="s">
        <v>8</v>
      </c>
      <c r="C808" s="12" t="s">
        <v>639</v>
      </c>
      <c r="D808" s="12" t="s">
        <v>237</v>
      </c>
      <c r="E808" s="89">
        <f t="shared" ca="1" si="82"/>
        <v>40951</v>
      </c>
      <c r="F808" s="11">
        <f>DATE(52,10,19)</f>
        <v>19286</v>
      </c>
      <c r="G808" s="12">
        <f t="shared" ca="1" si="78"/>
        <v>60</v>
      </c>
      <c r="H808" s="12">
        <f t="shared" ca="1" si="79"/>
        <v>-8</v>
      </c>
      <c r="I808" s="13">
        <f t="shared" ca="1" si="80"/>
        <v>-7</v>
      </c>
      <c r="J808" s="14">
        <f t="shared" ca="1" si="77"/>
        <v>59</v>
      </c>
      <c r="K808" s="12" t="s">
        <v>41</v>
      </c>
      <c r="L808" s="12">
        <v>64</v>
      </c>
      <c r="M808" s="12" t="s">
        <v>40</v>
      </c>
      <c r="N808" s="12">
        <v>174</v>
      </c>
    </row>
    <row r="809" spans="1:15">
      <c r="A809" s="12">
        <f t="shared" si="81"/>
        <v>807</v>
      </c>
      <c r="B809" s="12" t="s">
        <v>8</v>
      </c>
      <c r="C809" s="12" t="s">
        <v>442</v>
      </c>
      <c r="D809" s="12" t="s">
        <v>237</v>
      </c>
      <c r="E809" s="89">
        <f t="shared" ca="1" si="82"/>
        <v>40951</v>
      </c>
      <c r="F809" s="11">
        <f>DATE(94,3,25)</f>
        <v>34418</v>
      </c>
      <c r="G809" s="12">
        <f t="shared" ca="1" si="78"/>
        <v>18</v>
      </c>
      <c r="H809" s="12">
        <f t="shared" ca="1" si="79"/>
        <v>-1</v>
      </c>
      <c r="I809" s="13">
        <f t="shared" ca="1" si="80"/>
        <v>-13</v>
      </c>
      <c r="J809" s="14">
        <f t="shared" ca="1" si="77"/>
        <v>17</v>
      </c>
      <c r="K809" s="12" t="s">
        <v>41</v>
      </c>
      <c r="L809" s="12">
        <v>64</v>
      </c>
      <c r="M809" s="12" t="s">
        <v>44</v>
      </c>
      <c r="N809" s="12">
        <v>174</v>
      </c>
    </row>
    <row r="810" spans="1:15">
      <c r="A810" s="12">
        <f t="shared" si="81"/>
        <v>808</v>
      </c>
      <c r="B810" s="12" t="s">
        <v>8</v>
      </c>
      <c r="C810" s="12" t="s">
        <v>641</v>
      </c>
      <c r="D810" s="12" t="s">
        <v>640</v>
      </c>
      <c r="E810" s="89">
        <f t="shared" ca="1" si="82"/>
        <v>40951</v>
      </c>
      <c r="F810" s="11">
        <f>DATE(79,6,16)</f>
        <v>29022</v>
      </c>
      <c r="G810" s="12">
        <f t="shared" ca="1" si="78"/>
        <v>33</v>
      </c>
      <c r="H810" s="12">
        <f t="shared" ca="1" si="79"/>
        <v>-4</v>
      </c>
      <c r="I810" s="13">
        <f t="shared" ca="1" si="80"/>
        <v>-4</v>
      </c>
      <c r="J810" s="14">
        <f t="shared" ca="1" si="77"/>
        <v>32</v>
      </c>
      <c r="K810" s="12" t="s">
        <v>40</v>
      </c>
      <c r="L810" s="12">
        <v>64</v>
      </c>
      <c r="M810" s="12" t="s">
        <v>40</v>
      </c>
      <c r="N810" s="12">
        <v>175</v>
      </c>
    </row>
    <row r="811" spans="1:15">
      <c r="A811" s="12">
        <f t="shared" si="81"/>
        <v>809</v>
      </c>
      <c r="B811" s="12" t="s">
        <v>8</v>
      </c>
      <c r="C811" s="12" t="s">
        <v>583</v>
      </c>
      <c r="D811" s="12" t="s">
        <v>641</v>
      </c>
      <c r="E811" s="89">
        <f t="shared" ca="1" si="82"/>
        <v>40951</v>
      </c>
      <c r="F811" s="11">
        <f>DATE(80,2,19)</f>
        <v>29270</v>
      </c>
      <c r="G811" s="12">
        <f t="shared" ca="1" si="78"/>
        <v>32</v>
      </c>
      <c r="H811" s="12">
        <f t="shared" ca="1" si="79"/>
        <v>0</v>
      </c>
      <c r="I811" s="13">
        <f t="shared" ca="1" si="80"/>
        <v>-7</v>
      </c>
      <c r="J811" s="14">
        <f t="shared" ca="1" si="77"/>
        <v>31</v>
      </c>
      <c r="K811" s="12" t="s">
        <v>41</v>
      </c>
      <c r="L811" s="12">
        <v>64</v>
      </c>
      <c r="M811" s="12" t="s">
        <v>40</v>
      </c>
      <c r="N811" s="12">
        <v>175</v>
      </c>
      <c r="O811" s="90" t="s">
        <v>2748</v>
      </c>
    </row>
    <row r="812" spans="1:15">
      <c r="A812" s="12">
        <f t="shared" si="81"/>
        <v>810</v>
      </c>
      <c r="B812" s="12" t="s">
        <v>8</v>
      </c>
      <c r="C812" s="12" t="s">
        <v>274</v>
      </c>
      <c r="D812" s="12" t="s">
        <v>642</v>
      </c>
      <c r="E812" s="89">
        <f t="shared" ca="1" si="82"/>
        <v>40951</v>
      </c>
      <c r="F812" s="11">
        <f>DATE(55,5,16)</f>
        <v>20225</v>
      </c>
      <c r="G812" s="12">
        <f t="shared" ca="1" si="78"/>
        <v>57</v>
      </c>
      <c r="H812" s="12">
        <f t="shared" ca="1" si="79"/>
        <v>-3</v>
      </c>
      <c r="I812" s="13">
        <f t="shared" ca="1" si="80"/>
        <v>-4</v>
      </c>
      <c r="J812" s="14">
        <f t="shared" ca="1" si="77"/>
        <v>56</v>
      </c>
      <c r="K812" s="12" t="s">
        <v>40</v>
      </c>
      <c r="L812" s="12">
        <v>64</v>
      </c>
      <c r="M812" s="12" t="s">
        <v>40</v>
      </c>
      <c r="N812" s="12">
        <v>176</v>
      </c>
      <c r="O812" s="90" t="s">
        <v>2748</v>
      </c>
    </row>
    <row r="813" spans="1:15">
      <c r="A813" s="12">
        <f t="shared" si="81"/>
        <v>811</v>
      </c>
      <c r="B813" s="12" t="s">
        <v>8</v>
      </c>
      <c r="C813" s="12" t="s">
        <v>113</v>
      </c>
      <c r="D813" s="12" t="s">
        <v>274</v>
      </c>
      <c r="E813" s="89">
        <f t="shared" ca="1" si="82"/>
        <v>40951</v>
      </c>
      <c r="F813" s="11">
        <f>DATE(61,9,28)</f>
        <v>22552</v>
      </c>
      <c r="G813" s="12">
        <f t="shared" ca="1" si="78"/>
        <v>51</v>
      </c>
      <c r="H813" s="12">
        <f t="shared" ca="1" si="79"/>
        <v>-7</v>
      </c>
      <c r="I813" s="13">
        <f t="shared" ca="1" si="80"/>
        <v>-16</v>
      </c>
      <c r="J813" s="14">
        <f t="shared" ca="1" si="77"/>
        <v>50</v>
      </c>
      <c r="K813" s="12" t="s">
        <v>41</v>
      </c>
      <c r="L813" s="12">
        <v>64</v>
      </c>
      <c r="M813" s="12" t="s">
        <v>40</v>
      </c>
      <c r="N813" s="12">
        <v>176</v>
      </c>
    </row>
    <row r="814" spans="1:15">
      <c r="A814" s="12">
        <f t="shared" si="81"/>
        <v>812</v>
      </c>
      <c r="B814" s="12" t="s">
        <v>8</v>
      </c>
      <c r="C814" s="12" t="s">
        <v>643</v>
      </c>
      <c r="D814" s="12" t="s">
        <v>274</v>
      </c>
      <c r="E814" s="89">
        <f t="shared" ca="1" si="82"/>
        <v>40951</v>
      </c>
      <c r="F814" s="11">
        <f>DATE(87,2,9)</f>
        <v>31817</v>
      </c>
      <c r="G814" s="12">
        <f t="shared" ca="1" si="78"/>
        <v>25</v>
      </c>
      <c r="H814" s="12">
        <f t="shared" ca="1" si="79"/>
        <v>0</v>
      </c>
      <c r="I814" s="13">
        <f t="shared" ca="1" si="80"/>
        <v>3</v>
      </c>
      <c r="J814" s="14">
        <f t="shared" ca="1" si="77"/>
        <v>25</v>
      </c>
      <c r="K814" s="12" t="s">
        <v>41</v>
      </c>
      <c r="L814" s="12">
        <v>64</v>
      </c>
      <c r="M814" s="12" t="s">
        <v>44</v>
      </c>
      <c r="N814" s="12">
        <v>176</v>
      </c>
    </row>
    <row r="815" spans="1:15">
      <c r="A815" s="12">
        <f t="shared" si="81"/>
        <v>813</v>
      </c>
      <c r="B815" s="12" t="s">
        <v>8</v>
      </c>
      <c r="C815" s="12" t="s">
        <v>350</v>
      </c>
      <c r="D815" s="12" t="s">
        <v>274</v>
      </c>
      <c r="E815" s="89">
        <f t="shared" ca="1" si="82"/>
        <v>40951</v>
      </c>
      <c r="F815" s="11">
        <f>DATE(94,7,20)</f>
        <v>34535</v>
      </c>
      <c r="G815" s="12">
        <f t="shared" ca="1" si="78"/>
        <v>18</v>
      </c>
      <c r="H815" s="12">
        <f t="shared" ca="1" si="79"/>
        <v>-5</v>
      </c>
      <c r="I815" s="13">
        <f t="shared" ca="1" si="80"/>
        <v>-8</v>
      </c>
      <c r="J815" s="14">
        <f t="shared" ca="1" si="77"/>
        <v>17</v>
      </c>
      <c r="K815" s="12" t="s">
        <v>41</v>
      </c>
      <c r="L815" s="12">
        <v>64</v>
      </c>
      <c r="M815" s="12" t="s">
        <v>44</v>
      </c>
      <c r="N815" s="12">
        <v>176</v>
      </c>
    </row>
    <row r="816" spans="1:15">
      <c r="A816" s="12">
        <f t="shared" si="81"/>
        <v>814</v>
      </c>
      <c r="B816" s="12" t="s">
        <v>8</v>
      </c>
      <c r="C816" s="12" t="s">
        <v>644</v>
      </c>
      <c r="D816" s="12" t="s">
        <v>645</v>
      </c>
      <c r="E816" s="89">
        <f t="shared" ca="1" si="82"/>
        <v>40951</v>
      </c>
      <c r="F816" s="32"/>
      <c r="G816" s="12">
        <f t="shared" ca="1" si="78"/>
        <v>112</v>
      </c>
      <c r="H816" s="12">
        <f t="shared" ca="1" si="79"/>
        <v>1</v>
      </c>
      <c r="I816" s="13">
        <f t="shared" ca="1" si="80"/>
        <v>12</v>
      </c>
      <c r="J816" s="14">
        <f t="shared" ca="1" si="77"/>
        <v>112</v>
      </c>
      <c r="K816" s="12" t="s">
        <v>40</v>
      </c>
      <c r="L816" s="12">
        <v>65</v>
      </c>
      <c r="M816" s="12" t="s">
        <v>40</v>
      </c>
      <c r="N816" s="12">
        <v>177</v>
      </c>
      <c r="O816" s="90" t="s">
        <v>2748</v>
      </c>
    </row>
    <row r="817" spans="1:15">
      <c r="A817" s="12">
        <f t="shared" si="81"/>
        <v>815</v>
      </c>
      <c r="B817" s="12" t="s">
        <v>8</v>
      </c>
      <c r="C817" s="12" t="s">
        <v>261</v>
      </c>
      <c r="D817" s="12" t="s">
        <v>646</v>
      </c>
      <c r="E817" s="89">
        <f t="shared" ca="1" si="82"/>
        <v>40951</v>
      </c>
      <c r="F817" s="32"/>
      <c r="G817" s="12">
        <f t="shared" ca="1" si="78"/>
        <v>112</v>
      </c>
      <c r="H817" s="12">
        <f t="shared" ca="1" si="79"/>
        <v>1</v>
      </c>
      <c r="I817" s="13">
        <f t="shared" ca="1" si="80"/>
        <v>12</v>
      </c>
      <c r="J817" s="14">
        <f t="shared" ca="1" si="77"/>
        <v>112</v>
      </c>
      <c r="K817" s="12" t="s">
        <v>41</v>
      </c>
      <c r="L817" s="12">
        <v>65</v>
      </c>
      <c r="M817" s="12" t="s">
        <v>40</v>
      </c>
      <c r="N817" s="12">
        <v>177</v>
      </c>
    </row>
    <row r="818" spans="1:15">
      <c r="A818" s="12">
        <f t="shared" si="81"/>
        <v>816</v>
      </c>
      <c r="B818" s="12" t="s">
        <v>8</v>
      </c>
      <c r="C818" s="12" t="s">
        <v>647</v>
      </c>
      <c r="D818" s="12" t="s">
        <v>645</v>
      </c>
      <c r="E818" s="89">
        <f t="shared" ca="1" si="82"/>
        <v>40951</v>
      </c>
      <c r="F818" s="32"/>
      <c r="G818" s="12">
        <f t="shared" ca="1" si="78"/>
        <v>112</v>
      </c>
      <c r="H818" s="12">
        <f t="shared" ca="1" si="79"/>
        <v>1</v>
      </c>
      <c r="I818" s="13">
        <f t="shared" ca="1" si="80"/>
        <v>12</v>
      </c>
      <c r="J818" s="14">
        <f t="shared" ca="1" si="77"/>
        <v>112</v>
      </c>
      <c r="K818" s="12" t="s">
        <v>41</v>
      </c>
      <c r="L818" s="12">
        <v>65</v>
      </c>
      <c r="M818" s="12" t="s">
        <v>40</v>
      </c>
      <c r="N818" s="12">
        <v>177</v>
      </c>
    </row>
    <row r="819" spans="1:15">
      <c r="A819" s="12">
        <f t="shared" si="81"/>
        <v>817</v>
      </c>
      <c r="B819" s="12" t="s">
        <v>8</v>
      </c>
      <c r="C819" s="12" t="s">
        <v>648</v>
      </c>
      <c r="D819" s="12" t="s">
        <v>546</v>
      </c>
      <c r="E819" s="89">
        <f t="shared" ca="1" si="82"/>
        <v>40951</v>
      </c>
      <c r="F819" s="11">
        <f>DATE(50,20,23)</f>
        <v>18863</v>
      </c>
      <c r="G819" s="12">
        <f t="shared" ca="1" si="78"/>
        <v>61</v>
      </c>
      <c r="H819" s="12">
        <f t="shared" ca="1" si="79"/>
        <v>-6</v>
      </c>
      <c r="I819" s="13">
        <f t="shared" ca="1" si="80"/>
        <v>-11</v>
      </c>
      <c r="J819" s="14">
        <f t="shared" ca="1" si="77"/>
        <v>60</v>
      </c>
      <c r="K819" s="12" t="s">
        <v>40</v>
      </c>
      <c r="L819" s="12">
        <v>65</v>
      </c>
      <c r="M819" s="12" t="s">
        <v>40</v>
      </c>
      <c r="N819" s="12">
        <v>178</v>
      </c>
      <c r="O819" s="90" t="s">
        <v>2748</v>
      </c>
    </row>
    <row r="820" spans="1:15">
      <c r="A820" s="12">
        <f t="shared" si="81"/>
        <v>818</v>
      </c>
      <c r="B820" s="12" t="s">
        <v>8</v>
      </c>
      <c r="C820" s="12" t="s">
        <v>649</v>
      </c>
      <c r="D820" s="12" t="s">
        <v>648</v>
      </c>
      <c r="E820" s="89">
        <f t="shared" ca="1" si="82"/>
        <v>40951</v>
      </c>
      <c r="F820" s="11">
        <f>DATE(54,1,21)</f>
        <v>19745</v>
      </c>
      <c r="G820" s="12">
        <f t="shared" ca="1" si="78"/>
        <v>58</v>
      </c>
      <c r="H820" s="12">
        <f t="shared" ca="1" si="79"/>
        <v>1</v>
      </c>
      <c r="I820" s="13">
        <f t="shared" ca="1" si="80"/>
        <v>-9</v>
      </c>
      <c r="J820" s="14">
        <f t="shared" ca="1" si="77"/>
        <v>58</v>
      </c>
      <c r="K820" s="12" t="s">
        <v>41</v>
      </c>
      <c r="L820" s="12">
        <v>65</v>
      </c>
      <c r="M820" s="12" t="s">
        <v>40</v>
      </c>
      <c r="N820" s="12">
        <v>178</v>
      </c>
    </row>
    <row r="821" spans="1:15">
      <c r="A821" s="12">
        <f t="shared" si="81"/>
        <v>819</v>
      </c>
      <c r="B821" s="12" t="s">
        <v>8</v>
      </c>
      <c r="C821" s="12" t="s">
        <v>228</v>
      </c>
      <c r="D821" s="12" t="s">
        <v>648</v>
      </c>
      <c r="E821" s="89">
        <f t="shared" ca="1" si="82"/>
        <v>40951</v>
      </c>
      <c r="F821" s="11">
        <f>DATE(79,8,25)</f>
        <v>29092</v>
      </c>
      <c r="G821" s="12">
        <f t="shared" ca="1" si="78"/>
        <v>33</v>
      </c>
      <c r="H821" s="12">
        <f t="shared" ca="1" si="79"/>
        <v>-6</v>
      </c>
      <c r="I821" s="13">
        <f t="shared" ca="1" si="80"/>
        <v>-13</v>
      </c>
      <c r="J821" s="14">
        <f t="shared" ca="1" si="77"/>
        <v>32</v>
      </c>
      <c r="K821" s="12" t="s">
        <v>40</v>
      </c>
      <c r="L821" s="12">
        <v>65</v>
      </c>
      <c r="M821" s="12" t="s">
        <v>44</v>
      </c>
      <c r="N821" s="12">
        <v>178</v>
      </c>
    </row>
    <row r="822" spans="1:15">
      <c r="A822" s="12">
        <f t="shared" si="81"/>
        <v>820</v>
      </c>
      <c r="B822" s="12" t="s">
        <v>8</v>
      </c>
      <c r="C822" s="12" t="s">
        <v>648</v>
      </c>
      <c r="D822" s="12" t="s">
        <v>134</v>
      </c>
      <c r="E822" s="89">
        <f t="shared" ca="1" si="82"/>
        <v>40951</v>
      </c>
      <c r="F822" s="32"/>
      <c r="G822" s="12">
        <f t="shared" ca="1" si="78"/>
        <v>112</v>
      </c>
      <c r="H822" s="12">
        <f t="shared" ca="1" si="79"/>
        <v>1</v>
      </c>
      <c r="I822" s="13">
        <f t="shared" ca="1" si="80"/>
        <v>12</v>
      </c>
      <c r="J822" s="14">
        <f t="shared" ca="1" si="77"/>
        <v>112</v>
      </c>
      <c r="K822" s="12" t="s">
        <v>40</v>
      </c>
      <c r="L822" s="12">
        <v>65</v>
      </c>
      <c r="M822" s="12" t="s">
        <v>40</v>
      </c>
      <c r="N822" s="12">
        <v>179</v>
      </c>
      <c r="O822" s="90" t="s">
        <v>2748</v>
      </c>
    </row>
    <row r="823" spans="1:15">
      <c r="A823" s="12">
        <f t="shared" si="81"/>
        <v>821</v>
      </c>
      <c r="B823" s="12" t="s">
        <v>8</v>
      </c>
      <c r="C823" s="12" t="s">
        <v>650</v>
      </c>
      <c r="D823" s="12" t="s">
        <v>648</v>
      </c>
      <c r="E823" s="89">
        <f t="shared" ca="1" si="82"/>
        <v>40951</v>
      </c>
      <c r="F823" s="32"/>
      <c r="G823" s="12">
        <f t="shared" ca="1" si="78"/>
        <v>112</v>
      </c>
      <c r="H823" s="12">
        <f t="shared" ca="1" si="79"/>
        <v>1</v>
      </c>
      <c r="I823" s="13">
        <f t="shared" ca="1" si="80"/>
        <v>12</v>
      </c>
      <c r="J823" s="14">
        <f t="shared" ca="1" si="77"/>
        <v>112</v>
      </c>
      <c r="K823" s="12" t="s">
        <v>41</v>
      </c>
      <c r="L823" s="12">
        <v>65</v>
      </c>
      <c r="M823" s="12" t="s">
        <v>40</v>
      </c>
      <c r="N823" s="12">
        <v>179</v>
      </c>
    </row>
    <row r="824" spans="1:15">
      <c r="A824" s="12">
        <f t="shared" si="81"/>
        <v>822</v>
      </c>
      <c r="B824" s="12" t="s">
        <v>8</v>
      </c>
      <c r="C824" s="12" t="s">
        <v>651</v>
      </c>
      <c r="D824" s="12" t="s">
        <v>648</v>
      </c>
      <c r="E824" s="89">
        <f t="shared" ca="1" si="82"/>
        <v>40951</v>
      </c>
      <c r="F824" s="32"/>
      <c r="G824" s="12">
        <f t="shared" ca="1" si="78"/>
        <v>112</v>
      </c>
      <c r="H824" s="12">
        <f t="shared" ca="1" si="79"/>
        <v>1</v>
      </c>
      <c r="I824" s="13">
        <f t="shared" ca="1" si="80"/>
        <v>12</v>
      </c>
      <c r="J824" s="14">
        <f t="shared" ca="1" si="77"/>
        <v>112</v>
      </c>
      <c r="K824" s="12" t="s">
        <v>40</v>
      </c>
      <c r="L824" s="12">
        <v>65</v>
      </c>
      <c r="M824" s="12" t="s">
        <v>40</v>
      </c>
      <c r="N824" s="12">
        <v>179</v>
      </c>
    </row>
    <row r="825" spans="1:15">
      <c r="A825" s="12">
        <f t="shared" si="81"/>
        <v>823</v>
      </c>
      <c r="B825" s="12" t="s">
        <v>8</v>
      </c>
      <c r="C825" s="12" t="s">
        <v>565</v>
      </c>
      <c r="D825" s="12" t="s">
        <v>651</v>
      </c>
      <c r="E825" s="89">
        <f t="shared" ca="1" si="82"/>
        <v>40951</v>
      </c>
      <c r="F825" s="32"/>
      <c r="G825" s="12">
        <f t="shared" ca="1" si="78"/>
        <v>112</v>
      </c>
      <c r="H825" s="12">
        <f t="shared" ca="1" si="79"/>
        <v>1</v>
      </c>
      <c r="I825" s="13">
        <f t="shared" ca="1" si="80"/>
        <v>12</v>
      </c>
      <c r="J825" s="14">
        <f t="shared" ca="1" si="77"/>
        <v>112</v>
      </c>
      <c r="K825" s="12" t="s">
        <v>41</v>
      </c>
      <c r="L825" s="12">
        <v>65</v>
      </c>
      <c r="M825" s="12" t="s">
        <v>40</v>
      </c>
      <c r="N825" s="12">
        <v>179</v>
      </c>
    </row>
    <row r="826" spans="1:15">
      <c r="A826" s="12">
        <f t="shared" si="81"/>
        <v>824</v>
      </c>
      <c r="B826" s="12" t="s">
        <v>8</v>
      </c>
      <c r="C826" s="12" t="s">
        <v>75</v>
      </c>
      <c r="D826" s="12" t="s">
        <v>651</v>
      </c>
      <c r="E826" s="89">
        <f t="shared" ca="1" si="82"/>
        <v>40951</v>
      </c>
      <c r="F826" s="32"/>
      <c r="G826" s="12">
        <f t="shared" ca="1" si="78"/>
        <v>112</v>
      </c>
      <c r="H826" s="12">
        <f t="shared" ca="1" si="79"/>
        <v>1</v>
      </c>
      <c r="I826" s="13">
        <f t="shared" ca="1" si="80"/>
        <v>12</v>
      </c>
      <c r="J826" s="14">
        <f t="shared" ca="1" si="77"/>
        <v>112</v>
      </c>
      <c r="K826" s="12" t="s">
        <v>41</v>
      </c>
      <c r="L826" s="12">
        <v>65</v>
      </c>
      <c r="M826" s="12" t="s">
        <v>44</v>
      </c>
      <c r="N826" s="12">
        <v>179</v>
      </c>
    </row>
    <row r="827" spans="1:15">
      <c r="A827" s="12">
        <f t="shared" si="81"/>
        <v>825</v>
      </c>
      <c r="B827" s="12" t="s">
        <v>8</v>
      </c>
      <c r="C827" s="12" t="s">
        <v>430</v>
      </c>
      <c r="D827" s="12" t="s">
        <v>648</v>
      </c>
      <c r="E827" s="89">
        <f t="shared" ca="1" si="82"/>
        <v>40951</v>
      </c>
      <c r="F827" s="32"/>
      <c r="G827" s="12">
        <f t="shared" ca="1" si="78"/>
        <v>112</v>
      </c>
      <c r="H827" s="12">
        <f t="shared" ca="1" si="79"/>
        <v>1</v>
      </c>
      <c r="I827" s="13">
        <f t="shared" ca="1" si="80"/>
        <v>12</v>
      </c>
      <c r="J827" s="14">
        <f t="shared" ca="1" si="77"/>
        <v>112</v>
      </c>
      <c r="K827" s="12" t="s">
        <v>41</v>
      </c>
      <c r="L827" s="12">
        <v>65</v>
      </c>
      <c r="M827" s="12" t="s">
        <v>44</v>
      </c>
      <c r="N827" s="12">
        <v>179</v>
      </c>
    </row>
    <row r="828" spans="1:15">
      <c r="A828" s="12">
        <f t="shared" si="81"/>
        <v>826</v>
      </c>
      <c r="B828" s="12" t="s">
        <v>8</v>
      </c>
      <c r="C828" s="12" t="s">
        <v>648</v>
      </c>
      <c r="D828" s="12" t="s">
        <v>77</v>
      </c>
      <c r="E828" s="89">
        <f t="shared" ca="1" si="82"/>
        <v>40951</v>
      </c>
      <c r="F828" s="11">
        <f>DATE(53,10,20)</f>
        <v>19652</v>
      </c>
      <c r="G828" s="12">
        <f t="shared" ca="1" si="78"/>
        <v>59</v>
      </c>
      <c r="H828" s="12">
        <f t="shared" ca="1" si="79"/>
        <v>-8</v>
      </c>
      <c r="I828" s="13">
        <f t="shared" ca="1" si="80"/>
        <v>-8</v>
      </c>
      <c r="J828" s="14">
        <f t="shared" ca="1" si="77"/>
        <v>58</v>
      </c>
      <c r="K828" s="12" t="s">
        <v>40</v>
      </c>
      <c r="L828" s="12">
        <v>66</v>
      </c>
      <c r="M828" s="12" t="s">
        <v>40</v>
      </c>
      <c r="N828" s="12">
        <v>180</v>
      </c>
      <c r="O828" s="90" t="s">
        <v>2748</v>
      </c>
    </row>
    <row r="829" spans="1:15">
      <c r="A829" s="12">
        <f t="shared" si="81"/>
        <v>827</v>
      </c>
      <c r="B829" s="12" t="s">
        <v>8</v>
      </c>
      <c r="C829" s="12" t="s">
        <v>115</v>
      </c>
      <c r="D829" s="12" t="s">
        <v>648</v>
      </c>
      <c r="E829" s="89">
        <f t="shared" ca="1" si="82"/>
        <v>40951</v>
      </c>
      <c r="F829" s="11">
        <f>DATE(57,6,16)</f>
        <v>20987</v>
      </c>
      <c r="G829" s="12">
        <f t="shared" ca="1" si="78"/>
        <v>55</v>
      </c>
      <c r="H829" s="12">
        <f t="shared" ca="1" si="79"/>
        <v>-4</v>
      </c>
      <c r="I829" s="13">
        <f t="shared" ca="1" si="80"/>
        <v>-4</v>
      </c>
      <c r="J829" s="14">
        <f t="shared" ca="1" si="77"/>
        <v>54</v>
      </c>
      <c r="K829" s="12" t="s">
        <v>41</v>
      </c>
      <c r="L829" s="12">
        <v>66</v>
      </c>
      <c r="M829" s="12" t="s">
        <v>40</v>
      </c>
      <c r="N829" s="12">
        <v>180</v>
      </c>
    </row>
    <row r="830" spans="1:15">
      <c r="A830" s="12">
        <f t="shared" si="81"/>
        <v>828</v>
      </c>
      <c r="B830" s="12" t="s">
        <v>8</v>
      </c>
      <c r="C830" s="12" t="s">
        <v>652</v>
      </c>
      <c r="D830" s="12" t="s">
        <v>648</v>
      </c>
      <c r="E830" s="89">
        <f t="shared" ca="1" si="82"/>
        <v>40951</v>
      </c>
      <c r="F830" s="11">
        <f>DATE(82,4,22)</f>
        <v>30063</v>
      </c>
      <c r="G830" s="12">
        <f t="shared" ca="1" si="78"/>
        <v>30</v>
      </c>
      <c r="H830" s="12">
        <f t="shared" ca="1" si="79"/>
        <v>-2</v>
      </c>
      <c r="I830" s="13">
        <f t="shared" ca="1" si="80"/>
        <v>-10</v>
      </c>
      <c r="J830" s="14">
        <f t="shared" ca="1" si="77"/>
        <v>29</v>
      </c>
      <c r="K830" s="12" t="s">
        <v>40</v>
      </c>
      <c r="L830" s="12">
        <v>66</v>
      </c>
      <c r="M830" s="12" t="s">
        <v>44</v>
      </c>
      <c r="N830" s="12">
        <v>180</v>
      </c>
    </row>
    <row r="831" spans="1:15">
      <c r="A831" s="12">
        <f t="shared" si="81"/>
        <v>829</v>
      </c>
      <c r="B831" s="12" t="s">
        <v>8</v>
      </c>
      <c r="C831" s="12" t="s">
        <v>276</v>
      </c>
      <c r="D831" s="12" t="s">
        <v>648</v>
      </c>
      <c r="E831" s="89">
        <f t="shared" ca="1" si="82"/>
        <v>40951</v>
      </c>
      <c r="F831" s="11">
        <f>DATE(84,7,16)</f>
        <v>30879</v>
      </c>
      <c r="G831" s="12">
        <f t="shared" ca="1" si="78"/>
        <v>28</v>
      </c>
      <c r="H831" s="12">
        <f t="shared" ca="1" si="79"/>
        <v>-5</v>
      </c>
      <c r="I831" s="13">
        <f t="shared" ca="1" si="80"/>
        <v>-4</v>
      </c>
      <c r="J831" s="14">
        <f t="shared" ca="1" si="77"/>
        <v>27</v>
      </c>
      <c r="K831" s="12" t="s">
        <v>40</v>
      </c>
      <c r="L831" s="12">
        <v>66</v>
      </c>
      <c r="M831" s="12" t="s">
        <v>44</v>
      </c>
      <c r="N831" s="12">
        <v>180</v>
      </c>
    </row>
    <row r="832" spans="1:15">
      <c r="A832" s="12">
        <f t="shared" si="81"/>
        <v>830</v>
      </c>
      <c r="B832" s="12" t="s">
        <v>8</v>
      </c>
      <c r="C832" s="12" t="s">
        <v>653</v>
      </c>
      <c r="D832" s="12" t="s">
        <v>648</v>
      </c>
      <c r="E832" s="89">
        <f t="shared" ca="1" si="82"/>
        <v>40951</v>
      </c>
      <c r="F832" s="11">
        <f>DATE(90,7,24)</f>
        <v>33078</v>
      </c>
      <c r="G832" s="12">
        <f t="shared" ca="1" si="78"/>
        <v>22</v>
      </c>
      <c r="H832" s="12">
        <f t="shared" ca="1" si="79"/>
        <v>-5</v>
      </c>
      <c r="I832" s="13">
        <f t="shared" ca="1" si="80"/>
        <v>-12</v>
      </c>
      <c r="J832" s="14">
        <f t="shared" ca="1" si="77"/>
        <v>21</v>
      </c>
      <c r="K832" s="12" t="s">
        <v>41</v>
      </c>
      <c r="L832" s="12">
        <v>66</v>
      </c>
      <c r="M832" s="12" t="s">
        <v>44</v>
      </c>
      <c r="N832" s="12">
        <v>180</v>
      </c>
    </row>
    <row r="833" spans="1:15">
      <c r="A833" s="12">
        <f t="shared" si="81"/>
        <v>831</v>
      </c>
      <c r="B833" s="12" t="s">
        <v>8</v>
      </c>
      <c r="C833" s="12" t="s">
        <v>509</v>
      </c>
      <c r="D833" s="12" t="s">
        <v>198</v>
      </c>
      <c r="E833" s="89">
        <f t="shared" ca="1" si="82"/>
        <v>40951</v>
      </c>
      <c r="F833" s="32"/>
      <c r="G833" s="12">
        <f t="shared" ca="1" si="78"/>
        <v>112</v>
      </c>
      <c r="H833" s="12">
        <f t="shared" ca="1" si="79"/>
        <v>1</v>
      </c>
      <c r="I833" s="13">
        <f t="shared" ca="1" si="80"/>
        <v>12</v>
      </c>
      <c r="J833" s="14">
        <f t="shared" ca="1" si="77"/>
        <v>112</v>
      </c>
      <c r="K833" s="12" t="s">
        <v>40</v>
      </c>
      <c r="L833" s="12">
        <v>66</v>
      </c>
      <c r="M833" s="12" t="s">
        <v>40</v>
      </c>
      <c r="N833" s="12">
        <v>181</v>
      </c>
      <c r="O833" s="90" t="s">
        <v>2748</v>
      </c>
    </row>
    <row r="834" spans="1:15">
      <c r="A834" s="12">
        <f t="shared" si="81"/>
        <v>832</v>
      </c>
      <c r="B834" s="12" t="s">
        <v>8</v>
      </c>
      <c r="C834" s="12" t="s">
        <v>252</v>
      </c>
      <c r="D834" s="12" t="s">
        <v>509</v>
      </c>
      <c r="E834" s="89">
        <f t="shared" ca="1" si="82"/>
        <v>40951</v>
      </c>
      <c r="F834" s="11">
        <f>DATE(59,10,18)</f>
        <v>21841</v>
      </c>
      <c r="G834" s="12">
        <f t="shared" ca="1" si="78"/>
        <v>53</v>
      </c>
      <c r="H834" s="12">
        <f t="shared" ca="1" si="79"/>
        <v>-8</v>
      </c>
      <c r="I834" s="13">
        <f t="shared" ca="1" si="80"/>
        <v>-6</v>
      </c>
      <c r="J834" s="14">
        <f t="shared" ca="1" si="77"/>
        <v>52</v>
      </c>
      <c r="K834" s="12" t="s">
        <v>41</v>
      </c>
      <c r="L834" s="12">
        <v>66</v>
      </c>
      <c r="M834" s="12" t="s">
        <v>40</v>
      </c>
      <c r="N834" s="12">
        <v>181</v>
      </c>
    </row>
    <row r="835" spans="1:15">
      <c r="A835" s="12">
        <f t="shared" si="81"/>
        <v>833</v>
      </c>
      <c r="B835" s="12" t="s">
        <v>8</v>
      </c>
      <c r="C835" s="12" t="s">
        <v>105</v>
      </c>
      <c r="D835" s="12" t="s">
        <v>509</v>
      </c>
      <c r="E835" s="89">
        <f t="shared" ca="1" si="82"/>
        <v>40951</v>
      </c>
      <c r="F835" s="11">
        <f>DATE(87,4,28)</f>
        <v>31895</v>
      </c>
      <c r="G835" s="12">
        <f t="shared" ca="1" si="78"/>
        <v>25</v>
      </c>
      <c r="H835" s="12">
        <f t="shared" ca="1" si="79"/>
        <v>-2</v>
      </c>
      <c r="I835" s="13">
        <f t="shared" ca="1" si="80"/>
        <v>-16</v>
      </c>
      <c r="J835" s="14">
        <f t="shared" ref="J835:J898" ca="1" si="83">IF(H835&lt;0,G835-1,IF(H835&gt;0,G835,IF(I835&lt;0,G835-1,G835)))</f>
        <v>24</v>
      </c>
      <c r="K835" s="12" t="s">
        <v>41</v>
      </c>
      <c r="L835" s="12">
        <v>66</v>
      </c>
      <c r="M835" s="12" t="s">
        <v>44</v>
      </c>
      <c r="N835" s="12">
        <v>181</v>
      </c>
    </row>
    <row r="836" spans="1:15">
      <c r="A836" s="12">
        <f t="shared" si="81"/>
        <v>834</v>
      </c>
      <c r="B836" s="12" t="s">
        <v>8</v>
      </c>
      <c r="C836" s="12" t="s">
        <v>377</v>
      </c>
      <c r="D836" s="12" t="s">
        <v>509</v>
      </c>
      <c r="E836" s="89">
        <f t="shared" ca="1" si="82"/>
        <v>40951</v>
      </c>
      <c r="F836" s="11">
        <f>DATE(87,7,13)</f>
        <v>31971</v>
      </c>
      <c r="G836" s="12">
        <f t="shared" ca="1" si="78"/>
        <v>25</v>
      </c>
      <c r="H836" s="12">
        <f t="shared" ca="1" si="79"/>
        <v>-5</v>
      </c>
      <c r="I836" s="13">
        <f t="shared" ca="1" si="80"/>
        <v>-1</v>
      </c>
      <c r="J836" s="14">
        <f t="shared" ca="1" si="83"/>
        <v>24</v>
      </c>
      <c r="K836" s="12" t="s">
        <v>40</v>
      </c>
      <c r="L836" s="12">
        <v>66</v>
      </c>
      <c r="M836" s="12" t="s">
        <v>44</v>
      </c>
      <c r="N836" s="12">
        <v>181</v>
      </c>
    </row>
    <row r="837" spans="1:15">
      <c r="A837" s="12">
        <f t="shared" si="81"/>
        <v>835</v>
      </c>
      <c r="B837" s="12" t="s">
        <v>8</v>
      </c>
      <c r="C837" s="12" t="s">
        <v>100</v>
      </c>
      <c r="D837" s="12" t="s">
        <v>509</v>
      </c>
      <c r="E837" s="89">
        <f t="shared" ca="1" si="82"/>
        <v>40951</v>
      </c>
      <c r="F837" s="11">
        <f>DATE(88,9,22)</f>
        <v>32408</v>
      </c>
      <c r="G837" s="12">
        <f t="shared" ca="1" si="78"/>
        <v>24</v>
      </c>
      <c r="H837" s="12">
        <f t="shared" ca="1" si="79"/>
        <v>-7</v>
      </c>
      <c r="I837" s="13">
        <f t="shared" ca="1" si="80"/>
        <v>-10</v>
      </c>
      <c r="J837" s="14">
        <f t="shared" ca="1" si="83"/>
        <v>23</v>
      </c>
      <c r="K837" s="12" t="s">
        <v>41</v>
      </c>
      <c r="L837" s="12">
        <v>66</v>
      </c>
      <c r="M837" s="12" t="s">
        <v>44</v>
      </c>
      <c r="N837" s="12">
        <v>181</v>
      </c>
    </row>
    <row r="838" spans="1:15">
      <c r="A838" s="12">
        <f t="shared" si="81"/>
        <v>836</v>
      </c>
      <c r="B838" s="12" t="s">
        <v>8</v>
      </c>
      <c r="C838" s="12" t="s">
        <v>538</v>
      </c>
      <c r="D838" s="12" t="s">
        <v>198</v>
      </c>
      <c r="E838" s="89">
        <f t="shared" ca="1" si="82"/>
        <v>40951</v>
      </c>
      <c r="F838" s="32"/>
      <c r="G838" s="12">
        <f t="shared" ca="1" si="78"/>
        <v>112</v>
      </c>
      <c r="H838" s="12">
        <f t="shared" ca="1" si="79"/>
        <v>1</v>
      </c>
      <c r="I838" s="13">
        <f t="shared" ca="1" si="80"/>
        <v>12</v>
      </c>
      <c r="J838" s="14">
        <f t="shared" ca="1" si="83"/>
        <v>112</v>
      </c>
      <c r="K838" s="12" t="s">
        <v>41</v>
      </c>
      <c r="L838" s="12">
        <v>66</v>
      </c>
      <c r="M838" s="12" t="s">
        <v>40</v>
      </c>
      <c r="N838" s="12">
        <v>181</v>
      </c>
    </row>
    <row r="839" spans="1:15">
      <c r="A839" s="12">
        <f t="shared" si="81"/>
        <v>837</v>
      </c>
      <c r="B839" s="12" t="s">
        <v>8</v>
      </c>
      <c r="C839" s="12" t="s">
        <v>634</v>
      </c>
      <c r="D839" s="12" t="s">
        <v>198</v>
      </c>
      <c r="E839" s="89">
        <f t="shared" ca="1" si="82"/>
        <v>40951</v>
      </c>
      <c r="F839" s="11">
        <f>DATE(52,6,24)</f>
        <v>19169</v>
      </c>
      <c r="G839" s="12">
        <f t="shared" ca="1" si="78"/>
        <v>60</v>
      </c>
      <c r="H839" s="12">
        <f t="shared" ca="1" si="79"/>
        <v>-4</v>
      </c>
      <c r="I839" s="13">
        <f t="shared" ca="1" si="80"/>
        <v>-12</v>
      </c>
      <c r="J839" s="14">
        <f t="shared" ca="1" si="83"/>
        <v>59</v>
      </c>
      <c r="K839" s="12" t="s">
        <v>41</v>
      </c>
      <c r="L839" s="12">
        <v>66</v>
      </c>
      <c r="M839" s="12" t="s">
        <v>44</v>
      </c>
      <c r="N839" s="12">
        <v>182</v>
      </c>
      <c r="O839" s="90" t="s">
        <v>2748</v>
      </c>
    </row>
    <row r="840" spans="1:15">
      <c r="A840" s="12">
        <f t="shared" si="81"/>
        <v>838</v>
      </c>
      <c r="B840" s="12" t="s">
        <v>8</v>
      </c>
      <c r="C840" s="12" t="s">
        <v>503</v>
      </c>
      <c r="D840" s="12" t="s">
        <v>391</v>
      </c>
      <c r="E840" s="89">
        <f t="shared" ca="1" si="82"/>
        <v>40951</v>
      </c>
      <c r="F840" s="32"/>
      <c r="G840" s="12">
        <f t="shared" ca="1" si="78"/>
        <v>112</v>
      </c>
      <c r="H840" s="12">
        <f t="shared" ca="1" si="79"/>
        <v>1</v>
      </c>
      <c r="I840" s="13">
        <f t="shared" ca="1" si="80"/>
        <v>12</v>
      </c>
      <c r="J840" s="14">
        <f t="shared" ca="1" si="83"/>
        <v>112</v>
      </c>
      <c r="K840" s="12" t="s">
        <v>41</v>
      </c>
      <c r="L840" s="12">
        <v>67</v>
      </c>
      <c r="M840" s="12" t="s">
        <v>40</v>
      </c>
      <c r="N840" s="12">
        <v>183</v>
      </c>
      <c r="O840" s="90" t="s">
        <v>2748</v>
      </c>
    </row>
    <row r="841" spans="1:15">
      <c r="A841" s="12">
        <f t="shared" si="81"/>
        <v>839</v>
      </c>
      <c r="B841" s="12" t="s">
        <v>8</v>
      </c>
      <c r="C841" s="12" t="s">
        <v>654</v>
      </c>
      <c r="D841" s="12" t="s">
        <v>391</v>
      </c>
      <c r="E841" s="89">
        <f t="shared" ca="1" si="82"/>
        <v>40951</v>
      </c>
      <c r="F841" s="11">
        <f>DATE(56,10,8)</f>
        <v>20736</v>
      </c>
      <c r="G841" s="12">
        <f t="shared" ca="1" si="78"/>
        <v>56</v>
      </c>
      <c r="H841" s="12">
        <f t="shared" ca="1" si="79"/>
        <v>-8</v>
      </c>
      <c r="I841" s="13">
        <f t="shared" ca="1" si="80"/>
        <v>4</v>
      </c>
      <c r="J841" s="14">
        <f t="shared" ca="1" si="83"/>
        <v>55</v>
      </c>
      <c r="K841" s="12" t="s">
        <v>40</v>
      </c>
      <c r="L841" s="12">
        <v>67</v>
      </c>
      <c r="M841" s="12" t="s">
        <v>44</v>
      </c>
      <c r="N841" s="12">
        <v>183</v>
      </c>
    </row>
    <row r="842" spans="1:15">
      <c r="A842" s="12">
        <f t="shared" si="81"/>
        <v>840</v>
      </c>
      <c r="B842" s="12" t="s">
        <v>8</v>
      </c>
      <c r="C842" s="12" t="s">
        <v>164</v>
      </c>
      <c r="D842" s="12" t="s">
        <v>391</v>
      </c>
      <c r="E842" s="89">
        <f t="shared" ca="1" si="82"/>
        <v>40951</v>
      </c>
      <c r="F842" s="11">
        <f>DATE(64,6,28)</f>
        <v>23556</v>
      </c>
      <c r="G842" s="12">
        <f t="shared" ca="1" si="78"/>
        <v>48</v>
      </c>
      <c r="H842" s="12">
        <f t="shared" ca="1" si="79"/>
        <v>-4</v>
      </c>
      <c r="I842" s="13">
        <f t="shared" ca="1" si="80"/>
        <v>-16</v>
      </c>
      <c r="J842" s="14">
        <f t="shared" ca="1" si="83"/>
        <v>47</v>
      </c>
      <c r="K842" s="12" t="s">
        <v>40</v>
      </c>
      <c r="L842" s="12">
        <v>67</v>
      </c>
      <c r="M842" s="12" t="s">
        <v>40</v>
      </c>
      <c r="N842" s="12">
        <v>183</v>
      </c>
    </row>
    <row r="843" spans="1:15">
      <c r="A843" s="12">
        <f t="shared" si="81"/>
        <v>841</v>
      </c>
      <c r="B843" s="12" t="s">
        <v>8</v>
      </c>
      <c r="C843" s="12" t="s">
        <v>622</v>
      </c>
      <c r="D843" s="12" t="s">
        <v>164</v>
      </c>
      <c r="E843" s="89">
        <f t="shared" ca="1" si="82"/>
        <v>40951</v>
      </c>
      <c r="F843" s="11">
        <f>DATE(68,9,13)</f>
        <v>25094</v>
      </c>
      <c r="G843" s="12">
        <f t="shared" ca="1" si="78"/>
        <v>44</v>
      </c>
      <c r="H843" s="12">
        <f t="shared" ca="1" si="79"/>
        <v>-7</v>
      </c>
      <c r="I843" s="13">
        <f t="shared" ca="1" si="80"/>
        <v>-1</v>
      </c>
      <c r="J843" s="14">
        <f t="shared" ca="1" si="83"/>
        <v>43</v>
      </c>
      <c r="K843" s="12" t="s">
        <v>41</v>
      </c>
      <c r="L843" s="12">
        <v>67</v>
      </c>
      <c r="M843" s="12" t="s">
        <v>40</v>
      </c>
      <c r="N843" s="12">
        <v>183</v>
      </c>
    </row>
    <row r="844" spans="1:15">
      <c r="A844" s="12">
        <f t="shared" si="81"/>
        <v>842</v>
      </c>
      <c r="B844" s="12" t="s">
        <v>8</v>
      </c>
      <c r="C844" s="12" t="s">
        <v>422</v>
      </c>
      <c r="D844" s="12" t="s">
        <v>164</v>
      </c>
      <c r="E844" s="89">
        <f t="shared" ca="1" si="82"/>
        <v>40951</v>
      </c>
      <c r="F844" s="11">
        <f>DATE(89,7,19)</f>
        <v>32708</v>
      </c>
      <c r="G844" s="12">
        <f t="shared" ca="1" si="78"/>
        <v>23</v>
      </c>
      <c r="H844" s="12">
        <f t="shared" ca="1" si="79"/>
        <v>-5</v>
      </c>
      <c r="I844" s="13">
        <f t="shared" ca="1" si="80"/>
        <v>-7</v>
      </c>
      <c r="J844" s="14">
        <f t="shared" ca="1" si="83"/>
        <v>22</v>
      </c>
      <c r="K844" s="12" t="s">
        <v>41</v>
      </c>
      <c r="L844" s="12">
        <v>67</v>
      </c>
      <c r="M844" s="12" t="s">
        <v>44</v>
      </c>
      <c r="N844" s="12">
        <v>183</v>
      </c>
    </row>
    <row r="845" spans="1:15">
      <c r="A845" s="12">
        <f t="shared" si="81"/>
        <v>843</v>
      </c>
      <c r="B845" s="12" t="s">
        <v>8</v>
      </c>
      <c r="C845" s="12" t="s">
        <v>612</v>
      </c>
      <c r="D845" s="12" t="s">
        <v>164</v>
      </c>
      <c r="E845" s="89">
        <f t="shared" ca="1" si="82"/>
        <v>40951</v>
      </c>
      <c r="F845" s="11">
        <f>DATE(97,6,28)</f>
        <v>35609</v>
      </c>
      <c r="G845" s="12">
        <f t="shared" ca="1" si="78"/>
        <v>15</v>
      </c>
      <c r="H845" s="12">
        <f t="shared" ca="1" si="79"/>
        <v>-4</v>
      </c>
      <c r="I845" s="13">
        <f t="shared" ca="1" si="80"/>
        <v>-16</v>
      </c>
      <c r="J845" s="14">
        <f t="shared" ca="1" si="83"/>
        <v>14</v>
      </c>
      <c r="K845" s="12" t="s">
        <v>40</v>
      </c>
      <c r="L845" s="12">
        <v>67</v>
      </c>
      <c r="M845" s="12" t="s">
        <v>44</v>
      </c>
      <c r="N845" s="12">
        <v>183</v>
      </c>
    </row>
    <row r="846" spans="1:15">
      <c r="A846" s="12">
        <f t="shared" si="81"/>
        <v>844</v>
      </c>
      <c r="B846" s="12" t="s">
        <v>8</v>
      </c>
      <c r="C846" s="12" t="s">
        <v>396</v>
      </c>
      <c r="D846" s="12" t="s">
        <v>391</v>
      </c>
      <c r="E846" s="89">
        <f t="shared" ca="1" si="82"/>
        <v>40951</v>
      </c>
      <c r="F846" s="11">
        <f>DATE(67,8,18)</f>
        <v>24702</v>
      </c>
      <c r="G846" s="12">
        <f t="shared" ca="1" si="78"/>
        <v>45</v>
      </c>
      <c r="H846" s="12">
        <f t="shared" ca="1" si="79"/>
        <v>-6</v>
      </c>
      <c r="I846" s="13">
        <f t="shared" ca="1" si="80"/>
        <v>-6</v>
      </c>
      <c r="J846" s="14">
        <f t="shared" ca="1" si="83"/>
        <v>44</v>
      </c>
      <c r="K846" s="12" t="s">
        <v>40</v>
      </c>
      <c r="L846" s="12">
        <v>67</v>
      </c>
      <c r="M846" s="12" t="s">
        <v>40</v>
      </c>
      <c r="N846" s="12">
        <v>183</v>
      </c>
    </row>
    <row r="847" spans="1:15">
      <c r="A847" s="12">
        <f t="shared" si="81"/>
        <v>845</v>
      </c>
      <c r="B847" s="12" t="s">
        <v>8</v>
      </c>
      <c r="C847" s="12" t="s">
        <v>655</v>
      </c>
      <c r="D847" s="12" t="s">
        <v>396</v>
      </c>
      <c r="E847" s="89">
        <f t="shared" ca="1" si="82"/>
        <v>40951</v>
      </c>
      <c r="F847" s="11">
        <f>DATE(73,1,11)</f>
        <v>26675</v>
      </c>
      <c r="G847" s="12">
        <f t="shared" ca="1" si="78"/>
        <v>39</v>
      </c>
      <c r="H847" s="12">
        <f t="shared" ca="1" si="79"/>
        <v>1</v>
      </c>
      <c r="I847" s="13">
        <f t="shared" ca="1" si="80"/>
        <v>1</v>
      </c>
      <c r="J847" s="14">
        <f t="shared" ca="1" si="83"/>
        <v>39</v>
      </c>
      <c r="K847" s="12" t="s">
        <v>41</v>
      </c>
      <c r="L847" s="12">
        <v>67</v>
      </c>
      <c r="M847" s="12" t="s">
        <v>40</v>
      </c>
      <c r="N847" s="12">
        <v>183</v>
      </c>
    </row>
    <row r="848" spans="1:15">
      <c r="A848" s="12">
        <f t="shared" si="81"/>
        <v>846</v>
      </c>
      <c r="B848" s="12" t="s">
        <v>8</v>
      </c>
      <c r="C848" s="12" t="s">
        <v>257</v>
      </c>
      <c r="D848" s="12" t="s">
        <v>396</v>
      </c>
      <c r="E848" s="89">
        <f t="shared" ca="1" si="82"/>
        <v>40951</v>
      </c>
      <c r="F848" s="11">
        <f>DATE(95,9,19)</f>
        <v>34961</v>
      </c>
      <c r="G848" s="12">
        <f t="shared" ca="1" si="78"/>
        <v>17</v>
      </c>
      <c r="H848" s="12">
        <f t="shared" ca="1" si="79"/>
        <v>-7</v>
      </c>
      <c r="I848" s="13">
        <f t="shared" ca="1" si="80"/>
        <v>-7</v>
      </c>
      <c r="J848" s="14">
        <f t="shared" ca="1" si="83"/>
        <v>16</v>
      </c>
      <c r="K848" s="12" t="s">
        <v>40</v>
      </c>
      <c r="L848" s="12">
        <v>67</v>
      </c>
      <c r="M848" s="12" t="s">
        <v>44</v>
      </c>
      <c r="N848" s="12">
        <v>183</v>
      </c>
    </row>
    <row r="849" spans="1:15">
      <c r="A849" s="12">
        <f t="shared" si="81"/>
        <v>847</v>
      </c>
      <c r="B849" s="12" t="s">
        <v>8</v>
      </c>
      <c r="C849" s="12" t="s">
        <v>164</v>
      </c>
      <c r="D849" s="12" t="s">
        <v>602</v>
      </c>
      <c r="E849" s="89">
        <f t="shared" ca="1" si="82"/>
        <v>40951</v>
      </c>
      <c r="F849" s="11">
        <f>DATE(69,10,25)</f>
        <v>25501</v>
      </c>
      <c r="G849" s="12">
        <f t="shared" ca="1" si="78"/>
        <v>43</v>
      </c>
      <c r="H849" s="12">
        <f t="shared" ca="1" si="79"/>
        <v>-8</v>
      </c>
      <c r="I849" s="13">
        <f t="shared" ca="1" si="80"/>
        <v>-13</v>
      </c>
      <c r="J849" s="14">
        <f t="shared" ca="1" si="83"/>
        <v>42</v>
      </c>
      <c r="K849" s="12" t="s">
        <v>40</v>
      </c>
      <c r="L849" s="12">
        <v>67</v>
      </c>
      <c r="M849" s="12" t="s">
        <v>40</v>
      </c>
      <c r="N849" s="12">
        <v>184</v>
      </c>
      <c r="O849" s="90" t="s">
        <v>2748</v>
      </c>
    </row>
    <row r="850" spans="1:15">
      <c r="A850" s="12">
        <f t="shared" si="81"/>
        <v>848</v>
      </c>
      <c r="B850" s="12" t="s">
        <v>8</v>
      </c>
      <c r="C850" s="12" t="s">
        <v>656</v>
      </c>
      <c r="D850" s="12" t="s">
        <v>164</v>
      </c>
      <c r="E850" s="89">
        <f t="shared" ca="1" si="82"/>
        <v>40951</v>
      </c>
      <c r="F850" s="11">
        <f>DATE(72,12,20)</f>
        <v>26653</v>
      </c>
      <c r="G850" s="12">
        <f t="shared" ca="1" si="78"/>
        <v>40</v>
      </c>
      <c r="H850" s="12">
        <f t="shared" ca="1" si="79"/>
        <v>-10</v>
      </c>
      <c r="I850" s="13">
        <f t="shared" ca="1" si="80"/>
        <v>-8</v>
      </c>
      <c r="J850" s="14">
        <f t="shared" ca="1" si="83"/>
        <v>39</v>
      </c>
      <c r="K850" s="12" t="s">
        <v>41</v>
      </c>
      <c r="L850" s="12">
        <v>67</v>
      </c>
      <c r="M850" s="12" t="s">
        <v>40</v>
      </c>
      <c r="N850" s="12">
        <v>184</v>
      </c>
    </row>
    <row r="851" spans="1:15">
      <c r="A851" s="12">
        <f t="shared" si="81"/>
        <v>849</v>
      </c>
      <c r="B851" s="12" t="s">
        <v>8</v>
      </c>
      <c r="C851" s="12" t="s">
        <v>657</v>
      </c>
      <c r="D851" s="12" t="s">
        <v>164</v>
      </c>
      <c r="E851" s="89">
        <f t="shared" ca="1" si="82"/>
        <v>40951</v>
      </c>
      <c r="F851" s="11">
        <f>DATE(2001,7,1)</f>
        <v>37073</v>
      </c>
      <c r="G851" s="12">
        <f t="shared" ca="1" si="78"/>
        <v>11</v>
      </c>
      <c r="H851" s="12">
        <f t="shared" ca="1" si="79"/>
        <v>-5</v>
      </c>
      <c r="I851" s="13">
        <f t="shared" ca="1" si="80"/>
        <v>11</v>
      </c>
      <c r="J851" s="14">
        <f t="shared" ca="1" si="83"/>
        <v>10</v>
      </c>
      <c r="K851" s="12" t="s">
        <v>41</v>
      </c>
      <c r="L851" s="12">
        <v>67</v>
      </c>
      <c r="M851" s="12" t="s">
        <v>44</v>
      </c>
      <c r="N851" s="12">
        <v>184</v>
      </c>
    </row>
    <row r="852" spans="1:15">
      <c r="A852" s="12">
        <f t="shared" si="81"/>
        <v>850</v>
      </c>
      <c r="B852" s="12" t="s">
        <v>8</v>
      </c>
      <c r="C852" s="12" t="s">
        <v>105</v>
      </c>
      <c r="D852" s="12" t="s">
        <v>164</v>
      </c>
      <c r="E852" s="89">
        <f t="shared" ca="1" si="82"/>
        <v>40951</v>
      </c>
      <c r="F852" s="11">
        <f>DATE(2005,11,25)</f>
        <v>38681</v>
      </c>
      <c r="G852" s="12">
        <f t="shared" ca="1" si="78"/>
        <v>7</v>
      </c>
      <c r="H852" s="12">
        <f t="shared" ca="1" si="79"/>
        <v>-9</v>
      </c>
      <c r="I852" s="13">
        <f t="shared" ca="1" si="80"/>
        <v>-13</v>
      </c>
      <c r="J852" s="14">
        <f t="shared" ca="1" si="83"/>
        <v>6</v>
      </c>
      <c r="K852" s="12" t="s">
        <v>40</v>
      </c>
      <c r="L852" s="12">
        <v>67</v>
      </c>
      <c r="M852" s="12" t="s">
        <v>44</v>
      </c>
      <c r="N852" s="12">
        <v>184</v>
      </c>
    </row>
    <row r="853" spans="1:15">
      <c r="A853" s="12">
        <f t="shared" si="81"/>
        <v>851</v>
      </c>
      <c r="B853" s="12" t="s">
        <v>8</v>
      </c>
      <c r="C853" s="12" t="s">
        <v>249</v>
      </c>
      <c r="D853" s="12" t="s">
        <v>198</v>
      </c>
      <c r="E853" s="89">
        <f t="shared" ca="1" si="82"/>
        <v>40951</v>
      </c>
      <c r="F853" s="11">
        <f>DATE(60,10,29)</f>
        <v>22218</v>
      </c>
      <c r="G853" s="12">
        <f t="shared" ca="1" si="78"/>
        <v>52</v>
      </c>
      <c r="H853" s="12">
        <f t="shared" ca="1" si="79"/>
        <v>-8</v>
      </c>
      <c r="I853" s="13">
        <f t="shared" ca="1" si="80"/>
        <v>-17</v>
      </c>
      <c r="J853" s="14">
        <f t="shared" ca="1" si="83"/>
        <v>51</v>
      </c>
      <c r="K853" s="12" t="s">
        <v>40</v>
      </c>
      <c r="L853" s="12">
        <v>68</v>
      </c>
      <c r="M853" s="12" t="s">
        <v>40</v>
      </c>
      <c r="N853" s="12">
        <v>185</v>
      </c>
      <c r="O853" s="90" t="s">
        <v>2748</v>
      </c>
    </row>
    <row r="854" spans="1:15">
      <c r="A854" s="12">
        <f t="shared" si="81"/>
        <v>852</v>
      </c>
      <c r="B854" s="12" t="s">
        <v>8</v>
      </c>
      <c r="C854" s="12" t="s">
        <v>658</v>
      </c>
      <c r="D854" s="12" t="s">
        <v>249</v>
      </c>
      <c r="E854" s="89">
        <f t="shared" ca="1" si="82"/>
        <v>40951</v>
      </c>
      <c r="F854" s="11">
        <f>DATE(69,5,11)</f>
        <v>25334</v>
      </c>
      <c r="G854" s="12">
        <f t="shared" ca="1" si="78"/>
        <v>43</v>
      </c>
      <c r="H854" s="12">
        <f t="shared" ca="1" si="79"/>
        <v>-3</v>
      </c>
      <c r="I854" s="13">
        <f t="shared" ca="1" si="80"/>
        <v>1</v>
      </c>
      <c r="J854" s="14">
        <f t="shared" ca="1" si="83"/>
        <v>42</v>
      </c>
      <c r="K854" s="12" t="s">
        <v>41</v>
      </c>
      <c r="L854" s="12">
        <v>68</v>
      </c>
      <c r="M854" s="12" t="s">
        <v>40</v>
      </c>
      <c r="N854" s="12">
        <v>185</v>
      </c>
    </row>
    <row r="855" spans="1:15">
      <c r="A855" s="12">
        <f t="shared" si="81"/>
        <v>853</v>
      </c>
      <c r="B855" s="12" t="s">
        <v>8</v>
      </c>
      <c r="C855" s="12" t="s">
        <v>659</v>
      </c>
      <c r="D855" s="12" t="s">
        <v>249</v>
      </c>
      <c r="E855" s="89">
        <f t="shared" ca="1" si="82"/>
        <v>40951</v>
      </c>
      <c r="F855" s="11">
        <f>DATE(95,7,16)</f>
        <v>34896</v>
      </c>
      <c r="G855" s="12">
        <f t="shared" ca="1" si="78"/>
        <v>17</v>
      </c>
      <c r="H855" s="12">
        <f t="shared" ca="1" si="79"/>
        <v>-5</v>
      </c>
      <c r="I855" s="13">
        <f t="shared" ca="1" si="80"/>
        <v>-4</v>
      </c>
      <c r="J855" s="14">
        <f t="shared" ca="1" si="83"/>
        <v>16</v>
      </c>
      <c r="K855" s="12" t="s">
        <v>40</v>
      </c>
      <c r="L855" s="12">
        <v>68</v>
      </c>
      <c r="M855" s="12" t="s">
        <v>44</v>
      </c>
      <c r="N855" s="12">
        <v>185</v>
      </c>
    </row>
    <row r="856" spans="1:15">
      <c r="A856" s="12">
        <f t="shared" si="81"/>
        <v>854</v>
      </c>
      <c r="B856" s="12" t="s">
        <v>8</v>
      </c>
      <c r="C856" s="12" t="s">
        <v>660</v>
      </c>
      <c r="D856" s="12" t="s">
        <v>249</v>
      </c>
      <c r="E856" s="89">
        <f t="shared" ca="1" si="82"/>
        <v>40951</v>
      </c>
      <c r="F856" s="11">
        <f>DATE(99,8,27)</f>
        <v>36399</v>
      </c>
      <c r="G856" s="12">
        <f t="shared" ca="1" si="78"/>
        <v>13</v>
      </c>
      <c r="H856" s="12">
        <f t="shared" ca="1" si="79"/>
        <v>-6</v>
      </c>
      <c r="I856" s="13">
        <f t="shared" ca="1" si="80"/>
        <v>-15</v>
      </c>
      <c r="J856" s="14">
        <f t="shared" ca="1" si="83"/>
        <v>12</v>
      </c>
      <c r="K856" s="12" t="s">
        <v>41</v>
      </c>
      <c r="L856" s="12">
        <v>68</v>
      </c>
      <c r="M856" s="12" t="s">
        <v>44</v>
      </c>
      <c r="N856" s="12">
        <v>185</v>
      </c>
    </row>
    <row r="857" spans="1:15">
      <c r="A857" s="12">
        <f t="shared" si="81"/>
        <v>855</v>
      </c>
      <c r="B857" s="12" t="s">
        <v>8</v>
      </c>
      <c r="C857" s="12" t="s">
        <v>626</v>
      </c>
      <c r="D857" s="12" t="s">
        <v>198</v>
      </c>
      <c r="E857" s="89">
        <f t="shared" ca="1" si="82"/>
        <v>40951</v>
      </c>
      <c r="F857" s="11">
        <f>DATE(41,8,31)</f>
        <v>15219</v>
      </c>
      <c r="G857" s="12">
        <f t="shared" ref="G857:G920" ca="1" si="84">YEAR(E857)-YEAR(F857)</f>
        <v>71</v>
      </c>
      <c r="H857" s="12">
        <f t="shared" ref="H857:H920" ca="1" si="85">MONTH(E857)-MONTH(F857)</f>
        <v>-6</v>
      </c>
      <c r="I857" s="13">
        <f t="shared" ref="I857:I920" ca="1" si="86">DAY(E857)-DAY(F857)</f>
        <v>-19</v>
      </c>
      <c r="J857" s="14">
        <f t="shared" ca="1" si="83"/>
        <v>70</v>
      </c>
      <c r="K857" s="12" t="s">
        <v>41</v>
      </c>
      <c r="L857" s="12">
        <v>68</v>
      </c>
      <c r="M857" s="12" t="s">
        <v>40</v>
      </c>
      <c r="N857" s="12">
        <v>185</v>
      </c>
    </row>
    <row r="858" spans="1:15">
      <c r="A858" s="12">
        <f t="shared" si="81"/>
        <v>856</v>
      </c>
      <c r="B858" s="12" t="s">
        <v>8</v>
      </c>
      <c r="C858" s="12" t="s">
        <v>541</v>
      </c>
      <c r="D858" s="12" t="s">
        <v>198</v>
      </c>
      <c r="E858" s="89">
        <f t="shared" ca="1" si="82"/>
        <v>40951</v>
      </c>
      <c r="F858" s="11">
        <f>DATE(63,2,24)</f>
        <v>23066</v>
      </c>
      <c r="G858" s="12">
        <f t="shared" ca="1" si="84"/>
        <v>49</v>
      </c>
      <c r="H858" s="12">
        <f t="shared" ca="1" si="85"/>
        <v>0</v>
      </c>
      <c r="I858" s="13">
        <f t="shared" ca="1" si="86"/>
        <v>-12</v>
      </c>
      <c r="J858" s="14">
        <f t="shared" ca="1" si="83"/>
        <v>48</v>
      </c>
      <c r="K858" s="12" t="s">
        <v>40</v>
      </c>
      <c r="L858" s="12">
        <v>68</v>
      </c>
      <c r="M858" s="12" t="s">
        <v>44</v>
      </c>
      <c r="N858" s="12">
        <v>185</v>
      </c>
    </row>
    <row r="859" spans="1:15">
      <c r="A859" s="12">
        <f t="shared" si="81"/>
        <v>857</v>
      </c>
      <c r="B859" s="12" t="s">
        <v>8</v>
      </c>
      <c r="C859" s="12" t="s">
        <v>661</v>
      </c>
      <c r="D859" s="12" t="s">
        <v>198</v>
      </c>
      <c r="E859" s="89">
        <f t="shared" ca="1" si="82"/>
        <v>40951</v>
      </c>
      <c r="F859" s="11">
        <f>DATE(66,5,31)</f>
        <v>24258</v>
      </c>
      <c r="G859" s="12">
        <f t="shared" ca="1" si="84"/>
        <v>46</v>
      </c>
      <c r="H859" s="12">
        <f t="shared" ca="1" si="85"/>
        <v>-3</v>
      </c>
      <c r="I859" s="13">
        <f t="shared" ca="1" si="86"/>
        <v>-19</v>
      </c>
      <c r="J859" s="14">
        <f t="shared" ca="1" si="83"/>
        <v>45</v>
      </c>
      <c r="K859" s="12" t="s">
        <v>40</v>
      </c>
      <c r="L859" s="12">
        <v>68</v>
      </c>
      <c r="M859" s="12" t="s">
        <v>44</v>
      </c>
      <c r="N859" s="12">
        <v>185</v>
      </c>
    </row>
    <row r="860" spans="1:15">
      <c r="A860" s="12">
        <f t="shared" si="81"/>
        <v>858</v>
      </c>
      <c r="B860" s="12" t="s">
        <v>8</v>
      </c>
      <c r="C860" s="12" t="s">
        <v>662</v>
      </c>
      <c r="D860" s="12" t="s">
        <v>103</v>
      </c>
      <c r="E860" s="89">
        <f t="shared" ca="1" si="82"/>
        <v>40951</v>
      </c>
      <c r="F860" s="11">
        <f>DATE(53,11,14)</f>
        <v>19677</v>
      </c>
      <c r="G860" s="12">
        <f t="shared" ca="1" si="84"/>
        <v>59</v>
      </c>
      <c r="H860" s="12">
        <f t="shared" ca="1" si="85"/>
        <v>-9</v>
      </c>
      <c r="I860" s="13">
        <f t="shared" ca="1" si="86"/>
        <v>-2</v>
      </c>
      <c r="J860" s="14">
        <f t="shared" ca="1" si="83"/>
        <v>58</v>
      </c>
      <c r="K860" s="12" t="s">
        <v>41</v>
      </c>
      <c r="L860" s="12">
        <v>68</v>
      </c>
      <c r="M860" s="12" t="s">
        <v>40</v>
      </c>
      <c r="N860" s="12">
        <v>186</v>
      </c>
      <c r="O860" s="90" t="s">
        <v>2748</v>
      </c>
    </row>
    <row r="861" spans="1:15">
      <c r="A861" s="12">
        <f t="shared" si="81"/>
        <v>859</v>
      </c>
      <c r="B861" s="12" t="s">
        <v>8</v>
      </c>
      <c r="C861" s="12" t="s">
        <v>344</v>
      </c>
      <c r="D861" s="12" t="s">
        <v>103</v>
      </c>
      <c r="E861" s="89">
        <f t="shared" ca="1" si="82"/>
        <v>40951</v>
      </c>
      <c r="F861" s="11">
        <f>DATE(79,8,9)</f>
        <v>29076</v>
      </c>
      <c r="G861" s="12">
        <f t="shared" ca="1" si="84"/>
        <v>33</v>
      </c>
      <c r="H861" s="12">
        <f t="shared" ca="1" si="85"/>
        <v>-6</v>
      </c>
      <c r="I861" s="13">
        <f t="shared" ca="1" si="86"/>
        <v>3</v>
      </c>
      <c r="J861" s="14">
        <f t="shared" ca="1" si="83"/>
        <v>32</v>
      </c>
      <c r="K861" s="12" t="s">
        <v>41</v>
      </c>
      <c r="L861" s="12">
        <v>68</v>
      </c>
      <c r="M861" s="12" t="s">
        <v>44</v>
      </c>
      <c r="N861" s="12">
        <v>186</v>
      </c>
    </row>
    <row r="862" spans="1:15">
      <c r="A862" s="12">
        <f t="shared" ref="A862:A925" si="87">A861+1</f>
        <v>860</v>
      </c>
      <c r="B862" s="12" t="s">
        <v>8</v>
      </c>
      <c r="C862" s="12" t="s">
        <v>663</v>
      </c>
      <c r="D862" s="12" t="s">
        <v>65</v>
      </c>
      <c r="E862" s="89">
        <f t="shared" ca="1" si="82"/>
        <v>40951</v>
      </c>
      <c r="F862" s="32"/>
      <c r="G862" s="12">
        <f t="shared" ca="1" si="84"/>
        <v>112</v>
      </c>
      <c r="H862" s="12">
        <f t="shared" ca="1" si="85"/>
        <v>1</v>
      </c>
      <c r="I862" s="13">
        <f t="shared" ca="1" si="86"/>
        <v>12</v>
      </c>
      <c r="J862" s="14">
        <f t="shared" ca="1" si="83"/>
        <v>112</v>
      </c>
      <c r="K862" s="12" t="s">
        <v>40</v>
      </c>
      <c r="L862" s="12">
        <v>68</v>
      </c>
      <c r="M862" s="12" t="s">
        <v>40</v>
      </c>
      <c r="N862" s="12">
        <v>187</v>
      </c>
      <c r="O862" s="90" t="s">
        <v>2748</v>
      </c>
    </row>
    <row r="863" spans="1:15">
      <c r="A863" s="12">
        <f t="shared" si="87"/>
        <v>861</v>
      </c>
      <c r="B863" s="12" t="s">
        <v>8</v>
      </c>
      <c r="C863" s="12" t="s">
        <v>210</v>
      </c>
      <c r="D863" s="12" t="s">
        <v>663</v>
      </c>
      <c r="E863" s="89">
        <f t="shared" ca="1" si="82"/>
        <v>40951</v>
      </c>
      <c r="F863" s="32"/>
      <c r="G863" s="12">
        <f t="shared" ca="1" si="84"/>
        <v>112</v>
      </c>
      <c r="H863" s="12">
        <f t="shared" ca="1" si="85"/>
        <v>1</v>
      </c>
      <c r="I863" s="13">
        <f t="shared" ca="1" si="86"/>
        <v>12</v>
      </c>
      <c r="J863" s="14">
        <f t="shared" ca="1" si="83"/>
        <v>112</v>
      </c>
      <c r="K863" s="12" t="s">
        <v>41</v>
      </c>
      <c r="L863" s="12">
        <v>68</v>
      </c>
      <c r="M863" s="12" t="s">
        <v>40</v>
      </c>
      <c r="N863" s="12">
        <v>187</v>
      </c>
    </row>
    <row r="864" spans="1:15">
      <c r="A864" s="12">
        <f t="shared" si="87"/>
        <v>862</v>
      </c>
      <c r="B864" s="12" t="s">
        <v>8</v>
      </c>
      <c r="C864" s="12" t="s">
        <v>664</v>
      </c>
      <c r="D864" s="12" t="s">
        <v>663</v>
      </c>
      <c r="E864" s="89">
        <f t="shared" ca="1" si="82"/>
        <v>40951</v>
      </c>
      <c r="F864" s="11">
        <f>DATE(87,3,2)</f>
        <v>31838</v>
      </c>
      <c r="G864" s="12">
        <f t="shared" ca="1" si="84"/>
        <v>25</v>
      </c>
      <c r="H864" s="12">
        <f t="shared" ca="1" si="85"/>
        <v>-1</v>
      </c>
      <c r="I864" s="13">
        <f t="shared" ca="1" si="86"/>
        <v>10</v>
      </c>
      <c r="J864" s="14">
        <f t="shared" ca="1" si="83"/>
        <v>24</v>
      </c>
      <c r="K864" s="12" t="s">
        <v>40</v>
      </c>
      <c r="L864" s="12">
        <v>68</v>
      </c>
      <c r="M864" s="12" t="s">
        <v>40</v>
      </c>
      <c r="N864" s="12">
        <v>187</v>
      </c>
    </row>
    <row r="865" spans="1:15">
      <c r="A865" s="12">
        <f t="shared" si="87"/>
        <v>863</v>
      </c>
      <c r="B865" s="12" t="s">
        <v>8</v>
      </c>
      <c r="C865" s="12" t="s">
        <v>160</v>
      </c>
      <c r="D865" s="12" t="s">
        <v>663</v>
      </c>
      <c r="E865" s="89">
        <f t="shared" ca="1" si="82"/>
        <v>40951</v>
      </c>
      <c r="F865" s="11">
        <f>DATE(82,11,16)</f>
        <v>30271</v>
      </c>
      <c r="G865" s="12">
        <f t="shared" ca="1" si="84"/>
        <v>30</v>
      </c>
      <c r="H865" s="12">
        <f t="shared" ca="1" si="85"/>
        <v>-9</v>
      </c>
      <c r="I865" s="13">
        <f t="shared" ca="1" si="86"/>
        <v>-4</v>
      </c>
      <c r="J865" s="14">
        <f t="shared" ca="1" si="83"/>
        <v>29</v>
      </c>
      <c r="K865" s="12" t="s">
        <v>41</v>
      </c>
      <c r="L865" s="12">
        <v>68</v>
      </c>
      <c r="M865" s="12" t="s">
        <v>40</v>
      </c>
      <c r="N865" s="12">
        <v>187</v>
      </c>
    </row>
    <row r="866" spans="1:15">
      <c r="A866" s="12">
        <f t="shared" si="87"/>
        <v>864</v>
      </c>
      <c r="B866" s="12" t="s">
        <v>8</v>
      </c>
      <c r="C866" s="12" t="s">
        <v>665</v>
      </c>
      <c r="D866" s="12" t="s">
        <v>546</v>
      </c>
      <c r="E866" s="89">
        <f t="shared" ca="1" si="82"/>
        <v>40951</v>
      </c>
      <c r="F866" s="11">
        <f>DATE(51,2,25)</f>
        <v>18684</v>
      </c>
      <c r="G866" s="12">
        <f t="shared" ca="1" si="84"/>
        <v>61</v>
      </c>
      <c r="H866" s="12">
        <f t="shared" ca="1" si="85"/>
        <v>0</v>
      </c>
      <c r="I866" s="13">
        <f t="shared" ca="1" si="86"/>
        <v>-13</v>
      </c>
      <c r="J866" s="14">
        <f t="shared" ca="1" si="83"/>
        <v>60</v>
      </c>
      <c r="K866" s="12" t="s">
        <v>40</v>
      </c>
      <c r="L866" s="12">
        <v>69</v>
      </c>
      <c r="M866" s="12" t="s">
        <v>40</v>
      </c>
      <c r="N866" s="12">
        <v>188</v>
      </c>
      <c r="O866" s="90" t="s">
        <v>2748</v>
      </c>
    </row>
    <row r="867" spans="1:15">
      <c r="A867" s="12">
        <f t="shared" si="87"/>
        <v>865</v>
      </c>
      <c r="B867" s="12" t="s">
        <v>8</v>
      </c>
      <c r="C867" s="12" t="s">
        <v>400</v>
      </c>
      <c r="D867" s="12" t="s">
        <v>666</v>
      </c>
      <c r="E867" s="89">
        <f t="shared" ref="E867:E931" ca="1" si="88">TODAY()</f>
        <v>40951</v>
      </c>
      <c r="F867" s="11">
        <f>DATE(56,7,24)</f>
        <v>20660</v>
      </c>
      <c r="G867" s="12">
        <f t="shared" ca="1" si="84"/>
        <v>56</v>
      </c>
      <c r="H867" s="12">
        <f t="shared" ca="1" si="85"/>
        <v>-5</v>
      </c>
      <c r="I867" s="13">
        <f t="shared" ca="1" si="86"/>
        <v>-12</v>
      </c>
      <c r="J867" s="14">
        <f t="shared" ca="1" si="83"/>
        <v>55</v>
      </c>
      <c r="K867" s="12" t="s">
        <v>41</v>
      </c>
      <c r="L867" s="12">
        <v>69</v>
      </c>
      <c r="M867" s="12" t="s">
        <v>40</v>
      </c>
      <c r="N867" s="12">
        <v>188</v>
      </c>
    </row>
    <row r="868" spans="1:15">
      <c r="A868" s="12">
        <f t="shared" si="87"/>
        <v>866</v>
      </c>
      <c r="B868" s="12" t="s">
        <v>8</v>
      </c>
      <c r="C868" s="12" t="s">
        <v>538</v>
      </c>
      <c r="D868" s="12" t="s">
        <v>546</v>
      </c>
      <c r="E868" s="89">
        <f t="shared" ca="1" si="88"/>
        <v>40951</v>
      </c>
      <c r="F868" s="32"/>
      <c r="G868" s="12">
        <f t="shared" ca="1" si="84"/>
        <v>112</v>
      </c>
      <c r="H868" s="12">
        <f t="shared" ca="1" si="85"/>
        <v>1</v>
      </c>
      <c r="I868" s="13">
        <f t="shared" ca="1" si="86"/>
        <v>12</v>
      </c>
      <c r="J868" s="14">
        <f t="shared" ca="1" si="83"/>
        <v>112</v>
      </c>
      <c r="K868" s="12" t="s">
        <v>41</v>
      </c>
      <c r="L868" s="12">
        <v>69</v>
      </c>
      <c r="M868" s="12" t="s">
        <v>40</v>
      </c>
      <c r="N868" s="12">
        <v>188</v>
      </c>
    </row>
    <row r="869" spans="1:15">
      <c r="A869" s="12">
        <f t="shared" si="87"/>
        <v>867</v>
      </c>
      <c r="B869" s="12" t="s">
        <v>8</v>
      </c>
      <c r="C869" s="12" t="s">
        <v>112</v>
      </c>
      <c r="D869" s="12" t="s">
        <v>666</v>
      </c>
      <c r="E869" s="89">
        <f t="shared" ca="1" si="88"/>
        <v>40951</v>
      </c>
      <c r="F869" s="11">
        <f>DATE(75,4,14)</f>
        <v>27498</v>
      </c>
      <c r="G869" s="12">
        <f t="shared" ca="1" si="84"/>
        <v>37</v>
      </c>
      <c r="H869" s="12">
        <f t="shared" ca="1" si="85"/>
        <v>-2</v>
      </c>
      <c r="I869" s="13">
        <f t="shared" ca="1" si="86"/>
        <v>-2</v>
      </c>
      <c r="J869" s="14">
        <f t="shared" ca="1" si="83"/>
        <v>36</v>
      </c>
      <c r="K869" s="12" t="s">
        <v>40</v>
      </c>
      <c r="L869" s="12">
        <v>69</v>
      </c>
      <c r="M869" s="12" t="s">
        <v>40</v>
      </c>
      <c r="N869" s="12">
        <v>188</v>
      </c>
    </row>
    <row r="870" spans="1:15">
      <c r="A870" s="12">
        <f t="shared" si="87"/>
        <v>868</v>
      </c>
      <c r="B870" s="12" t="s">
        <v>8</v>
      </c>
      <c r="C870" s="12" t="s">
        <v>667</v>
      </c>
      <c r="D870" s="12" t="s">
        <v>112</v>
      </c>
      <c r="E870" s="89">
        <f t="shared" ca="1" si="88"/>
        <v>40951</v>
      </c>
      <c r="F870" s="11">
        <f>DATE(75,12,6)</f>
        <v>27734</v>
      </c>
      <c r="G870" s="12">
        <f t="shared" ca="1" si="84"/>
        <v>37</v>
      </c>
      <c r="H870" s="12">
        <f t="shared" ca="1" si="85"/>
        <v>-10</v>
      </c>
      <c r="I870" s="13">
        <f t="shared" ca="1" si="86"/>
        <v>6</v>
      </c>
      <c r="J870" s="14">
        <f t="shared" ca="1" si="83"/>
        <v>36</v>
      </c>
      <c r="K870" s="12" t="s">
        <v>41</v>
      </c>
      <c r="L870" s="12">
        <v>69</v>
      </c>
      <c r="M870" s="12" t="s">
        <v>40</v>
      </c>
      <c r="N870" s="12">
        <v>188</v>
      </c>
    </row>
    <row r="871" spans="1:15">
      <c r="A871" s="12">
        <f t="shared" si="87"/>
        <v>869</v>
      </c>
      <c r="B871" s="12" t="s">
        <v>8</v>
      </c>
      <c r="C871" s="12" t="s">
        <v>668</v>
      </c>
      <c r="D871" s="12" t="s">
        <v>112</v>
      </c>
      <c r="E871" s="89">
        <f t="shared" ca="1" si="88"/>
        <v>40951</v>
      </c>
      <c r="F871" s="11">
        <f>DATE(2001,11,11)</f>
        <v>37206</v>
      </c>
      <c r="G871" s="12">
        <f t="shared" ca="1" si="84"/>
        <v>11</v>
      </c>
      <c r="H871" s="12">
        <f t="shared" ca="1" si="85"/>
        <v>-9</v>
      </c>
      <c r="I871" s="13">
        <f t="shared" ca="1" si="86"/>
        <v>1</v>
      </c>
      <c r="J871" s="14">
        <f t="shared" ca="1" si="83"/>
        <v>10</v>
      </c>
      <c r="K871" s="12" t="s">
        <v>41</v>
      </c>
      <c r="L871" s="12">
        <v>69</v>
      </c>
      <c r="M871" s="12" t="s">
        <v>44</v>
      </c>
      <c r="N871" s="12">
        <v>188</v>
      </c>
    </row>
    <row r="872" spans="1:15">
      <c r="A872" s="12">
        <f t="shared" si="87"/>
        <v>870</v>
      </c>
      <c r="B872" s="12" t="s">
        <v>8</v>
      </c>
      <c r="C872" s="12" t="s">
        <v>632</v>
      </c>
      <c r="D872" s="12" t="s">
        <v>112</v>
      </c>
      <c r="E872" s="89">
        <f t="shared" ca="1" si="88"/>
        <v>40951</v>
      </c>
      <c r="F872" s="11">
        <f>DATE(2004,9,25)</f>
        <v>38255</v>
      </c>
      <c r="G872" s="12">
        <f t="shared" ca="1" si="84"/>
        <v>8</v>
      </c>
      <c r="H872" s="12">
        <f t="shared" ca="1" si="85"/>
        <v>-7</v>
      </c>
      <c r="I872" s="13">
        <f t="shared" ca="1" si="86"/>
        <v>-13</v>
      </c>
      <c r="J872" s="14">
        <f t="shared" ca="1" si="83"/>
        <v>7</v>
      </c>
      <c r="K872" s="12" t="s">
        <v>41</v>
      </c>
      <c r="L872" s="12">
        <v>69</v>
      </c>
      <c r="M872" s="12" t="s">
        <v>44</v>
      </c>
      <c r="N872" s="12">
        <v>188</v>
      </c>
    </row>
    <row r="873" spans="1:15">
      <c r="A873" s="12">
        <f t="shared" si="87"/>
        <v>871</v>
      </c>
      <c r="B873" s="12" t="s">
        <v>8</v>
      </c>
      <c r="C873" s="12" t="s">
        <v>592</v>
      </c>
      <c r="D873" s="12" t="s">
        <v>666</v>
      </c>
      <c r="E873" s="89">
        <f t="shared" ca="1" si="88"/>
        <v>40951</v>
      </c>
      <c r="F873" s="11">
        <f>DATE(77,8,30)</f>
        <v>28367</v>
      </c>
      <c r="G873" s="12">
        <f t="shared" ca="1" si="84"/>
        <v>35</v>
      </c>
      <c r="H873" s="12">
        <f t="shared" ca="1" si="85"/>
        <v>-6</v>
      </c>
      <c r="I873" s="13">
        <f t="shared" ca="1" si="86"/>
        <v>-18</v>
      </c>
      <c r="J873" s="14">
        <f t="shared" ca="1" si="83"/>
        <v>34</v>
      </c>
      <c r="K873" s="12" t="s">
        <v>40</v>
      </c>
      <c r="L873" s="12">
        <v>69</v>
      </c>
      <c r="M873" s="12" t="s">
        <v>40</v>
      </c>
      <c r="N873" s="12">
        <v>188</v>
      </c>
    </row>
    <row r="874" spans="1:15">
      <c r="A874" s="12">
        <f t="shared" si="87"/>
        <v>872</v>
      </c>
      <c r="B874" s="12" t="s">
        <v>8</v>
      </c>
      <c r="C874" s="12" t="s">
        <v>669</v>
      </c>
      <c r="D874" s="12" t="s">
        <v>592</v>
      </c>
      <c r="E874" s="89">
        <f t="shared" ca="1" si="88"/>
        <v>40951</v>
      </c>
      <c r="F874" s="11">
        <f>DATE(82,11,28)</f>
        <v>30283</v>
      </c>
      <c r="G874" s="12">
        <f t="shared" ca="1" si="84"/>
        <v>30</v>
      </c>
      <c r="H874" s="12">
        <f t="shared" ca="1" si="85"/>
        <v>-9</v>
      </c>
      <c r="I874" s="13">
        <f t="shared" ca="1" si="86"/>
        <v>-16</v>
      </c>
      <c r="J874" s="14">
        <f t="shared" ca="1" si="83"/>
        <v>29</v>
      </c>
      <c r="K874" s="12" t="s">
        <v>41</v>
      </c>
      <c r="L874" s="12">
        <v>69</v>
      </c>
      <c r="M874" s="12" t="s">
        <v>40</v>
      </c>
      <c r="N874" s="12">
        <v>188</v>
      </c>
    </row>
    <row r="875" spans="1:15">
      <c r="A875" s="12">
        <f t="shared" si="87"/>
        <v>873</v>
      </c>
      <c r="B875" s="12" t="s">
        <v>8</v>
      </c>
      <c r="C875" s="12" t="s">
        <v>303</v>
      </c>
      <c r="D875" s="12" t="s">
        <v>592</v>
      </c>
      <c r="E875" s="89">
        <f t="shared" ca="1" si="88"/>
        <v>40951</v>
      </c>
      <c r="F875" s="11">
        <f>DATE(2003,11,12)</f>
        <v>37937</v>
      </c>
      <c r="G875" s="12">
        <f t="shared" ca="1" si="84"/>
        <v>9</v>
      </c>
      <c r="H875" s="12">
        <f t="shared" ca="1" si="85"/>
        <v>-9</v>
      </c>
      <c r="I875" s="13">
        <f t="shared" ca="1" si="86"/>
        <v>0</v>
      </c>
      <c r="J875" s="14">
        <f t="shared" ca="1" si="83"/>
        <v>8</v>
      </c>
      <c r="K875" s="12" t="s">
        <v>41</v>
      </c>
      <c r="L875" s="12">
        <v>69</v>
      </c>
      <c r="M875" s="12" t="s">
        <v>44</v>
      </c>
      <c r="N875" s="12">
        <v>188</v>
      </c>
    </row>
    <row r="876" spans="1:15">
      <c r="A876" s="12">
        <f t="shared" si="87"/>
        <v>874</v>
      </c>
      <c r="B876" s="12" t="s">
        <v>8</v>
      </c>
      <c r="C876" s="12" t="s">
        <v>670</v>
      </c>
      <c r="D876" s="12" t="s">
        <v>592</v>
      </c>
      <c r="E876" s="89">
        <f t="shared" ca="1" si="88"/>
        <v>40951</v>
      </c>
      <c r="F876" s="11">
        <f>DATE(2005,4,6)</f>
        <v>38448</v>
      </c>
      <c r="G876" s="12">
        <f t="shared" ca="1" si="84"/>
        <v>7</v>
      </c>
      <c r="H876" s="12">
        <f t="shared" ca="1" si="85"/>
        <v>-2</v>
      </c>
      <c r="I876" s="13">
        <f t="shared" ca="1" si="86"/>
        <v>6</v>
      </c>
      <c r="J876" s="14">
        <f t="shared" ca="1" si="83"/>
        <v>6</v>
      </c>
      <c r="K876" s="12" t="s">
        <v>40</v>
      </c>
      <c r="L876" s="12">
        <v>69</v>
      </c>
      <c r="M876" s="12" t="s">
        <v>44</v>
      </c>
      <c r="N876" s="12">
        <v>188</v>
      </c>
    </row>
    <row r="877" spans="1:15">
      <c r="A877" s="12">
        <f t="shared" si="87"/>
        <v>875</v>
      </c>
      <c r="B877" s="12" t="s">
        <v>8</v>
      </c>
      <c r="C877" s="12" t="s">
        <v>266</v>
      </c>
      <c r="D877" s="12" t="s">
        <v>77</v>
      </c>
      <c r="E877" s="89">
        <f t="shared" ca="1" si="88"/>
        <v>40951</v>
      </c>
      <c r="F877" s="11">
        <f>DATE(46,4,6)</f>
        <v>16898</v>
      </c>
      <c r="G877" s="12">
        <f t="shared" ca="1" si="84"/>
        <v>66</v>
      </c>
      <c r="H877" s="12">
        <f t="shared" ca="1" si="85"/>
        <v>-2</v>
      </c>
      <c r="I877" s="13">
        <f t="shared" ca="1" si="86"/>
        <v>6</v>
      </c>
      <c r="J877" s="14">
        <f t="shared" ca="1" si="83"/>
        <v>65</v>
      </c>
      <c r="K877" s="12" t="s">
        <v>40</v>
      </c>
      <c r="L877" s="12">
        <v>69</v>
      </c>
      <c r="M877" s="12" t="s">
        <v>40</v>
      </c>
      <c r="N877" s="12">
        <v>189</v>
      </c>
      <c r="O877" s="90" t="s">
        <v>2748</v>
      </c>
    </row>
    <row r="878" spans="1:15">
      <c r="A878" s="12">
        <f t="shared" si="87"/>
        <v>876</v>
      </c>
      <c r="B878" s="12" t="s">
        <v>8</v>
      </c>
      <c r="C878" s="12" t="s">
        <v>671</v>
      </c>
      <c r="D878" s="12" t="s">
        <v>266</v>
      </c>
      <c r="E878" s="89">
        <f t="shared" ca="1" si="88"/>
        <v>40951</v>
      </c>
      <c r="F878" s="11">
        <f>DATE(50,9,11)</f>
        <v>18517</v>
      </c>
      <c r="G878" s="12">
        <f t="shared" ca="1" si="84"/>
        <v>62</v>
      </c>
      <c r="H878" s="12">
        <f t="shared" ca="1" si="85"/>
        <v>-7</v>
      </c>
      <c r="I878" s="13">
        <f t="shared" ca="1" si="86"/>
        <v>1</v>
      </c>
      <c r="J878" s="14">
        <f t="shared" ca="1" si="83"/>
        <v>61</v>
      </c>
      <c r="K878" s="12" t="s">
        <v>41</v>
      </c>
      <c r="L878" s="12">
        <v>69</v>
      </c>
      <c r="M878" s="12" t="s">
        <v>40</v>
      </c>
      <c r="N878" s="12">
        <v>189</v>
      </c>
    </row>
    <row r="879" spans="1:15">
      <c r="A879" s="12">
        <f t="shared" si="87"/>
        <v>877</v>
      </c>
      <c r="B879" s="12" t="s">
        <v>8</v>
      </c>
      <c r="C879" s="12" t="s">
        <v>312</v>
      </c>
      <c r="D879" s="12" t="s">
        <v>266</v>
      </c>
      <c r="E879" s="89">
        <f t="shared" ca="1" si="88"/>
        <v>40951</v>
      </c>
      <c r="F879" s="11">
        <f>DATE(73,3,22)</f>
        <v>26745</v>
      </c>
      <c r="G879" s="12">
        <f t="shared" ca="1" si="84"/>
        <v>39</v>
      </c>
      <c r="H879" s="12">
        <f t="shared" ca="1" si="85"/>
        <v>-1</v>
      </c>
      <c r="I879" s="13">
        <f t="shared" ca="1" si="86"/>
        <v>-10</v>
      </c>
      <c r="J879" s="14">
        <f t="shared" ca="1" si="83"/>
        <v>38</v>
      </c>
      <c r="K879" s="12" t="s">
        <v>40</v>
      </c>
      <c r="L879" s="12">
        <v>69</v>
      </c>
      <c r="M879" s="12" t="s">
        <v>44</v>
      </c>
      <c r="N879" s="12">
        <v>189</v>
      </c>
    </row>
    <row r="880" spans="1:15">
      <c r="A880" s="12">
        <f t="shared" si="87"/>
        <v>878</v>
      </c>
      <c r="B880" s="12" t="s">
        <v>8</v>
      </c>
      <c r="C880" s="12" t="s">
        <v>672</v>
      </c>
      <c r="D880" s="12" t="s">
        <v>266</v>
      </c>
      <c r="E880" s="89">
        <f t="shared" ca="1" si="88"/>
        <v>40951</v>
      </c>
      <c r="F880" s="11">
        <f>DATE(75,3,6)</f>
        <v>27459</v>
      </c>
      <c r="G880" s="12">
        <f t="shared" ca="1" si="84"/>
        <v>37</v>
      </c>
      <c r="H880" s="12">
        <f t="shared" ca="1" si="85"/>
        <v>-1</v>
      </c>
      <c r="I880" s="13">
        <f t="shared" ca="1" si="86"/>
        <v>6</v>
      </c>
      <c r="J880" s="14">
        <f t="shared" ca="1" si="83"/>
        <v>36</v>
      </c>
      <c r="K880" s="12" t="s">
        <v>40</v>
      </c>
      <c r="L880" s="12">
        <v>69</v>
      </c>
      <c r="M880" s="12" t="s">
        <v>40</v>
      </c>
      <c r="N880" s="12">
        <v>189</v>
      </c>
    </row>
    <row r="881" spans="1:15">
      <c r="A881" s="12">
        <f t="shared" si="87"/>
        <v>879</v>
      </c>
      <c r="B881" s="12" t="s">
        <v>8</v>
      </c>
      <c r="C881" s="12" t="s">
        <v>673</v>
      </c>
      <c r="D881" s="12" t="s">
        <v>672</v>
      </c>
      <c r="E881" s="89">
        <f t="shared" ca="1" si="88"/>
        <v>40951</v>
      </c>
      <c r="F881" s="11">
        <f>DATE(80,9,13)</f>
        <v>29477</v>
      </c>
      <c r="G881" s="12">
        <f t="shared" ca="1" si="84"/>
        <v>32</v>
      </c>
      <c r="H881" s="12">
        <f t="shared" ca="1" si="85"/>
        <v>-7</v>
      </c>
      <c r="I881" s="13">
        <f t="shared" ca="1" si="86"/>
        <v>-1</v>
      </c>
      <c r="J881" s="14">
        <f t="shared" ca="1" si="83"/>
        <v>31</v>
      </c>
      <c r="K881" s="12" t="s">
        <v>41</v>
      </c>
      <c r="L881" s="12">
        <v>69</v>
      </c>
      <c r="M881" s="12" t="s">
        <v>40</v>
      </c>
      <c r="N881" s="12">
        <v>189</v>
      </c>
    </row>
    <row r="882" spans="1:15">
      <c r="A882" s="12">
        <f t="shared" si="87"/>
        <v>880</v>
      </c>
      <c r="B882" s="12" t="s">
        <v>8</v>
      </c>
      <c r="C882" s="12" t="s">
        <v>125</v>
      </c>
      <c r="D882" s="12" t="s">
        <v>672</v>
      </c>
      <c r="E882" s="89">
        <f t="shared" ca="1" si="88"/>
        <v>40951</v>
      </c>
      <c r="F882" s="11">
        <f>DATE(2005,12,29)</f>
        <v>38715</v>
      </c>
      <c r="G882" s="12">
        <f t="shared" ca="1" si="84"/>
        <v>7</v>
      </c>
      <c r="H882" s="12">
        <f t="shared" ca="1" si="85"/>
        <v>-10</v>
      </c>
      <c r="I882" s="13">
        <f t="shared" ca="1" si="86"/>
        <v>-17</v>
      </c>
      <c r="J882" s="14">
        <f t="shared" ca="1" si="83"/>
        <v>6</v>
      </c>
      <c r="K882" s="12" t="s">
        <v>41</v>
      </c>
      <c r="L882" s="12">
        <v>69</v>
      </c>
      <c r="M882" s="12" t="s">
        <v>44</v>
      </c>
      <c r="N882" s="12">
        <v>189</v>
      </c>
    </row>
    <row r="883" spans="1:15">
      <c r="A883" s="12">
        <f t="shared" si="87"/>
        <v>881</v>
      </c>
      <c r="B883" s="12" t="s">
        <v>8</v>
      </c>
      <c r="C883" s="12" t="s">
        <v>305</v>
      </c>
      <c r="D883" s="12" t="s">
        <v>266</v>
      </c>
      <c r="E883" s="89">
        <f t="shared" ca="1" si="88"/>
        <v>40951</v>
      </c>
      <c r="F883" s="11">
        <f>DATE(79,6,13)</f>
        <v>29019</v>
      </c>
      <c r="G883" s="12">
        <f t="shared" ca="1" si="84"/>
        <v>33</v>
      </c>
      <c r="H883" s="12">
        <f t="shared" ca="1" si="85"/>
        <v>-4</v>
      </c>
      <c r="I883" s="13">
        <f t="shared" ca="1" si="86"/>
        <v>-1</v>
      </c>
      <c r="J883" s="14">
        <f t="shared" ca="1" si="83"/>
        <v>32</v>
      </c>
      <c r="K883" s="12" t="s">
        <v>40</v>
      </c>
      <c r="L883" s="12">
        <v>69</v>
      </c>
      <c r="M883" s="12" t="s">
        <v>44</v>
      </c>
      <c r="N883" s="12">
        <v>189</v>
      </c>
      <c r="O883" s="90" t="s">
        <v>2748</v>
      </c>
    </row>
    <row r="884" spans="1:15">
      <c r="A884" s="12">
        <f t="shared" si="87"/>
        <v>882</v>
      </c>
      <c r="B884" s="12" t="s">
        <v>8</v>
      </c>
      <c r="C884" s="12" t="s">
        <v>674</v>
      </c>
      <c r="D884" s="12" t="s">
        <v>198</v>
      </c>
      <c r="E884" s="89">
        <f t="shared" ca="1" si="88"/>
        <v>40951</v>
      </c>
      <c r="F884" s="11">
        <f>DATE(45,9,28)</f>
        <v>16708</v>
      </c>
      <c r="G884" s="12">
        <f t="shared" ca="1" si="84"/>
        <v>67</v>
      </c>
      <c r="H884" s="12">
        <f t="shared" ca="1" si="85"/>
        <v>-7</v>
      </c>
      <c r="I884" s="13">
        <f t="shared" ca="1" si="86"/>
        <v>-16</v>
      </c>
      <c r="J884" s="14">
        <f t="shared" ca="1" si="83"/>
        <v>66</v>
      </c>
      <c r="K884" s="12" t="s">
        <v>40</v>
      </c>
      <c r="L884" s="12">
        <v>70</v>
      </c>
      <c r="M884" s="12" t="s">
        <v>40</v>
      </c>
      <c r="N884" s="12">
        <v>190</v>
      </c>
    </row>
    <row r="885" spans="1:15">
      <c r="A885" s="12">
        <f t="shared" si="87"/>
        <v>883</v>
      </c>
      <c r="B885" s="12" t="s">
        <v>8</v>
      </c>
      <c r="C885" s="12" t="s">
        <v>111</v>
      </c>
      <c r="D885" s="12" t="s">
        <v>674</v>
      </c>
      <c r="E885" s="89">
        <f t="shared" ca="1" si="88"/>
        <v>40951</v>
      </c>
      <c r="F885" s="11">
        <f>DATE(48,10,1)</f>
        <v>17807</v>
      </c>
      <c r="G885" s="12">
        <f t="shared" ca="1" si="84"/>
        <v>64</v>
      </c>
      <c r="H885" s="12">
        <f t="shared" ca="1" si="85"/>
        <v>-8</v>
      </c>
      <c r="I885" s="13">
        <f t="shared" ca="1" si="86"/>
        <v>11</v>
      </c>
      <c r="J885" s="14">
        <f t="shared" ca="1" si="83"/>
        <v>63</v>
      </c>
      <c r="K885" s="12" t="s">
        <v>41</v>
      </c>
      <c r="L885" s="12">
        <v>70</v>
      </c>
      <c r="M885" s="12" t="s">
        <v>40</v>
      </c>
      <c r="N885" s="12">
        <v>190</v>
      </c>
    </row>
    <row r="886" spans="1:15">
      <c r="A886" s="12">
        <f t="shared" si="87"/>
        <v>884</v>
      </c>
      <c r="B886" s="12" t="s">
        <v>8</v>
      </c>
      <c r="C886" s="12" t="s">
        <v>140</v>
      </c>
      <c r="D886" s="12" t="s">
        <v>674</v>
      </c>
      <c r="E886" s="89">
        <f t="shared" ca="1" si="88"/>
        <v>40951</v>
      </c>
      <c r="F886" s="11">
        <f>DATE(73,7,30)</f>
        <v>26875</v>
      </c>
      <c r="G886" s="12">
        <f t="shared" ca="1" si="84"/>
        <v>39</v>
      </c>
      <c r="H886" s="12">
        <f t="shared" ca="1" si="85"/>
        <v>-5</v>
      </c>
      <c r="I886" s="13">
        <f t="shared" ca="1" si="86"/>
        <v>-18</v>
      </c>
      <c r="J886" s="14">
        <f t="shared" ca="1" si="83"/>
        <v>38</v>
      </c>
      <c r="K886" s="12" t="s">
        <v>40</v>
      </c>
      <c r="L886" s="12">
        <v>70</v>
      </c>
      <c r="M886" s="12" t="s">
        <v>40</v>
      </c>
      <c r="N886" s="12">
        <v>190</v>
      </c>
    </row>
    <row r="887" spans="1:15">
      <c r="A887" s="12">
        <f t="shared" si="87"/>
        <v>885</v>
      </c>
      <c r="B887" s="12" t="s">
        <v>8</v>
      </c>
      <c r="C887" s="12" t="s">
        <v>165</v>
      </c>
      <c r="D887" s="12" t="s">
        <v>140</v>
      </c>
      <c r="E887" s="89">
        <f t="shared" ca="1" si="88"/>
        <v>40951</v>
      </c>
      <c r="F887" s="11">
        <f>DATE(76,12,10)</f>
        <v>28104</v>
      </c>
      <c r="G887" s="12">
        <f t="shared" ca="1" si="84"/>
        <v>36</v>
      </c>
      <c r="H887" s="12">
        <f t="shared" ca="1" si="85"/>
        <v>-10</v>
      </c>
      <c r="I887" s="13">
        <f t="shared" ca="1" si="86"/>
        <v>2</v>
      </c>
      <c r="J887" s="14">
        <f t="shared" ca="1" si="83"/>
        <v>35</v>
      </c>
      <c r="K887" s="12" t="s">
        <v>41</v>
      </c>
      <c r="L887" s="12">
        <v>70</v>
      </c>
      <c r="M887" s="12" t="s">
        <v>40</v>
      </c>
      <c r="N887" s="12">
        <v>190</v>
      </c>
    </row>
    <row r="888" spans="1:15">
      <c r="A888" s="12">
        <f t="shared" si="87"/>
        <v>886</v>
      </c>
      <c r="B888" s="12" t="s">
        <v>8</v>
      </c>
      <c r="C888" s="12" t="s">
        <v>126</v>
      </c>
      <c r="D888" s="12" t="s">
        <v>140</v>
      </c>
      <c r="E888" s="89">
        <f t="shared" ca="1" si="88"/>
        <v>40951</v>
      </c>
      <c r="F888" s="11">
        <f>DATE(2001,9,1)</f>
        <v>37135</v>
      </c>
      <c r="G888" s="12">
        <f t="shared" ca="1" si="84"/>
        <v>11</v>
      </c>
      <c r="H888" s="12">
        <f t="shared" ca="1" si="85"/>
        <v>-7</v>
      </c>
      <c r="I888" s="13">
        <f t="shared" ca="1" si="86"/>
        <v>11</v>
      </c>
      <c r="J888" s="14">
        <f t="shared" ca="1" si="83"/>
        <v>10</v>
      </c>
      <c r="K888" s="12" t="s">
        <v>40</v>
      </c>
      <c r="L888" s="12">
        <v>70</v>
      </c>
      <c r="M888" s="12" t="s">
        <v>44</v>
      </c>
      <c r="N888" s="12">
        <v>190</v>
      </c>
    </row>
    <row r="889" spans="1:15">
      <c r="A889" s="12">
        <f t="shared" si="87"/>
        <v>887</v>
      </c>
      <c r="B889" s="12" t="s">
        <v>8</v>
      </c>
      <c r="C889" s="12" t="s">
        <v>675</v>
      </c>
      <c r="D889" s="12" t="s">
        <v>140</v>
      </c>
      <c r="E889" s="89">
        <f t="shared" ca="1" si="88"/>
        <v>40951</v>
      </c>
      <c r="F889" s="11">
        <f>DATE(2006,7,30)</f>
        <v>38928</v>
      </c>
      <c r="G889" s="12">
        <f t="shared" ca="1" si="84"/>
        <v>6</v>
      </c>
      <c r="H889" s="12">
        <f t="shared" ca="1" si="85"/>
        <v>-5</v>
      </c>
      <c r="I889" s="13">
        <f t="shared" ca="1" si="86"/>
        <v>-18</v>
      </c>
      <c r="J889" s="14">
        <f t="shared" ca="1" si="83"/>
        <v>5</v>
      </c>
      <c r="K889" s="12" t="s">
        <v>40</v>
      </c>
      <c r="L889" s="12">
        <v>70</v>
      </c>
      <c r="M889" s="12" t="s">
        <v>44</v>
      </c>
      <c r="N889" s="12">
        <v>190</v>
      </c>
    </row>
    <row r="890" spans="1:15">
      <c r="A890" s="12">
        <f t="shared" si="87"/>
        <v>888</v>
      </c>
      <c r="B890" s="12" t="s">
        <v>8</v>
      </c>
      <c r="C890" s="12" t="s">
        <v>676</v>
      </c>
      <c r="D890" s="12" t="s">
        <v>674</v>
      </c>
      <c r="E890" s="89">
        <f t="shared" ca="1" si="88"/>
        <v>40951</v>
      </c>
      <c r="F890" s="11">
        <f>DATE(75,11,8)</f>
        <v>27706</v>
      </c>
      <c r="G890" s="12">
        <f t="shared" ca="1" si="84"/>
        <v>37</v>
      </c>
      <c r="H890" s="12">
        <f t="shared" ca="1" si="85"/>
        <v>-9</v>
      </c>
      <c r="I890" s="13">
        <f t="shared" ca="1" si="86"/>
        <v>4</v>
      </c>
      <c r="J890" s="14">
        <f t="shared" ca="1" si="83"/>
        <v>36</v>
      </c>
      <c r="K890" s="12" t="s">
        <v>40</v>
      </c>
      <c r="L890" s="12">
        <v>70</v>
      </c>
      <c r="M890" s="12" t="s">
        <v>40</v>
      </c>
      <c r="N890" s="12">
        <v>190</v>
      </c>
    </row>
    <row r="891" spans="1:15">
      <c r="A891" s="12">
        <f t="shared" si="87"/>
        <v>889</v>
      </c>
      <c r="B891" s="12" t="s">
        <v>8</v>
      </c>
      <c r="C891" s="12" t="s">
        <v>677</v>
      </c>
      <c r="D891" s="12" t="s">
        <v>676</v>
      </c>
      <c r="E891" s="89">
        <f t="shared" ca="1" si="88"/>
        <v>40951</v>
      </c>
      <c r="F891" s="11">
        <f>DATE(79,11,24)</f>
        <v>29183</v>
      </c>
      <c r="G891" s="12">
        <f t="shared" ca="1" si="84"/>
        <v>33</v>
      </c>
      <c r="H891" s="12">
        <f t="shared" ca="1" si="85"/>
        <v>-9</v>
      </c>
      <c r="I891" s="13">
        <f t="shared" ca="1" si="86"/>
        <v>-12</v>
      </c>
      <c r="J891" s="14">
        <f t="shared" ca="1" si="83"/>
        <v>32</v>
      </c>
      <c r="K891" s="12" t="s">
        <v>41</v>
      </c>
      <c r="L891" s="12">
        <v>70</v>
      </c>
      <c r="M891" s="12" t="s">
        <v>40</v>
      </c>
      <c r="N891" s="12">
        <v>190</v>
      </c>
    </row>
    <row r="892" spans="1:15">
      <c r="A892" s="12">
        <f t="shared" si="87"/>
        <v>890</v>
      </c>
      <c r="B892" s="12" t="s">
        <v>8</v>
      </c>
      <c r="C892" s="12" t="s">
        <v>641</v>
      </c>
      <c r="D892" s="12" t="s">
        <v>674</v>
      </c>
      <c r="E892" s="89">
        <f t="shared" ca="1" si="88"/>
        <v>40951</v>
      </c>
      <c r="F892" s="11">
        <f>DATE(78,5,2)</f>
        <v>28612</v>
      </c>
      <c r="G892" s="12">
        <f t="shared" ca="1" si="84"/>
        <v>34</v>
      </c>
      <c r="H892" s="12">
        <f t="shared" ca="1" si="85"/>
        <v>-3</v>
      </c>
      <c r="I892" s="13">
        <f t="shared" ca="1" si="86"/>
        <v>10</v>
      </c>
      <c r="J892" s="14">
        <f t="shared" ca="1" si="83"/>
        <v>33</v>
      </c>
      <c r="K892" s="12" t="s">
        <v>40</v>
      </c>
      <c r="L892" s="12">
        <v>70</v>
      </c>
      <c r="M892" s="12" t="s">
        <v>40</v>
      </c>
      <c r="N892" s="12">
        <v>190</v>
      </c>
    </row>
    <row r="893" spans="1:15">
      <c r="B893" s="12" t="s">
        <v>8</v>
      </c>
      <c r="C893" s="12" t="s">
        <v>368</v>
      </c>
      <c r="D893" s="12" t="s">
        <v>674</v>
      </c>
      <c r="E893" s="92">
        <f t="shared" ca="1" si="88"/>
        <v>40951</v>
      </c>
      <c r="F893" s="46">
        <f>DATE(81,8,28)</f>
        <v>29826</v>
      </c>
      <c r="G893" s="81">
        <f t="shared" ca="1" si="84"/>
        <v>31</v>
      </c>
      <c r="H893" s="81">
        <f t="shared" ca="1" si="85"/>
        <v>-6</v>
      </c>
      <c r="I893" s="93">
        <f t="shared" ca="1" si="86"/>
        <v>-16</v>
      </c>
      <c r="J893" s="94">
        <f t="shared" ca="1" si="83"/>
        <v>30</v>
      </c>
      <c r="K893" s="81" t="s">
        <v>41</v>
      </c>
      <c r="L893" s="81">
        <v>70</v>
      </c>
      <c r="M893" s="81" t="s">
        <v>40</v>
      </c>
      <c r="N893" s="12">
        <v>190</v>
      </c>
    </row>
    <row r="894" spans="1:15">
      <c r="A894" s="12">
        <f>A892+1</f>
        <v>891</v>
      </c>
      <c r="B894" s="12" t="s">
        <v>9</v>
      </c>
      <c r="C894" s="12" t="s">
        <v>479</v>
      </c>
      <c r="D894" s="12" t="s">
        <v>77</v>
      </c>
      <c r="E894" s="89">
        <f t="shared" ca="1" si="88"/>
        <v>40951</v>
      </c>
      <c r="F894" s="11">
        <f>DATE(46,12,9)</f>
        <v>17145</v>
      </c>
      <c r="G894" s="12">
        <f t="shared" ca="1" si="84"/>
        <v>66</v>
      </c>
      <c r="H894" s="12">
        <f t="shared" ca="1" si="85"/>
        <v>-10</v>
      </c>
      <c r="I894" s="13">
        <f t="shared" ca="1" si="86"/>
        <v>3</v>
      </c>
      <c r="J894" s="14">
        <f t="shared" ca="1" si="83"/>
        <v>65</v>
      </c>
      <c r="K894" s="12" t="s">
        <v>40</v>
      </c>
      <c r="L894" s="12">
        <v>71</v>
      </c>
      <c r="M894" s="12" t="s">
        <v>40</v>
      </c>
      <c r="N894" s="12">
        <v>191</v>
      </c>
      <c r="O894" s="90" t="s">
        <v>2748</v>
      </c>
    </row>
    <row r="895" spans="1:15">
      <c r="A895" s="12">
        <f t="shared" si="87"/>
        <v>892</v>
      </c>
      <c r="B895" s="12" t="s">
        <v>9</v>
      </c>
      <c r="C895" s="12" t="s">
        <v>667</v>
      </c>
      <c r="D895" s="12" t="s">
        <v>479</v>
      </c>
      <c r="E895" s="89">
        <f t="shared" ca="1" si="88"/>
        <v>40951</v>
      </c>
      <c r="F895" s="11">
        <f>DATE(53,5,8)</f>
        <v>19487</v>
      </c>
      <c r="G895" s="12">
        <f t="shared" ca="1" si="84"/>
        <v>59</v>
      </c>
      <c r="H895" s="12">
        <f t="shared" ca="1" si="85"/>
        <v>-3</v>
      </c>
      <c r="I895" s="13">
        <f t="shared" ca="1" si="86"/>
        <v>4</v>
      </c>
      <c r="J895" s="14">
        <f t="shared" ca="1" si="83"/>
        <v>58</v>
      </c>
      <c r="K895" s="12" t="s">
        <v>41</v>
      </c>
      <c r="L895" s="12">
        <v>71</v>
      </c>
      <c r="M895" s="12" t="s">
        <v>40</v>
      </c>
      <c r="N895" s="12">
        <v>191</v>
      </c>
    </row>
    <row r="896" spans="1:15">
      <c r="A896" s="12">
        <f t="shared" si="87"/>
        <v>893</v>
      </c>
      <c r="B896" s="12" t="s">
        <v>9</v>
      </c>
      <c r="C896" s="12" t="s">
        <v>183</v>
      </c>
      <c r="D896" s="12" t="s">
        <v>479</v>
      </c>
      <c r="E896" s="89">
        <f t="shared" ca="1" si="88"/>
        <v>40951</v>
      </c>
      <c r="F896" s="11">
        <f>DATE(83,3,2)</f>
        <v>30377</v>
      </c>
      <c r="G896" s="12">
        <f t="shared" ca="1" si="84"/>
        <v>29</v>
      </c>
      <c r="H896" s="12">
        <f t="shared" ca="1" si="85"/>
        <v>-1</v>
      </c>
      <c r="I896" s="13">
        <f t="shared" ca="1" si="86"/>
        <v>10</v>
      </c>
      <c r="J896" s="14">
        <f t="shared" ca="1" si="83"/>
        <v>28</v>
      </c>
      <c r="K896" s="12" t="s">
        <v>40</v>
      </c>
      <c r="L896" s="12">
        <v>71</v>
      </c>
      <c r="M896" s="12" t="s">
        <v>44</v>
      </c>
      <c r="N896" s="12">
        <v>191</v>
      </c>
    </row>
    <row r="897" spans="1:15">
      <c r="A897" s="12">
        <f t="shared" si="87"/>
        <v>894</v>
      </c>
      <c r="B897" s="12" t="s">
        <v>9</v>
      </c>
      <c r="C897" s="12" t="s">
        <v>678</v>
      </c>
      <c r="D897" s="12" t="s">
        <v>679</v>
      </c>
      <c r="E897" s="89">
        <f t="shared" ca="1" si="88"/>
        <v>40951</v>
      </c>
      <c r="F897" s="11">
        <f>DATE(54,11,10)</f>
        <v>20038</v>
      </c>
      <c r="G897" s="12">
        <f t="shared" ca="1" si="84"/>
        <v>58</v>
      </c>
      <c r="H897" s="12">
        <f t="shared" ca="1" si="85"/>
        <v>-9</v>
      </c>
      <c r="I897" s="13">
        <f t="shared" ca="1" si="86"/>
        <v>2</v>
      </c>
      <c r="J897" s="14">
        <f t="shared" ca="1" si="83"/>
        <v>57</v>
      </c>
      <c r="K897" s="12" t="s">
        <v>40</v>
      </c>
      <c r="L897" s="12">
        <v>71</v>
      </c>
      <c r="M897" s="12" t="s">
        <v>40</v>
      </c>
      <c r="N897" s="12">
        <v>192</v>
      </c>
      <c r="O897" s="90" t="s">
        <v>2748</v>
      </c>
    </row>
    <row r="898" spans="1:15">
      <c r="A898" s="12">
        <f t="shared" si="87"/>
        <v>895</v>
      </c>
      <c r="B898" s="12" t="s">
        <v>9</v>
      </c>
      <c r="C898" s="12" t="s">
        <v>680</v>
      </c>
      <c r="D898" s="12" t="s">
        <v>678</v>
      </c>
      <c r="E898" s="89">
        <f t="shared" ca="1" si="88"/>
        <v>40951</v>
      </c>
      <c r="F898" s="11">
        <f>DATE(59,6,18)</f>
        <v>21719</v>
      </c>
      <c r="G898" s="12">
        <f t="shared" ca="1" si="84"/>
        <v>53</v>
      </c>
      <c r="H898" s="12">
        <f t="shared" ca="1" si="85"/>
        <v>-4</v>
      </c>
      <c r="I898" s="13">
        <f t="shared" ca="1" si="86"/>
        <v>-6</v>
      </c>
      <c r="J898" s="14">
        <f t="shared" ca="1" si="83"/>
        <v>52</v>
      </c>
      <c r="K898" s="12" t="s">
        <v>41</v>
      </c>
      <c r="L898" s="12">
        <v>71</v>
      </c>
      <c r="M898" s="12" t="s">
        <v>40</v>
      </c>
      <c r="N898" s="12">
        <v>192</v>
      </c>
    </row>
    <row r="899" spans="1:15">
      <c r="A899" s="12">
        <f t="shared" si="87"/>
        <v>896</v>
      </c>
      <c r="B899" s="12" t="s">
        <v>9</v>
      </c>
      <c r="C899" s="12" t="s">
        <v>681</v>
      </c>
      <c r="D899" s="12" t="s">
        <v>678</v>
      </c>
      <c r="E899" s="89">
        <f t="shared" ca="1" si="88"/>
        <v>40951</v>
      </c>
      <c r="F899" s="11">
        <f>DATE(82,7,30)</f>
        <v>30162</v>
      </c>
      <c r="G899" s="12">
        <f t="shared" ca="1" si="84"/>
        <v>30</v>
      </c>
      <c r="H899" s="12">
        <f t="shared" ca="1" si="85"/>
        <v>-5</v>
      </c>
      <c r="I899" s="13">
        <f t="shared" ca="1" si="86"/>
        <v>-18</v>
      </c>
      <c r="J899" s="14">
        <f t="shared" ref="J899:J963" ca="1" si="89">IF(H899&lt;0,G899-1,IF(H899&gt;0,G899,IF(I899&lt;0,G899-1,G899)))</f>
        <v>29</v>
      </c>
      <c r="K899" s="12" t="s">
        <v>40</v>
      </c>
      <c r="L899" s="12">
        <v>71</v>
      </c>
      <c r="M899" s="12" t="s">
        <v>44</v>
      </c>
      <c r="N899" s="12">
        <v>192</v>
      </c>
    </row>
    <row r="900" spans="1:15">
      <c r="A900" s="12">
        <f t="shared" si="87"/>
        <v>897</v>
      </c>
      <c r="B900" s="12" t="s">
        <v>9</v>
      </c>
      <c r="C900" s="12" t="s">
        <v>277</v>
      </c>
      <c r="D900" s="12" t="s">
        <v>682</v>
      </c>
      <c r="E900" s="89">
        <f t="shared" ca="1" si="88"/>
        <v>40951</v>
      </c>
      <c r="F900" s="11">
        <f>DATE(47,10,22)</f>
        <v>17462</v>
      </c>
      <c r="G900" s="12">
        <f t="shared" ca="1" si="84"/>
        <v>65</v>
      </c>
      <c r="H900" s="12">
        <f t="shared" ca="1" si="85"/>
        <v>-8</v>
      </c>
      <c r="I900" s="13">
        <f t="shared" ca="1" si="86"/>
        <v>-10</v>
      </c>
      <c r="J900" s="14">
        <f t="shared" ca="1" si="89"/>
        <v>64</v>
      </c>
      <c r="K900" s="12" t="s">
        <v>40</v>
      </c>
      <c r="L900" s="12">
        <v>71</v>
      </c>
      <c r="M900" s="12" t="s">
        <v>40</v>
      </c>
      <c r="N900" s="12">
        <v>193</v>
      </c>
      <c r="O900" s="90" t="s">
        <v>2748</v>
      </c>
    </row>
    <row r="901" spans="1:15">
      <c r="A901" s="12">
        <f t="shared" si="87"/>
        <v>898</v>
      </c>
      <c r="B901" s="12" t="s">
        <v>9</v>
      </c>
      <c r="C901" s="12" t="s">
        <v>325</v>
      </c>
      <c r="D901" s="12" t="s">
        <v>277</v>
      </c>
      <c r="E901" s="89">
        <f t="shared" ca="1" si="88"/>
        <v>40951</v>
      </c>
      <c r="F901" s="11">
        <f>DATE(52,7,26)</f>
        <v>19201</v>
      </c>
      <c r="G901" s="12">
        <f t="shared" ca="1" si="84"/>
        <v>60</v>
      </c>
      <c r="H901" s="12">
        <f t="shared" ca="1" si="85"/>
        <v>-5</v>
      </c>
      <c r="I901" s="13">
        <f t="shared" ca="1" si="86"/>
        <v>-14</v>
      </c>
      <c r="J901" s="14">
        <f t="shared" ca="1" si="89"/>
        <v>59</v>
      </c>
      <c r="K901" s="12" t="s">
        <v>41</v>
      </c>
      <c r="L901" s="12">
        <v>71</v>
      </c>
      <c r="M901" s="12" t="s">
        <v>40</v>
      </c>
      <c r="N901" s="12">
        <v>193</v>
      </c>
    </row>
    <row r="902" spans="1:15">
      <c r="A902" s="12">
        <f t="shared" si="87"/>
        <v>899</v>
      </c>
      <c r="B902" s="12" t="s">
        <v>9</v>
      </c>
      <c r="C902" s="12" t="s">
        <v>683</v>
      </c>
      <c r="D902" s="12" t="s">
        <v>277</v>
      </c>
      <c r="E902" s="89">
        <f t="shared" ca="1" si="88"/>
        <v>40951</v>
      </c>
      <c r="F902" s="11">
        <f>DATE(82,8,31)</f>
        <v>30194</v>
      </c>
      <c r="G902" s="12">
        <f t="shared" ca="1" si="84"/>
        <v>30</v>
      </c>
      <c r="H902" s="12">
        <f t="shared" ca="1" si="85"/>
        <v>-6</v>
      </c>
      <c r="I902" s="13">
        <f t="shared" ca="1" si="86"/>
        <v>-19</v>
      </c>
      <c r="J902" s="14">
        <f t="shared" ca="1" si="89"/>
        <v>29</v>
      </c>
      <c r="K902" s="12" t="s">
        <v>40</v>
      </c>
      <c r="L902" s="12">
        <v>71</v>
      </c>
      <c r="M902" s="12" t="s">
        <v>44</v>
      </c>
      <c r="N902" s="12">
        <v>193</v>
      </c>
    </row>
    <row r="903" spans="1:15">
      <c r="A903" s="12">
        <f t="shared" si="87"/>
        <v>900</v>
      </c>
      <c r="B903" s="12" t="s">
        <v>9</v>
      </c>
      <c r="C903" s="12" t="s">
        <v>71</v>
      </c>
      <c r="D903" s="12" t="s">
        <v>267</v>
      </c>
      <c r="E903" s="89">
        <f t="shared" ca="1" si="88"/>
        <v>40951</v>
      </c>
      <c r="F903" s="11">
        <f>DATE(51,10,10)</f>
        <v>18911</v>
      </c>
      <c r="G903" s="12">
        <f t="shared" ca="1" si="84"/>
        <v>61</v>
      </c>
      <c r="H903" s="12">
        <f t="shared" ca="1" si="85"/>
        <v>-8</v>
      </c>
      <c r="I903" s="13">
        <f t="shared" ca="1" si="86"/>
        <v>2</v>
      </c>
      <c r="J903" s="14">
        <f t="shared" ca="1" si="89"/>
        <v>60</v>
      </c>
      <c r="K903" s="12" t="s">
        <v>40</v>
      </c>
      <c r="L903" s="12">
        <v>71</v>
      </c>
      <c r="M903" s="12" t="s">
        <v>40</v>
      </c>
      <c r="N903" s="12">
        <v>194</v>
      </c>
      <c r="O903" s="90" t="s">
        <v>2748</v>
      </c>
    </row>
    <row r="904" spans="1:15">
      <c r="A904" s="12">
        <f t="shared" si="87"/>
        <v>901</v>
      </c>
      <c r="B904" s="12" t="s">
        <v>9</v>
      </c>
      <c r="C904" s="12" t="s">
        <v>684</v>
      </c>
      <c r="D904" s="12" t="s">
        <v>71</v>
      </c>
      <c r="E904" s="89">
        <f t="shared" ca="1" si="88"/>
        <v>40951</v>
      </c>
      <c r="F904" s="11">
        <f>DATE(56,1,21)</f>
        <v>20475</v>
      </c>
      <c r="G904" s="12">
        <f t="shared" ca="1" si="84"/>
        <v>56</v>
      </c>
      <c r="H904" s="12">
        <f t="shared" ca="1" si="85"/>
        <v>1</v>
      </c>
      <c r="I904" s="13">
        <f t="shared" ca="1" si="86"/>
        <v>-9</v>
      </c>
      <c r="J904" s="14">
        <f t="shared" ca="1" si="89"/>
        <v>56</v>
      </c>
      <c r="K904" s="12" t="s">
        <v>41</v>
      </c>
      <c r="L904" s="12">
        <v>71</v>
      </c>
      <c r="M904" s="12" t="s">
        <v>40</v>
      </c>
      <c r="N904" s="12">
        <v>194</v>
      </c>
    </row>
    <row r="905" spans="1:15">
      <c r="A905" s="12">
        <f t="shared" si="87"/>
        <v>902</v>
      </c>
      <c r="B905" s="12" t="s">
        <v>9</v>
      </c>
      <c r="C905" s="12" t="s">
        <v>685</v>
      </c>
      <c r="D905" s="12" t="s">
        <v>71</v>
      </c>
      <c r="E905" s="89">
        <f t="shared" ca="1" si="88"/>
        <v>40951</v>
      </c>
      <c r="F905" s="11">
        <f>DATE(79,2,1)</f>
        <v>28887</v>
      </c>
      <c r="G905" s="12">
        <f t="shared" ca="1" si="84"/>
        <v>33</v>
      </c>
      <c r="H905" s="12">
        <f t="shared" ca="1" si="85"/>
        <v>0</v>
      </c>
      <c r="I905" s="13">
        <f t="shared" ca="1" si="86"/>
        <v>11</v>
      </c>
      <c r="J905" s="14">
        <f t="shared" ca="1" si="89"/>
        <v>33</v>
      </c>
      <c r="K905" s="12" t="s">
        <v>40</v>
      </c>
      <c r="L905" s="12">
        <v>71</v>
      </c>
      <c r="M905" s="12" t="s">
        <v>44</v>
      </c>
      <c r="N905" s="12">
        <v>194</v>
      </c>
    </row>
    <row r="906" spans="1:15">
      <c r="A906" s="12">
        <f t="shared" si="87"/>
        <v>903</v>
      </c>
      <c r="B906" s="12" t="s">
        <v>9</v>
      </c>
      <c r="C906" s="12" t="s">
        <v>543</v>
      </c>
      <c r="D906" s="12" t="s">
        <v>71</v>
      </c>
      <c r="E906" s="89">
        <f t="shared" ca="1" si="88"/>
        <v>40951</v>
      </c>
      <c r="F906" s="11">
        <f>DATE(84,9,5)</f>
        <v>30930</v>
      </c>
      <c r="G906" s="12">
        <f t="shared" ca="1" si="84"/>
        <v>28</v>
      </c>
      <c r="H906" s="12">
        <f t="shared" ca="1" si="85"/>
        <v>-7</v>
      </c>
      <c r="I906" s="13">
        <f t="shared" ca="1" si="86"/>
        <v>7</v>
      </c>
      <c r="J906" s="14">
        <f t="shared" ca="1" si="89"/>
        <v>27</v>
      </c>
      <c r="K906" s="12" t="s">
        <v>40</v>
      </c>
      <c r="L906" s="12">
        <v>71</v>
      </c>
      <c r="M906" s="12" t="s">
        <v>44</v>
      </c>
      <c r="N906" s="12">
        <v>194</v>
      </c>
    </row>
    <row r="907" spans="1:15">
      <c r="A907" s="12">
        <f t="shared" si="87"/>
        <v>904</v>
      </c>
      <c r="B907" s="12" t="s">
        <v>9</v>
      </c>
      <c r="C907" s="12" t="s">
        <v>686</v>
      </c>
      <c r="D907" s="12" t="s">
        <v>679</v>
      </c>
      <c r="E907" s="89">
        <f t="shared" ca="1" si="88"/>
        <v>40951</v>
      </c>
      <c r="F907" s="11">
        <f>DATE(66,11,26)</f>
        <v>24437</v>
      </c>
      <c r="G907" s="12">
        <f t="shared" ca="1" si="84"/>
        <v>46</v>
      </c>
      <c r="H907" s="12">
        <f t="shared" ca="1" si="85"/>
        <v>-9</v>
      </c>
      <c r="I907" s="13">
        <f t="shared" ca="1" si="86"/>
        <v>-14</v>
      </c>
      <c r="J907" s="14">
        <f t="shared" ca="1" si="89"/>
        <v>45</v>
      </c>
      <c r="K907" s="12" t="s">
        <v>40</v>
      </c>
      <c r="L907" s="12">
        <v>72</v>
      </c>
      <c r="M907" s="12" t="s">
        <v>40</v>
      </c>
      <c r="N907" s="12">
        <v>195</v>
      </c>
      <c r="O907" s="90" t="s">
        <v>2748</v>
      </c>
    </row>
    <row r="908" spans="1:15">
      <c r="A908" s="12">
        <f t="shared" si="87"/>
        <v>905</v>
      </c>
      <c r="B908" s="12" t="s">
        <v>9</v>
      </c>
      <c r="C908" s="12" t="s">
        <v>654</v>
      </c>
      <c r="D908" s="12" t="s">
        <v>686</v>
      </c>
      <c r="E908" s="89">
        <f t="shared" ca="1" si="88"/>
        <v>40951</v>
      </c>
      <c r="F908" s="11">
        <f>DATE(63,4,25)</f>
        <v>23126</v>
      </c>
      <c r="G908" s="12">
        <f t="shared" ca="1" si="84"/>
        <v>49</v>
      </c>
      <c r="H908" s="12">
        <f t="shared" ca="1" si="85"/>
        <v>-2</v>
      </c>
      <c r="I908" s="13">
        <f t="shared" ca="1" si="86"/>
        <v>-13</v>
      </c>
      <c r="J908" s="14">
        <f t="shared" ca="1" si="89"/>
        <v>48</v>
      </c>
      <c r="K908" s="12" t="s">
        <v>41</v>
      </c>
      <c r="L908" s="12">
        <v>72</v>
      </c>
      <c r="M908" s="12" t="s">
        <v>40</v>
      </c>
      <c r="N908" s="12">
        <v>195</v>
      </c>
    </row>
    <row r="909" spans="1:15">
      <c r="A909" s="12">
        <f t="shared" si="87"/>
        <v>906</v>
      </c>
      <c r="B909" s="12" t="s">
        <v>9</v>
      </c>
      <c r="C909" s="12" t="s">
        <v>151</v>
      </c>
      <c r="D909" s="12" t="s">
        <v>686</v>
      </c>
      <c r="E909" s="89">
        <f t="shared" ca="1" si="88"/>
        <v>40951</v>
      </c>
      <c r="F909" s="11">
        <f>DATE(87,5,24)</f>
        <v>31921</v>
      </c>
      <c r="G909" s="12">
        <f t="shared" ca="1" si="84"/>
        <v>25</v>
      </c>
      <c r="H909" s="12">
        <f t="shared" ca="1" si="85"/>
        <v>-3</v>
      </c>
      <c r="I909" s="13">
        <f t="shared" ca="1" si="86"/>
        <v>-12</v>
      </c>
      <c r="J909" s="14">
        <f t="shared" ca="1" si="89"/>
        <v>24</v>
      </c>
      <c r="K909" s="12" t="s">
        <v>40</v>
      </c>
      <c r="L909" s="12">
        <v>72</v>
      </c>
      <c r="M909" s="12" t="s">
        <v>44</v>
      </c>
      <c r="N909" s="12">
        <v>195</v>
      </c>
    </row>
    <row r="910" spans="1:15">
      <c r="A910" s="12">
        <f t="shared" si="87"/>
        <v>907</v>
      </c>
      <c r="B910" s="12" t="s">
        <v>9</v>
      </c>
      <c r="C910" s="12" t="s">
        <v>687</v>
      </c>
      <c r="D910" s="12" t="s">
        <v>686</v>
      </c>
      <c r="E910" s="89">
        <f t="shared" ca="1" si="88"/>
        <v>40951</v>
      </c>
      <c r="F910" s="11">
        <f>DATE(94,2,18)</f>
        <v>34383</v>
      </c>
      <c r="G910" s="12">
        <f t="shared" ca="1" si="84"/>
        <v>18</v>
      </c>
      <c r="H910" s="12">
        <f t="shared" ca="1" si="85"/>
        <v>0</v>
      </c>
      <c r="I910" s="13">
        <f t="shared" ca="1" si="86"/>
        <v>-6</v>
      </c>
      <c r="J910" s="14">
        <f t="shared" ca="1" si="89"/>
        <v>17</v>
      </c>
      <c r="K910" s="12" t="s">
        <v>40</v>
      </c>
      <c r="L910" s="12">
        <v>72</v>
      </c>
      <c r="M910" s="12" t="s">
        <v>44</v>
      </c>
      <c r="N910" s="12">
        <v>195</v>
      </c>
    </row>
    <row r="911" spans="1:15">
      <c r="A911" s="12">
        <f t="shared" si="87"/>
        <v>908</v>
      </c>
      <c r="B911" s="12" t="s">
        <v>9</v>
      </c>
      <c r="C911" s="12" t="s">
        <v>96</v>
      </c>
      <c r="D911" s="12" t="s">
        <v>679</v>
      </c>
      <c r="E911" s="89">
        <f t="shared" ca="1" si="88"/>
        <v>40951</v>
      </c>
      <c r="F911" s="11">
        <f>DATE(48,11,7)</f>
        <v>17844</v>
      </c>
      <c r="G911" s="12">
        <f t="shared" ca="1" si="84"/>
        <v>64</v>
      </c>
      <c r="H911" s="12">
        <f t="shared" ca="1" si="85"/>
        <v>-9</v>
      </c>
      <c r="I911" s="13">
        <f t="shared" ca="1" si="86"/>
        <v>5</v>
      </c>
      <c r="J911" s="14">
        <f t="shared" ca="1" si="89"/>
        <v>63</v>
      </c>
      <c r="K911" s="12" t="s">
        <v>40</v>
      </c>
      <c r="L911" s="12">
        <v>72</v>
      </c>
      <c r="M911" s="12" t="s">
        <v>40</v>
      </c>
      <c r="N911" s="12">
        <v>196</v>
      </c>
      <c r="O911" s="90" t="s">
        <v>2748</v>
      </c>
    </row>
    <row r="912" spans="1:15">
      <c r="A912" s="12">
        <f t="shared" si="87"/>
        <v>909</v>
      </c>
      <c r="B912" s="12" t="s">
        <v>9</v>
      </c>
      <c r="C912" s="12" t="s">
        <v>81</v>
      </c>
      <c r="D912" s="12" t="s">
        <v>96</v>
      </c>
      <c r="E912" s="89">
        <f t="shared" ca="1" si="88"/>
        <v>40951</v>
      </c>
      <c r="F912" s="11">
        <f>DATE(52,7,28)</f>
        <v>19203</v>
      </c>
      <c r="G912" s="12">
        <f t="shared" ca="1" si="84"/>
        <v>60</v>
      </c>
      <c r="H912" s="12">
        <f t="shared" ca="1" si="85"/>
        <v>-5</v>
      </c>
      <c r="I912" s="13">
        <f t="shared" ca="1" si="86"/>
        <v>-16</v>
      </c>
      <c r="J912" s="14">
        <f t="shared" ca="1" si="89"/>
        <v>59</v>
      </c>
      <c r="K912" s="12" t="s">
        <v>41</v>
      </c>
      <c r="L912" s="12">
        <v>72</v>
      </c>
      <c r="M912" s="12" t="s">
        <v>40</v>
      </c>
      <c r="N912" s="12">
        <v>196</v>
      </c>
    </row>
    <row r="913" spans="1:15">
      <c r="A913" s="12">
        <f t="shared" si="87"/>
        <v>910</v>
      </c>
      <c r="B913" s="12" t="s">
        <v>9</v>
      </c>
      <c r="C913" s="12" t="s">
        <v>688</v>
      </c>
      <c r="D913" s="12" t="s">
        <v>96</v>
      </c>
      <c r="E913" s="89">
        <f t="shared" ca="1" si="88"/>
        <v>40951</v>
      </c>
      <c r="F913" s="11">
        <f>DATE(77,9,22)</f>
        <v>28390</v>
      </c>
      <c r="G913" s="12">
        <f t="shared" ca="1" si="84"/>
        <v>35</v>
      </c>
      <c r="H913" s="12">
        <f t="shared" ca="1" si="85"/>
        <v>-7</v>
      </c>
      <c r="I913" s="13">
        <f t="shared" ca="1" si="86"/>
        <v>-10</v>
      </c>
      <c r="J913" s="14">
        <f t="shared" ca="1" si="89"/>
        <v>34</v>
      </c>
      <c r="K913" s="12" t="s">
        <v>40</v>
      </c>
      <c r="L913" s="12">
        <v>72</v>
      </c>
      <c r="M913" s="12" t="s">
        <v>40</v>
      </c>
      <c r="N913" s="12">
        <v>196</v>
      </c>
    </row>
    <row r="914" spans="1:15">
      <c r="A914" s="12">
        <f t="shared" si="87"/>
        <v>911</v>
      </c>
      <c r="B914" s="12" t="s">
        <v>9</v>
      </c>
      <c r="C914" s="12" t="s">
        <v>689</v>
      </c>
      <c r="D914" s="12" t="s">
        <v>688</v>
      </c>
      <c r="E914" s="89">
        <f t="shared" ca="1" si="88"/>
        <v>40951</v>
      </c>
      <c r="F914" s="11">
        <f>DATE(83,12,12)</f>
        <v>30662</v>
      </c>
      <c r="G914" s="12">
        <f t="shared" ca="1" si="84"/>
        <v>29</v>
      </c>
      <c r="H914" s="12">
        <f t="shared" ca="1" si="85"/>
        <v>-10</v>
      </c>
      <c r="I914" s="13">
        <f t="shared" ca="1" si="86"/>
        <v>0</v>
      </c>
      <c r="J914" s="14">
        <f t="shared" ca="1" si="89"/>
        <v>28</v>
      </c>
      <c r="K914" s="12" t="s">
        <v>41</v>
      </c>
      <c r="L914" s="12">
        <v>72</v>
      </c>
      <c r="M914" s="12" t="s">
        <v>40</v>
      </c>
      <c r="N914" s="12">
        <v>196</v>
      </c>
    </row>
    <row r="915" spans="1:15">
      <c r="A915" s="12">
        <f t="shared" si="87"/>
        <v>912</v>
      </c>
      <c r="B915" s="12" t="s">
        <v>9</v>
      </c>
      <c r="C915" s="12" t="s">
        <v>690</v>
      </c>
      <c r="D915" s="12" t="s">
        <v>96</v>
      </c>
      <c r="E915" s="89">
        <f t="shared" ca="1" si="88"/>
        <v>40951</v>
      </c>
      <c r="F915" s="11">
        <f>DATE(82,11,22)</f>
        <v>30277</v>
      </c>
      <c r="G915" s="12">
        <f t="shared" ca="1" si="84"/>
        <v>30</v>
      </c>
      <c r="H915" s="12">
        <f t="shared" ca="1" si="85"/>
        <v>-9</v>
      </c>
      <c r="I915" s="13">
        <f t="shared" ca="1" si="86"/>
        <v>-10</v>
      </c>
      <c r="J915" s="14">
        <f t="shared" ca="1" si="89"/>
        <v>29</v>
      </c>
      <c r="K915" s="12" t="s">
        <v>41</v>
      </c>
      <c r="L915" s="12">
        <v>72</v>
      </c>
      <c r="M915" s="12" t="s">
        <v>44</v>
      </c>
      <c r="N915" s="12">
        <v>196</v>
      </c>
    </row>
    <row r="916" spans="1:15">
      <c r="A916" s="12">
        <f t="shared" si="87"/>
        <v>913</v>
      </c>
      <c r="B916" s="12" t="s">
        <v>9</v>
      </c>
      <c r="C916" s="12" t="s">
        <v>691</v>
      </c>
      <c r="D916" s="12" t="s">
        <v>522</v>
      </c>
      <c r="E916" s="89">
        <f t="shared" ca="1" si="88"/>
        <v>40951</v>
      </c>
      <c r="F916" s="11">
        <f>DATE(22,10,29)</f>
        <v>8338</v>
      </c>
      <c r="G916" s="12">
        <f t="shared" ca="1" si="84"/>
        <v>90</v>
      </c>
      <c r="H916" s="12">
        <f t="shared" ca="1" si="85"/>
        <v>-8</v>
      </c>
      <c r="I916" s="13">
        <f t="shared" ca="1" si="86"/>
        <v>-17</v>
      </c>
      <c r="J916" s="14">
        <f t="shared" ca="1" si="89"/>
        <v>89</v>
      </c>
      <c r="K916" s="12" t="s">
        <v>40</v>
      </c>
      <c r="L916" s="12">
        <v>72</v>
      </c>
      <c r="M916" s="12" t="s">
        <v>40</v>
      </c>
      <c r="N916" s="12">
        <v>197</v>
      </c>
      <c r="O916" s="90" t="s">
        <v>2748</v>
      </c>
    </row>
    <row r="917" spans="1:15">
      <c r="A917" s="12">
        <f t="shared" si="87"/>
        <v>914</v>
      </c>
      <c r="B917" s="12" t="s">
        <v>9</v>
      </c>
      <c r="C917" s="12" t="s">
        <v>142</v>
      </c>
      <c r="D917" s="12" t="s">
        <v>77</v>
      </c>
      <c r="E917" s="89">
        <f t="shared" ca="1" si="88"/>
        <v>40951</v>
      </c>
      <c r="F917" s="11">
        <f>DATE(35,6,2)</f>
        <v>12937</v>
      </c>
      <c r="G917" s="12">
        <f t="shared" ca="1" si="84"/>
        <v>77</v>
      </c>
      <c r="H917" s="12">
        <f t="shared" ca="1" si="85"/>
        <v>-4</v>
      </c>
      <c r="I917" s="13">
        <f t="shared" ca="1" si="86"/>
        <v>10</v>
      </c>
      <c r="J917" s="14">
        <f t="shared" ca="1" si="89"/>
        <v>76</v>
      </c>
      <c r="K917" s="12" t="s">
        <v>40</v>
      </c>
      <c r="L917" s="12">
        <v>73</v>
      </c>
      <c r="M917" s="12" t="s">
        <v>40</v>
      </c>
      <c r="N917" s="12">
        <v>198</v>
      </c>
      <c r="O917" s="90" t="s">
        <v>2748</v>
      </c>
    </row>
    <row r="918" spans="1:15">
      <c r="A918" s="12">
        <f t="shared" si="87"/>
        <v>915</v>
      </c>
      <c r="B918" s="12" t="s">
        <v>9</v>
      </c>
      <c r="C918" s="12" t="s">
        <v>318</v>
      </c>
      <c r="D918" s="12" t="s">
        <v>142</v>
      </c>
      <c r="E918" s="89">
        <f t="shared" ca="1" si="88"/>
        <v>40951</v>
      </c>
      <c r="F918" s="11">
        <f>DATE(39,8,21)</f>
        <v>14478</v>
      </c>
      <c r="G918" s="12">
        <f t="shared" ca="1" si="84"/>
        <v>73</v>
      </c>
      <c r="H918" s="12">
        <f t="shared" ca="1" si="85"/>
        <v>-6</v>
      </c>
      <c r="I918" s="13">
        <f t="shared" ca="1" si="86"/>
        <v>-9</v>
      </c>
      <c r="J918" s="14">
        <f t="shared" ca="1" si="89"/>
        <v>72</v>
      </c>
      <c r="K918" s="12" t="s">
        <v>41</v>
      </c>
      <c r="L918" s="12">
        <v>73</v>
      </c>
      <c r="M918" s="12" t="s">
        <v>40</v>
      </c>
      <c r="N918" s="12">
        <v>198</v>
      </c>
    </row>
    <row r="919" spans="1:15">
      <c r="A919" s="12">
        <f t="shared" si="87"/>
        <v>916</v>
      </c>
      <c r="B919" s="12" t="s">
        <v>9</v>
      </c>
      <c r="C919" s="12" t="s">
        <v>692</v>
      </c>
      <c r="D919" s="12" t="s">
        <v>142</v>
      </c>
      <c r="E919" s="89">
        <f t="shared" ca="1" si="88"/>
        <v>40951</v>
      </c>
      <c r="F919" s="11">
        <f>DATE(61,11,14)</f>
        <v>22599</v>
      </c>
      <c r="G919" s="12">
        <f t="shared" ca="1" si="84"/>
        <v>51</v>
      </c>
      <c r="H919" s="12">
        <f t="shared" ca="1" si="85"/>
        <v>-9</v>
      </c>
      <c r="I919" s="13">
        <f t="shared" ca="1" si="86"/>
        <v>-2</v>
      </c>
      <c r="J919" s="14">
        <f t="shared" ca="1" si="89"/>
        <v>50</v>
      </c>
      <c r="K919" s="12" t="s">
        <v>40</v>
      </c>
      <c r="L919" s="12">
        <v>73</v>
      </c>
      <c r="M919" s="12" t="s">
        <v>44</v>
      </c>
      <c r="N919" s="12">
        <v>198</v>
      </c>
    </row>
    <row r="920" spans="1:15">
      <c r="A920" s="12">
        <f t="shared" si="87"/>
        <v>917</v>
      </c>
      <c r="B920" s="12" t="s">
        <v>9</v>
      </c>
      <c r="C920" s="12" t="s">
        <v>632</v>
      </c>
      <c r="D920" s="12" t="s">
        <v>142</v>
      </c>
      <c r="E920" s="89">
        <f t="shared" ca="1" si="88"/>
        <v>40951</v>
      </c>
      <c r="F920" s="11">
        <f>DATE(65,8,10)</f>
        <v>23964</v>
      </c>
      <c r="G920" s="12">
        <f t="shared" ca="1" si="84"/>
        <v>47</v>
      </c>
      <c r="H920" s="12">
        <f t="shared" ca="1" si="85"/>
        <v>-6</v>
      </c>
      <c r="I920" s="13">
        <f t="shared" ca="1" si="86"/>
        <v>2</v>
      </c>
      <c r="J920" s="14">
        <f t="shared" ca="1" si="89"/>
        <v>46</v>
      </c>
      <c r="K920" s="12" t="s">
        <v>41</v>
      </c>
      <c r="L920" s="12">
        <v>73</v>
      </c>
      <c r="M920" s="12" t="s">
        <v>44</v>
      </c>
      <c r="N920" s="12">
        <v>198</v>
      </c>
    </row>
    <row r="921" spans="1:15">
      <c r="A921" s="12">
        <f t="shared" si="87"/>
        <v>918</v>
      </c>
      <c r="B921" s="12" t="s">
        <v>9</v>
      </c>
      <c r="C921" s="12" t="s">
        <v>693</v>
      </c>
      <c r="D921" s="12" t="s">
        <v>142</v>
      </c>
      <c r="E921" s="89">
        <f t="shared" ca="1" si="88"/>
        <v>40951</v>
      </c>
      <c r="F921" s="11">
        <f>DATE(63,6,25)</f>
        <v>23187</v>
      </c>
      <c r="G921" s="12">
        <f t="shared" ref="G921:G985" ca="1" si="90">YEAR(E921)-YEAR(F921)</f>
        <v>49</v>
      </c>
      <c r="H921" s="12">
        <f t="shared" ref="H921:H985" ca="1" si="91">MONTH(E921)-MONTH(F921)</f>
        <v>-4</v>
      </c>
      <c r="I921" s="13">
        <f t="shared" ref="I921:I985" ca="1" si="92">DAY(E921)-DAY(F921)</f>
        <v>-13</v>
      </c>
      <c r="J921" s="14">
        <f t="shared" ca="1" si="89"/>
        <v>48</v>
      </c>
      <c r="K921" s="12" t="s">
        <v>40</v>
      </c>
      <c r="L921" s="12">
        <v>73</v>
      </c>
      <c r="M921" s="12" t="s">
        <v>40</v>
      </c>
      <c r="N921" s="12">
        <v>198</v>
      </c>
    </row>
    <row r="922" spans="1:15">
      <c r="A922" s="12">
        <f t="shared" si="87"/>
        <v>919</v>
      </c>
      <c r="B922" s="12" t="s">
        <v>9</v>
      </c>
      <c r="C922" s="12" t="s">
        <v>694</v>
      </c>
      <c r="D922" s="12" t="s">
        <v>693</v>
      </c>
      <c r="E922" s="89">
        <f t="shared" ca="1" si="88"/>
        <v>40951</v>
      </c>
      <c r="F922" s="11">
        <f>DATE(64,12,10)</f>
        <v>23721</v>
      </c>
      <c r="G922" s="12">
        <f t="shared" ca="1" si="90"/>
        <v>48</v>
      </c>
      <c r="H922" s="12">
        <f t="shared" ca="1" si="91"/>
        <v>-10</v>
      </c>
      <c r="I922" s="13">
        <f t="shared" ca="1" si="92"/>
        <v>2</v>
      </c>
      <c r="J922" s="14">
        <f t="shared" ca="1" si="89"/>
        <v>47</v>
      </c>
      <c r="K922" s="12" t="s">
        <v>41</v>
      </c>
      <c r="L922" s="12">
        <v>73</v>
      </c>
      <c r="M922" s="12" t="s">
        <v>40</v>
      </c>
      <c r="N922" s="12">
        <v>198</v>
      </c>
    </row>
    <row r="923" spans="1:15">
      <c r="A923" s="12">
        <f t="shared" si="87"/>
        <v>920</v>
      </c>
      <c r="B923" s="12" t="s">
        <v>9</v>
      </c>
      <c r="C923" s="12" t="s">
        <v>695</v>
      </c>
      <c r="D923" s="12" t="s">
        <v>693</v>
      </c>
      <c r="E923" s="89">
        <f t="shared" ca="1" si="88"/>
        <v>40951</v>
      </c>
      <c r="F923" s="11">
        <f>DATE(96,7,7)</f>
        <v>35253</v>
      </c>
      <c r="G923" s="12">
        <f t="shared" ca="1" si="90"/>
        <v>16</v>
      </c>
      <c r="H923" s="12">
        <f t="shared" ca="1" si="91"/>
        <v>-5</v>
      </c>
      <c r="I923" s="13">
        <f t="shared" ca="1" si="92"/>
        <v>5</v>
      </c>
      <c r="J923" s="14">
        <f t="shared" ca="1" si="89"/>
        <v>15</v>
      </c>
      <c r="K923" s="12" t="s">
        <v>40</v>
      </c>
      <c r="L923" s="12">
        <v>73</v>
      </c>
      <c r="M923" s="12" t="s">
        <v>44</v>
      </c>
      <c r="N923" s="12">
        <v>198</v>
      </c>
    </row>
    <row r="924" spans="1:15">
      <c r="A924" s="12">
        <f t="shared" si="87"/>
        <v>921</v>
      </c>
      <c r="B924" s="12" t="s">
        <v>9</v>
      </c>
      <c r="C924" s="12" t="s">
        <v>696</v>
      </c>
      <c r="D924" s="12" t="s">
        <v>693</v>
      </c>
      <c r="E924" s="89">
        <f t="shared" ca="1" si="88"/>
        <v>40951</v>
      </c>
      <c r="F924" s="11">
        <f>DATE(98,8,24)</f>
        <v>36031</v>
      </c>
      <c r="G924" s="12">
        <f t="shared" ca="1" si="90"/>
        <v>14</v>
      </c>
      <c r="H924" s="12">
        <f t="shared" ca="1" si="91"/>
        <v>-6</v>
      </c>
      <c r="I924" s="13">
        <f t="shared" ca="1" si="92"/>
        <v>-12</v>
      </c>
      <c r="J924" s="14">
        <f t="shared" ca="1" si="89"/>
        <v>13</v>
      </c>
      <c r="K924" s="12" t="s">
        <v>40</v>
      </c>
      <c r="L924" s="12">
        <v>73</v>
      </c>
      <c r="M924" s="12" t="s">
        <v>44</v>
      </c>
      <c r="N924" s="12">
        <v>198</v>
      </c>
    </row>
    <row r="925" spans="1:15">
      <c r="A925" s="12">
        <f t="shared" si="87"/>
        <v>922</v>
      </c>
      <c r="B925" s="12" t="s">
        <v>271</v>
      </c>
      <c r="C925" s="12" t="s">
        <v>164</v>
      </c>
      <c r="D925" s="12" t="s">
        <v>697</v>
      </c>
      <c r="E925" s="89">
        <f t="shared" ca="1" si="88"/>
        <v>40951</v>
      </c>
      <c r="F925" s="11">
        <f>DATE(69,4,2)</f>
        <v>25295</v>
      </c>
      <c r="G925" s="12">
        <f t="shared" ca="1" si="90"/>
        <v>43</v>
      </c>
      <c r="H925" s="12">
        <f t="shared" ca="1" si="91"/>
        <v>-2</v>
      </c>
      <c r="I925" s="13">
        <f t="shared" ca="1" si="92"/>
        <v>10</v>
      </c>
      <c r="J925" s="14">
        <f t="shared" ca="1" si="89"/>
        <v>42</v>
      </c>
      <c r="K925" s="12" t="s">
        <v>40</v>
      </c>
      <c r="L925" s="12">
        <v>74</v>
      </c>
      <c r="M925" s="12" t="s">
        <v>40</v>
      </c>
      <c r="N925" s="12">
        <v>199</v>
      </c>
      <c r="O925" s="90" t="s">
        <v>2748</v>
      </c>
    </row>
    <row r="926" spans="1:15">
      <c r="A926" s="12">
        <f t="shared" ref="A926:A989" si="93">A925+1</f>
        <v>923</v>
      </c>
      <c r="B926" s="12" t="s">
        <v>271</v>
      </c>
      <c r="C926" s="12" t="s">
        <v>402</v>
      </c>
      <c r="D926" s="12" t="s">
        <v>249</v>
      </c>
      <c r="E926" s="89">
        <f t="shared" ca="1" si="88"/>
        <v>40951</v>
      </c>
      <c r="F926" s="11">
        <f>DATE(72,10,16)</f>
        <v>26588</v>
      </c>
      <c r="G926" s="12">
        <f t="shared" ca="1" si="90"/>
        <v>40</v>
      </c>
      <c r="H926" s="12">
        <f t="shared" ca="1" si="91"/>
        <v>-8</v>
      </c>
      <c r="I926" s="13">
        <f t="shared" ca="1" si="92"/>
        <v>-4</v>
      </c>
      <c r="J926" s="14">
        <f t="shared" ca="1" si="89"/>
        <v>39</v>
      </c>
      <c r="K926" s="12" t="s">
        <v>41</v>
      </c>
      <c r="L926" s="12">
        <v>74</v>
      </c>
      <c r="M926" s="12" t="s">
        <v>40</v>
      </c>
      <c r="N926" s="12">
        <v>199</v>
      </c>
    </row>
    <row r="927" spans="1:15">
      <c r="A927" s="12">
        <f t="shared" si="93"/>
        <v>924</v>
      </c>
      <c r="B927" s="12" t="s">
        <v>271</v>
      </c>
      <c r="C927" s="12" t="s">
        <v>698</v>
      </c>
      <c r="D927" s="12" t="s">
        <v>249</v>
      </c>
      <c r="E927" s="89">
        <f t="shared" ca="1" si="88"/>
        <v>40951</v>
      </c>
      <c r="F927" s="11">
        <f>DATE(97,3,25)</f>
        <v>35514</v>
      </c>
      <c r="G927" s="12">
        <f t="shared" ca="1" si="90"/>
        <v>15</v>
      </c>
      <c r="H927" s="12">
        <f t="shared" ca="1" si="91"/>
        <v>-1</v>
      </c>
      <c r="I927" s="13">
        <f t="shared" ca="1" si="92"/>
        <v>-13</v>
      </c>
      <c r="J927" s="14">
        <f t="shared" ca="1" si="89"/>
        <v>14</v>
      </c>
      <c r="K927" s="12" t="s">
        <v>41</v>
      </c>
      <c r="L927" s="12">
        <v>74</v>
      </c>
      <c r="M927" s="12" t="s">
        <v>44</v>
      </c>
      <c r="N927" s="12">
        <v>199</v>
      </c>
    </row>
    <row r="928" spans="1:15">
      <c r="A928" s="12">
        <f t="shared" si="93"/>
        <v>925</v>
      </c>
      <c r="B928" s="12" t="s">
        <v>271</v>
      </c>
      <c r="C928" s="12" t="s">
        <v>699</v>
      </c>
      <c r="D928" s="12" t="s">
        <v>249</v>
      </c>
      <c r="E928" s="89">
        <f t="shared" ca="1" si="88"/>
        <v>40951</v>
      </c>
      <c r="F928" s="11">
        <f>DATE(2002,4,27)</f>
        <v>37373</v>
      </c>
      <c r="G928" s="12">
        <f t="shared" ca="1" si="90"/>
        <v>10</v>
      </c>
      <c r="H928" s="12">
        <f t="shared" ca="1" si="91"/>
        <v>-2</v>
      </c>
      <c r="I928" s="13">
        <f t="shared" ca="1" si="92"/>
        <v>-15</v>
      </c>
      <c r="J928" s="14">
        <f t="shared" ca="1" si="89"/>
        <v>9</v>
      </c>
      <c r="K928" s="12" t="s">
        <v>41</v>
      </c>
      <c r="L928" s="12">
        <v>74</v>
      </c>
      <c r="M928" s="12" t="s">
        <v>44</v>
      </c>
      <c r="N928" s="12">
        <v>199</v>
      </c>
    </row>
    <row r="929" spans="1:15">
      <c r="A929" s="12">
        <f t="shared" si="93"/>
        <v>926</v>
      </c>
      <c r="B929" s="12" t="s">
        <v>11</v>
      </c>
      <c r="C929" s="12" t="s">
        <v>315</v>
      </c>
      <c r="D929" s="12" t="s">
        <v>700</v>
      </c>
      <c r="E929" s="89">
        <f t="shared" ca="1" si="88"/>
        <v>40951</v>
      </c>
      <c r="F929" s="11">
        <f>DATE(45,8,3)</f>
        <v>16652</v>
      </c>
      <c r="G929" s="12">
        <f t="shared" ca="1" si="90"/>
        <v>67</v>
      </c>
      <c r="H929" s="12">
        <f t="shared" ca="1" si="91"/>
        <v>-6</v>
      </c>
      <c r="I929" s="13">
        <f t="shared" ca="1" si="92"/>
        <v>9</v>
      </c>
      <c r="J929" s="14">
        <f t="shared" ca="1" si="89"/>
        <v>66</v>
      </c>
      <c r="K929" s="12" t="s">
        <v>40</v>
      </c>
      <c r="L929" s="12">
        <v>75</v>
      </c>
      <c r="M929" s="12" t="s">
        <v>40</v>
      </c>
      <c r="N929" s="12">
        <v>200</v>
      </c>
      <c r="O929" s="90" t="s">
        <v>2748</v>
      </c>
    </row>
    <row r="930" spans="1:15">
      <c r="A930" s="12">
        <f t="shared" si="93"/>
        <v>927</v>
      </c>
      <c r="B930" s="12" t="s">
        <v>11</v>
      </c>
      <c r="C930" s="12" t="s">
        <v>345</v>
      </c>
      <c r="D930" s="12" t="s">
        <v>315</v>
      </c>
      <c r="E930" s="89">
        <f t="shared" ca="1" si="88"/>
        <v>40951</v>
      </c>
      <c r="F930" s="11">
        <f>DATE(46,1,2)</f>
        <v>16804</v>
      </c>
      <c r="G930" s="12">
        <f t="shared" ca="1" si="90"/>
        <v>66</v>
      </c>
      <c r="H930" s="12">
        <f t="shared" ca="1" si="91"/>
        <v>1</v>
      </c>
      <c r="I930" s="13">
        <f t="shared" ca="1" si="92"/>
        <v>10</v>
      </c>
      <c r="J930" s="14">
        <f t="shared" ca="1" si="89"/>
        <v>66</v>
      </c>
      <c r="K930" s="12" t="s">
        <v>40</v>
      </c>
      <c r="L930" s="12">
        <v>75</v>
      </c>
      <c r="M930" s="12" t="s">
        <v>40</v>
      </c>
      <c r="N930" s="12">
        <v>200</v>
      </c>
    </row>
    <row r="931" spans="1:15">
      <c r="A931" s="12">
        <f t="shared" si="93"/>
        <v>928</v>
      </c>
      <c r="B931" s="12" t="s">
        <v>11</v>
      </c>
      <c r="C931" s="12" t="s">
        <v>315</v>
      </c>
      <c r="D931" s="12" t="s">
        <v>198</v>
      </c>
      <c r="E931" s="89">
        <f t="shared" ca="1" si="88"/>
        <v>40951</v>
      </c>
      <c r="F931" s="11">
        <f>DATE(43,10,5)</f>
        <v>15984</v>
      </c>
      <c r="G931" s="12">
        <f t="shared" ca="1" si="90"/>
        <v>69</v>
      </c>
      <c r="H931" s="12">
        <f t="shared" ca="1" si="91"/>
        <v>-8</v>
      </c>
      <c r="I931" s="13">
        <f t="shared" ca="1" si="92"/>
        <v>7</v>
      </c>
      <c r="J931" s="14">
        <f t="shared" ca="1" si="89"/>
        <v>68</v>
      </c>
      <c r="K931" s="12" t="s">
        <v>40</v>
      </c>
      <c r="L931" s="12">
        <v>75</v>
      </c>
      <c r="M931" s="12" t="s">
        <v>40</v>
      </c>
      <c r="N931" s="12">
        <v>201</v>
      </c>
      <c r="O931" s="90" t="s">
        <v>2748</v>
      </c>
    </row>
    <row r="932" spans="1:15">
      <c r="A932" s="12">
        <f t="shared" si="93"/>
        <v>929</v>
      </c>
      <c r="B932" s="12" t="s">
        <v>11</v>
      </c>
      <c r="C932" s="12" t="s">
        <v>87</v>
      </c>
      <c r="D932" s="12" t="s">
        <v>315</v>
      </c>
      <c r="E932" s="89">
        <f t="shared" ref="E932:E995" ca="1" si="94">TODAY()</f>
        <v>40951</v>
      </c>
      <c r="F932" s="11">
        <f>DATE(45,8,20)</f>
        <v>16669</v>
      </c>
      <c r="G932" s="12">
        <f t="shared" ca="1" si="90"/>
        <v>67</v>
      </c>
      <c r="H932" s="12">
        <f t="shared" ca="1" si="91"/>
        <v>-6</v>
      </c>
      <c r="I932" s="13">
        <f t="shared" ca="1" si="92"/>
        <v>-8</v>
      </c>
      <c r="J932" s="14">
        <f t="shared" ca="1" si="89"/>
        <v>66</v>
      </c>
      <c r="K932" s="12" t="s">
        <v>41</v>
      </c>
      <c r="L932" s="12">
        <v>75</v>
      </c>
      <c r="M932" s="12" t="s">
        <v>40</v>
      </c>
      <c r="N932" s="12">
        <v>201</v>
      </c>
    </row>
    <row r="933" spans="1:15">
      <c r="A933" s="12">
        <f t="shared" si="93"/>
        <v>930</v>
      </c>
      <c r="B933" s="12" t="s">
        <v>11</v>
      </c>
      <c r="C933" s="12" t="s">
        <v>166</v>
      </c>
      <c r="D933" s="12" t="s">
        <v>315</v>
      </c>
      <c r="E933" s="89">
        <f t="shared" ca="1" si="94"/>
        <v>40951</v>
      </c>
      <c r="F933" s="11">
        <f>DATE(67,1,25)</f>
        <v>24497</v>
      </c>
      <c r="G933" s="12">
        <f t="shared" ca="1" si="90"/>
        <v>45</v>
      </c>
      <c r="H933" s="12">
        <f t="shared" ca="1" si="91"/>
        <v>1</v>
      </c>
      <c r="I933" s="13">
        <f t="shared" ca="1" si="92"/>
        <v>-13</v>
      </c>
      <c r="J933" s="14">
        <f t="shared" ca="1" si="89"/>
        <v>45</v>
      </c>
      <c r="K933" s="12" t="s">
        <v>40</v>
      </c>
      <c r="L933" s="12">
        <v>75</v>
      </c>
      <c r="M933" s="12" t="s">
        <v>40</v>
      </c>
      <c r="N933" s="12">
        <v>201</v>
      </c>
    </row>
    <row r="934" spans="1:15">
      <c r="A934" s="12">
        <f t="shared" si="93"/>
        <v>931</v>
      </c>
      <c r="B934" s="12" t="s">
        <v>11</v>
      </c>
      <c r="C934" s="12" t="s">
        <v>701</v>
      </c>
      <c r="D934" s="12" t="s">
        <v>166</v>
      </c>
      <c r="E934" s="89">
        <f t="shared" ca="1" si="94"/>
        <v>40951</v>
      </c>
      <c r="F934" s="11">
        <f>DATE(71,12,10)</f>
        <v>26277</v>
      </c>
      <c r="G934" s="12">
        <f t="shared" ca="1" si="90"/>
        <v>41</v>
      </c>
      <c r="H934" s="12">
        <f t="shared" ca="1" si="91"/>
        <v>-10</v>
      </c>
      <c r="I934" s="13">
        <f t="shared" ca="1" si="92"/>
        <v>2</v>
      </c>
      <c r="J934" s="14">
        <f t="shared" ca="1" si="89"/>
        <v>40</v>
      </c>
      <c r="K934" s="12" t="s">
        <v>41</v>
      </c>
      <c r="L934" s="12">
        <v>75</v>
      </c>
      <c r="M934" s="12" t="s">
        <v>40</v>
      </c>
      <c r="N934" s="12">
        <v>201</v>
      </c>
    </row>
    <row r="935" spans="1:15">
      <c r="A935" s="12">
        <f t="shared" si="93"/>
        <v>932</v>
      </c>
      <c r="B935" s="12" t="s">
        <v>11</v>
      </c>
      <c r="C935" s="12" t="s">
        <v>571</v>
      </c>
      <c r="D935" s="12" t="s">
        <v>166</v>
      </c>
      <c r="E935" s="89">
        <f t="shared" ca="1" si="94"/>
        <v>40951</v>
      </c>
      <c r="F935" s="32"/>
      <c r="G935" s="12">
        <f t="shared" ca="1" si="90"/>
        <v>112</v>
      </c>
      <c r="H935" s="12">
        <f t="shared" ca="1" si="91"/>
        <v>1</v>
      </c>
      <c r="I935" s="13">
        <f t="shared" ca="1" si="92"/>
        <v>12</v>
      </c>
      <c r="J935" s="14">
        <f t="shared" ca="1" si="89"/>
        <v>112</v>
      </c>
      <c r="K935" s="12" t="s">
        <v>40</v>
      </c>
      <c r="L935" s="12">
        <v>75</v>
      </c>
      <c r="M935" s="12" t="s">
        <v>44</v>
      </c>
      <c r="N935" s="12">
        <v>201</v>
      </c>
    </row>
    <row r="936" spans="1:15">
      <c r="A936" s="12">
        <f t="shared" si="93"/>
        <v>933</v>
      </c>
      <c r="B936" s="12" t="s">
        <v>11</v>
      </c>
      <c r="C936" s="12" t="s">
        <v>693</v>
      </c>
      <c r="D936" s="12" t="s">
        <v>315</v>
      </c>
      <c r="E936" s="89">
        <f t="shared" ca="1" si="94"/>
        <v>40951</v>
      </c>
      <c r="F936" s="11">
        <f>DATE(78,4,1)</f>
        <v>28581</v>
      </c>
      <c r="G936" s="12">
        <f t="shared" ca="1" si="90"/>
        <v>34</v>
      </c>
      <c r="H936" s="12">
        <f t="shared" ca="1" si="91"/>
        <v>-2</v>
      </c>
      <c r="I936" s="13">
        <f t="shared" ca="1" si="92"/>
        <v>11</v>
      </c>
      <c r="J936" s="14">
        <f t="shared" ca="1" si="89"/>
        <v>33</v>
      </c>
      <c r="K936" s="12" t="s">
        <v>40</v>
      </c>
      <c r="L936" s="12">
        <v>75</v>
      </c>
      <c r="M936" s="81" t="s">
        <v>44</v>
      </c>
      <c r="N936" s="12">
        <v>201</v>
      </c>
    </row>
    <row r="937" spans="1:15">
      <c r="A937" s="12">
        <f t="shared" si="93"/>
        <v>934</v>
      </c>
      <c r="B937" s="12" t="s">
        <v>11</v>
      </c>
      <c r="C937" s="12" t="s">
        <v>430</v>
      </c>
      <c r="D937" s="12" t="s">
        <v>702</v>
      </c>
      <c r="E937" s="89">
        <f t="shared" ca="1" si="94"/>
        <v>40951</v>
      </c>
      <c r="F937" s="11">
        <f>DATE(59,1,24)</f>
        <v>21574</v>
      </c>
      <c r="G937" s="12">
        <f t="shared" ca="1" si="90"/>
        <v>53</v>
      </c>
      <c r="H937" s="12">
        <f t="shared" ca="1" si="91"/>
        <v>1</v>
      </c>
      <c r="I937" s="13">
        <f t="shared" ca="1" si="92"/>
        <v>-12</v>
      </c>
      <c r="J937" s="14">
        <f t="shared" ca="1" si="89"/>
        <v>53</v>
      </c>
      <c r="K937" s="12" t="s">
        <v>41</v>
      </c>
      <c r="L937" s="12">
        <v>75</v>
      </c>
      <c r="M937" s="12" t="s">
        <v>40</v>
      </c>
      <c r="N937" s="12">
        <v>202</v>
      </c>
      <c r="O937" s="90" t="s">
        <v>2748</v>
      </c>
    </row>
    <row r="938" spans="1:15">
      <c r="A938" s="12">
        <f t="shared" si="93"/>
        <v>935</v>
      </c>
      <c r="B938" s="12" t="s">
        <v>11</v>
      </c>
      <c r="C938" s="12" t="s">
        <v>377</v>
      </c>
      <c r="D938" s="12" t="s">
        <v>702</v>
      </c>
      <c r="E938" s="89">
        <f t="shared" ca="1" si="94"/>
        <v>40951</v>
      </c>
      <c r="F938" s="11">
        <f>DATE(79,10,30)</f>
        <v>29158</v>
      </c>
      <c r="G938" s="12">
        <f t="shared" ca="1" si="90"/>
        <v>33</v>
      </c>
      <c r="H938" s="12">
        <f t="shared" ca="1" si="91"/>
        <v>-8</v>
      </c>
      <c r="I938" s="13">
        <f t="shared" ca="1" si="92"/>
        <v>-18</v>
      </c>
      <c r="J938" s="14">
        <f t="shared" ca="1" si="89"/>
        <v>32</v>
      </c>
      <c r="K938" s="12" t="s">
        <v>40</v>
      </c>
      <c r="L938" s="12">
        <v>75</v>
      </c>
      <c r="M938" s="12" t="s">
        <v>44</v>
      </c>
      <c r="N938" s="12">
        <v>202</v>
      </c>
    </row>
    <row r="939" spans="1:15">
      <c r="A939" s="12">
        <f t="shared" si="93"/>
        <v>936</v>
      </c>
      <c r="B939" s="12" t="s">
        <v>11</v>
      </c>
      <c r="C939" s="12" t="s">
        <v>537</v>
      </c>
      <c r="D939" s="12" t="s">
        <v>700</v>
      </c>
      <c r="E939" s="89">
        <f t="shared" ca="1" si="94"/>
        <v>40951</v>
      </c>
      <c r="F939" s="11">
        <f>DATE(52,8,1)</f>
        <v>19207</v>
      </c>
      <c r="G939" s="12">
        <f t="shared" ca="1" si="90"/>
        <v>60</v>
      </c>
      <c r="H939" s="12">
        <f t="shared" ca="1" si="91"/>
        <v>-6</v>
      </c>
      <c r="I939" s="13">
        <f t="shared" ca="1" si="92"/>
        <v>11</v>
      </c>
      <c r="J939" s="14">
        <f t="shared" ca="1" si="89"/>
        <v>59</v>
      </c>
      <c r="K939" s="12" t="s">
        <v>40</v>
      </c>
      <c r="L939" s="12">
        <v>76</v>
      </c>
      <c r="M939" s="12" t="s">
        <v>40</v>
      </c>
      <c r="N939" s="12">
        <v>203</v>
      </c>
      <c r="O939" s="90" t="s">
        <v>2748</v>
      </c>
    </row>
    <row r="940" spans="1:15">
      <c r="A940" s="12">
        <f t="shared" si="93"/>
        <v>937</v>
      </c>
      <c r="B940" s="12" t="s">
        <v>11</v>
      </c>
      <c r="C940" s="12" t="s">
        <v>523</v>
      </c>
      <c r="D940" s="12" t="s">
        <v>537</v>
      </c>
      <c r="E940" s="89">
        <f t="shared" ca="1" si="94"/>
        <v>40951</v>
      </c>
      <c r="F940" s="11">
        <f>DATE(60,6,7)</f>
        <v>22074</v>
      </c>
      <c r="G940" s="12">
        <f t="shared" ca="1" si="90"/>
        <v>52</v>
      </c>
      <c r="H940" s="12">
        <f t="shared" ca="1" si="91"/>
        <v>-4</v>
      </c>
      <c r="I940" s="13">
        <f t="shared" ca="1" si="92"/>
        <v>5</v>
      </c>
      <c r="J940" s="14">
        <f t="shared" ca="1" si="89"/>
        <v>51</v>
      </c>
      <c r="K940" s="12" t="s">
        <v>41</v>
      </c>
      <c r="L940" s="12">
        <v>76</v>
      </c>
      <c r="M940" s="12" t="s">
        <v>40</v>
      </c>
      <c r="N940" s="12">
        <v>203</v>
      </c>
    </row>
    <row r="941" spans="1:15">
      <c r="A941" s="12">
        <f t="shared" si="93"/>
        <v>938</v>
      </c>
      <c r="B941" s="12" t="s">
        <v>11</v>
      </c>
      <c r="C941" s="12" t="s">
        <v>589</v>
      </c>
      <c r="D941" s="12" t="s">
        <v>537</v>
      </c>
      <c r="E941" s="89">
        <f t="shared" ca="1" si="94"/>
        <v>40951</v>
      </c>
      <c r="F941" s="11">
        <f>DATE(85,11,26)</f>
        <v>31377</v>
      </c>
      <c r="G941" s="12">
        <f t="shared" ca="1" si="90"/>
        <v>27</v>
      </c>
      <c r="H941" s="12">
        <f t="shared" ca="1" si="91"/>
        <v>-9</v>
      </c>
      <c r="I941" s="13">
        <f t="shared" ca="1" si="92"/>
        <v>-14</v>
      </c>
      <c r="J941" s="14">
        <f t="shared" ca="1" si="89"/>
        <v>26</v>
      </c>
      <c r="K941" s="12" t="s">
        <v>40</v>
      </c>
      <c r="L941" s="12">
        <v>76</v>
      </c>
      <c r="M941" s="12" t="s">
        <v>44</v>
      </c>
      <c r="N941" s="12">
        <v>203</v>
      </c>
    </row>
    <row r="942" spans="1:15">
      <c r="A942" s="12">
        <f t="shared" si="93"/>
        <v>939</v>
      </c>
      <c r="B942" s="12" t="s">
        <v>11</v>
      </c>
      <c r="C942" s="12" t="s">
        <v>184</v>
      </c>
      <c r="D942" s="12" t="s">
        <v>573</v>
      </c>
      <c r="E942" s="89">
        <f t="shared" ca="1" si="94"/>
        <v>40951</v>
      </c>
      <c r="F942" s="32"/>
      <c r="G942" s="12">
        <f t="shared" ca="1" si="90"/>
        <v>112</v>
      </c>
      <c r="H942" s="12">
        <f t="shared" ca="1" si="91"/>
        <v>1</v>
      </c>
      <c r="I942" s="13">
        <f t="shared" ca="1" si="92"/>
        <v>12</v>
      </c>
      <c r="J942" s="14">
        <f t="shared" ca="1" si="89"/>
        <v>112</v>
      </c>
      <c r="K942" s="12" t="s">
        <v>40</v>
      </c>
      <c r="L942" s="12">
        <v>76</v>
      </c>
      <c r="M942" s="12" t="s">
        <v>40</v>
      </c>
      <c r="N942" s="12">
        <v>204</v>
      </c>
      <c r="O942" s="90" t="s">
        <v>2748</v>
      </c>
    </row>
    <row r="943" spans="1:15">
      <c r="A943" s="12">
        <f t="shared" si="93"/>
        <v>940</v>
      </c>
      <c r="B943" s="12" t="s">
        <v>11</v>
      </c>
      <c r="C943" s="12" t="s">
        <v>703</v>
      </c>
      <c r="D943" s="12" t="s">
        <v>184</v>
      </c>
      <c r="E943" s="89">
        <f t="shared" ca="1" si="94"/>
        <v>40951</v>
      </c>
      <c r="F943" s="32"/>
      <c r="G943" s="12">
        <f t="shared" ca="1" si="90"/>
        <v>112</v>
      </c>
      <c r="H943" s="12">
        <f t="shared" ca="1" si="91"/>
        <v>1</v>
      </c>
      <c r="I943" s="13">
        <f t="shared" ca="1" si="92"/>
        <v>12</v>
      </c>
      <c r="J943" s="14">
        <f t="shared" ca="1" si="89"/>
        <v>112</v>
      </c>
      <c r="K943" s="12" t="s">
        <v>41</v>
      </c>
      <c r="L943" s="12">
        <v>76</v>
      </c>
      <c r="M943" s="12" t="s">
        <v>40</v>
      </c>
      <c r="N943" s="12">
        <v>204</v>
      </c>
    </row>
    <row r="944" spans="1:15">
      <c r="A944" s="12">
        <f t="shared" si="93"/>
        <v>941</v>
      </c>
      <c r="B944" s="12" t="s">
        <v>11</v>
      </c>
      <c r="C944" s="12" t="s">
        <v>704</v>
      </c>
      <c r="D944" s="12" t="s">
        <v>184</v>
      </c>
      <c r="E944" s="89">
        <f t="shared" ca="1" si="94"/>
        <v>40951</v>
      </c>
      <c r="F944" s="11">
        <f>DATE(74,12,12)</f>
        <v>27375</v>
      </c>
      <c r="G944" s="12">
        <f t="shared" ca="1" si="90"/>
        <v>38</v>
      </c>
      <c r="H944" s="12">
        <f t="shared" ca="1" si="91"/>
        <v>-10</v>
      </c>
      <c r="I944" s="13">
        <f t="shared" ca="1" si="92"/>
        <v>0</v>
      </c>
      <c r="J944" s="14">
        <f t="shared" ca="1" si="89"/>
        <v>37</v>
      </c>
      <c r="K944" s="12" t="s">
        <v>40</v>
      </c>
      <c r="L944" s="12">
        <v>76</v>
      </c>
      <c r="M944" s="12" t="s">
        <v>40</v>
      </c>
      <c r="N944" s="12">
        <v>204</v>
      </c>
    </row>
    <row r="945" spans="1:15">
      <c r="A945" s="12">
        <f t="shared" si="93"/>
        <v>942</v>
      </c>
      <c r="B945" s="12" t="s">
        <v>11</v>
      </c>
      <c r="C945" s="12" t="s">
        <v>74</v>
      </c>
      <c r="D945" s="12" t="s">
        <v>704</v>
      </c>
      <c r="E945" s="89">
        <f t="shared" ca="1" si="94"/>
        <v>40951</v>
      </c>
      <c r="F945" s="11">
        <f>DATE(77,5,4)</f>
        <v>28249</v>
      </c>
      <c r="G945" s="12">
        <f t="shared" ca="1" si="90"/>
        <v>35</v>
      </c>
      <c r="H945" s="12">
        <f t="shared" ca="1" si="91"/>
        <v>-3</v>
      </c>
      <c r="I945" s="13">
        <f t="shared" ca="1" si="92"/>
        <v>8</v>
      </c>
      <c r="J945" s="14">
        <f t="shared" ca="1" si="89"/>
        <v>34</v>
      </c>
      <c r="K945" s="12" t="s">
        <v>41</v>
      </c>
      <c r="L945" s="12">
        <v>76</v>
      </c>
      <c r="M945" s="12" t="s">
        <v>40</v>
      </c>
      <c r="N945" s="12">
        <v>204</v>
      </c>
    </row>
    <row r="946" spans="1:15">
      <c r="A946" s="12">
        <f t="shared" si="93"/>
        <v>943</v>
      </c>
      <c r="B946" s="12" t="s">
        <v>11</v>
      </c>
      <c r="C946" s="12" t="s">
        <v>705</v>
      </c>
      <c r="D946" s="12" t="s">
        <v>184</v>
      </c>
      <c r="E946" s="89">
        <f t="shared" ca="1" si="94"/>
        <v>40951</v>
      </c>
      <c r="F946" s="11">
        <f>DATE(82,12,9)</f>
        <v>30294</v>
      </c>
      <c r="G946" s="12">
        <f t="shared" ca="1" si="90"/>
        <v>30</v>
      </c>
      <c r="H946" s="12">
        <f t="shared" ca="1" si="91"/>
        <v>-10</v>
      </c>
      <c r="I946" s="13">
        <f t="shared" ca="1" si="92"/>
        <v>3</v>
      </c>
      <c r="J946" s="14">
        <f t="shared" ca="1" si="89"/>
        <v>29</v>
      </c>
      <c r="K946" s="12" t="s">
        <v>40</v>
      </c>
      <c r="L946" s="12">
        <v>76</v>
      </c>
      <c r="M946" s="12" t="s">
        <v>44</v>
      </c>
      <c r="N946" s="12">
        <v>204</v>
      </c>
    </row>
    <row r="947" spans="1:15">
      <c r="A947" s="12">
        <f t="shared" si="93"/>
        <v>944</v>
      </c>
      <c r="B947" s="12" t="s">
        <v>11</v>
      </c>
      <c r="C947" s="12" t="s">
        <v>706</v>
      </c>
      <c r="D947" s="12" t="s">
        <v>707</v>
      </c>
      <c r="E947" s="89">
        <f t="shared" ca="1" si="94"/>
        <v>40951</v>
      </c>
      <c r="F947" s="11">
        <f>DATE(46,5,3)</f>
        <v>16925</v>
      </c>
      <c r="G947" s="12">
        <f t="shared" ca="1" si="90"/>
        <v>66</v>
      </c>
      <c r="H947" s="12">
        <f t="shared" ca="1" si="91"/>
        <v>-3</v>
      </c>
      <c r="I947" s="13">
        <f t="shared" ca="1" si="92"/>
        <v>9</v>
      </c>
      <c r="J947" s="14">
        <f t="shared" ca="1" si="89"/>
        <v>65</v>
      </c>
      <c r="K947" s="12" t="s">
        <v>40</v>
      </c>
      <c r="L947" s="12">
        <v>76</v>
      </c>
      <c r="M947" s="12" t="s">
        <v>40</v>
      </c>
      <c r="N947" s="12">
        <v>205</v>
      </c>
      <c r="O947" s="90" t="s">
        <v>2748</v>
      </c>
    </row>
    <row r="948" spans="1:15">
      <c r="A948" s="12">
        <f t="shared" si="93"/>
        <v>945</v>
      </c>
      <c r="B948" s="12" t="s">
        <v>11</v>
      </c>
      <c r="C948" s="12" t="s">
        <v>708</v>
      </c>
      <c r="D948" s="12" t="s">
        <v>706</v>
      </c>
      <c r="E948" s="89">
        <f t="shared" ca="1" si="94"/>
        <v>40951</v>
      </c>
      <c r="F948" s="11">
        <f>DATE(75,1,30)</f>
        <v>27424</v>
      </c>
      <c r="G948" s="12">
        <f t="shared" ca="1" si="90"/>
        <v>37</v>
      </c>
      <c r="H948" s="12">
        <f t="shared" ca="1" si="91"/>
        <v>1</v>
      </c>
      <c r="I948" s="13">
        <f t="shared" ca="1" si="92"/>
        <v>-18</v>
      </c>
      <c r="J948" s="14">
        <f t="shared" ca="1" si="89"/>
        <v>37</v>
      </c>
      <c r="K948" s="12" t="s">
        <v>41</v>
      </c>
      <c r="L948" s="12">
        <v>76</v>
      </c>
      <c r="M948" s="12" t="s">
        <v>40</v>
      </c>
      <c r="N948" s="12">
        <v>205</v>
      </c>
    </row>
    <row r="949" spans="1:15">
      <c r="A949" s="12">
        <f t="shared" si="93"/>
        <v>946</v>
      </c>
      <c r="B949" s="12" t="s">
        <v>11</v>
      </c>
      <c r="C949" s="12" t="s">
        <v>709</v>
      </c>
      <c r="D949" s="12" t="s">
        <v>708</v>
      </c>
      <c r="E949" s="89">
        <f t="shared" ca="1" si="94"/>
        <v>40951</v>
      </c>
      <c r="F949" s="11">
        <f>DATE(79,10,11)</f>
        <v>29139</v>
      </c>
      <c r="G949" s="12">
        <f t="shared" ca="1" si="90"/>
        <v>33</v>
      </c>
      <c r="H949" s="12">
        <f t="shared" ca="1" si="91"/>
        <v>-8</v>
      </c>
      <c r="I949" s="13">
        <f t="shared" ca="1" si="92"/>
        <v>1</v>
      </c>
      <c r="J949" s="14">
        <f t="shared" ca="1" si="89"/>
        <v>32</v>
      </c>
      <c r="K949" s="12" t="s">
        <v>41</v>
      </c>
      <c r="L949" s="12">
        <v>76</v>
      </c>
      <c r="M949" s="12" t="s">
        <v>40</v>
      </c>
      <c r="N949" s="12">
        <v>205</v>
      </c>
    </row>
    <row r="950" spans="1:15">
      <c r="A950" s="12">
        <f t="shared" si="93"/>
        <v>947</v>
      </c>
      <c r="B950" s="12" t="s">
        <v>11</v>
      </c>
      <c r="C950" s="12" t="s">
        <v>517</v>
      </c>
      <c r="D950" s="12" t="s">
        <v>708</v>
      </c>
      <c r="E950" s="89">
        <f t="shared" ca="1" si="94"/>
        <v>40951</v>
      </c>
      <c r="F950" s="11">
        <f>DATE(2003,6,15)</f>
        <v>37787</v>
      </c>
      <c r="G950" s="12">
        <f t="shared" ca="1" si="90"/>
        <v>9</v>
      </c>
      <c r="H950" s="12">
        <f t="shared" ca="1" si="91"/>
        <v>-4</v>
      </c>
      <c r="I950" s="13">
        <f t="shared" ca="1" si="92"/>
        <v>-3</v>
      </c>
      <c r="J950" s="14">
        <f t="shared" ca="1" si="89"/>
        <v>8</v>
      </c>
      <c r="K950" s="12" t="s">
        <v>40</v>
      </c>
      <c r="L950" s="12">
        <v>76</v>
      </c>
      <c r="M950" s="12" t="s">
        <v>44</v>
      </c>
      <c r="N950" s="12">
        <v>205</v>
      </c>
    </row>
    <row r="951" spans="1:15">
      <c r="A951" s="12">
        <f t="shared" si="93"/>
        <v>948</v>
      </c>
      <c r="B951" s="12" t="s">
        <v>11</v>
      </c>
      <c r="C951" s="12" t="s">
        <v>710</v>
      </c>
      <c r="D951" s="12" t="s">
        <v>708</v>
      </c>
      <c r="E951" s="89">
        <f t="shared" ca="1" si="94"/>
        <v>40951</v>
      </c>
      <c r="F951" s="11">
        <f>DATE(2006,4,30)</f>
        <v>38837</v>
      </c>
      <c r="G951" s="12">
        <f t="shared" ca="1" si="90"/>
        <v>6</v>
      </c>
      <c r="H951" s="12">
        <f t="shared" ca="1" si="91"/>
        <v>-2</v>
      </c>
      <c r="I951" s="13">
        <f t="shared" ca="1" si="92"/>
        <v>-18</v>
      </c>
      <c r="J951" s="14">
        <f t="shared" ca="1" si="89"/>
        <v>5</v>
      </c>
      <c r="K951" s="12" t="s">
        <v>41</v>
      </c>
      <c r="L951" s="12">
        <v>76</v>
      </c>
      <c r="M951" s="12" t="s">
        <v>44</v>
      </c>
      <c r="N951" s="12">
        <v>205</v>
      </c>
    </row>
    <row r="952" spans="1:15">
      <c r="A952" s="12">
        <f t="shared" si="93"/>
        <v>949</v>
      </c>
      <c r="B952" s="12" t="s">
        <v>11</v>
      </c>
      <c r="C952" s="12" t="s">
        <v>711</v>
      </c>
      <c r="D952" s="12" t="s">
        <v>712</v>
      </c>
      <c r="E952" s="89">
        <f t="shared" ca="1" si="94"/>
        <v>40951</v>
      </c>
      <c r="F952" s="11">
        <f>DATE(68,10,19)</f>
        <v>25130</v>
      </c>
      <c r="G952" s="12">
        <f t="shared" ca="1" si="90"/>
        <v>44</v>
      </c>
      <c r="H952" s="12">
        <f t="shared" ca="1" si="91"/>
        <v>-8</v>
      </c>
      <c r="I952" s="13">
        <f t="shared" ca="1" si="92"/>
        <v>-7</v>
      </c>
      <c r="J952" s="14">
        <f t="shared" ca="1" si="89"/>
        <v>43</v>
      </c>
      <c r="K952" s="12" t="s">
        <v>40</v>
      </c>
      <c r="L952" s="12">
        <v>77</v>
      </c>
      <c r="M952" s="12" t="s">
        <v>40</v>
      </c>
      <c r="N952" s="12">
        <v>206</v>
      </c>
      <c r="O952" s="90" t="s">
        <v>2748</v>
      </c>
    </row>
    <row r="953" spans="1:15">
      <c r="A953" s="12">
        <f t="shared" si="93"/>
        <v>950</v>
      </c>
      <c r="B953" s="12" t="s">
        <v>11</v>
      </c>
      <c r="C953" s="12" t="s">
        <v>667</v>
      </c>
      <c r="D953" s="12" t="s">
        <v>711</v>
      </c>
      <c r="E953" s="89">
        <f t="shared" ca="1" si="94"/>
        <v>40951</v>
      </c>
      <c r="F953" s="11">
        <f>DATE(73,10,6)</f>
        <v>26943</v>
      </c>
      <c r="G953" s="12">
        <f t="shared" ca="1" si="90"/>
        <v>39</v>
      </c>
      <c r="H953" s="12">
        <f t="shared" ca="1" si="91"/>
        <v>-8</v>
      </c>
      <c r="I953" s="13">
        <f t="shared" ca="1" si="92"/>
        <v>6</v>
      </c>
      <c r="J953" s="14">
        <f t="shared" ca="1" si="89"/>
        <v>38</v>
      </c>
      <c r="K953" s="12" t="s">
        <v>41</v>
      </c>
      <c r="L953" s="12">
        <v>77</v>
      </c>
      <c r="M953" s="12" t="s">
        <v>40</v>
      </c>
      <c r="N953" s="12">
        <v>206</v>
      </c>
    </row>
    <row r="954" spans="1:15">
      <c r="A954" s="12">
        <f t="shared" si="93"/>
        <v>951</v>
      </c>
      <c r="B954" s="12" t="s">
        <v>11</v>
      </c>
      <c r="C954" s="12" t="s">
        <v>713</v>
      </c>
      <c r="D954" s="12" t="s">
        <v>711</v>
      </c>
      <c r="E954" s="89">
        <f t="shared" ca="1" si="94"/>
        <v>40951</v>
      </c>
      <c r="F954" s="11">
        <f>DATE(95,7,31)</f>
        <v>34911</v>
      </c>
      <c r="G954" s="12">
        <f t="shared" ca="1" si="90"/>
        <v>17</v>
      </c>
      <c r="H954" s="12">
        <f t="shared" ca="1" si="91"/>
        <v>-5</v>
      </c>
      <c r="I954" s="13">
        <f t="shared" ca="1" si="92"/>
        <v>-19</v>
      </c>
      <c r="J954" s="14">
        <f t="shared" ca="1" si="89"/>
        <v>16</v>
      </c>
      <c r="K954" s="12" t="s">
        <v>41</v>
      </c>
      <c r="L954" s="12">
        <v>77</v>
      </c>
      <c r="M954" s="12" t="s">
        <v>44</v>
      </c>
      <c r="N954" s="12">
        <v>206</v>
      </c>
    </row>
    <row r="955" spans="1:15">
      <c r="A955" s="12">
        <f t="shared" si="93"/>
        <v>952</v>
      </c>
      <c r="B955" s="12" t="s">
        <v>11</v>
      </c>
      <c r="C955" s="12" t="s">
        <v>714</v>
      </c>
      <c r="D955" s="12" t="s">
        <v>711</v>
      </c>
      <c r="E955" s="89">
        <f t="shared" ca="1" si="94"/>
        <v>40951</v>
      </c>
      <c r="F955" s="11">
        <f>DATE(98,9,12)</f>
        <v>36050</v>
      </c>
      <c r="G955" s="12">
        <f t="shared" ca="1" si="90"/>
        <v>14</v>
      </c>
      <c r="H955" s="12">
        <f t="shared" ca="1" si="91"/>
        <v>-7</v>
      </c>
      <c r="I955" s="13">
        <f t="shared" ca="1" si="92"/>
        <v>0</v>
      </c>
      <c r="J955" s="14">
        <f t="shared" ca="1" si="89"/>
        <v>13</v>
      </c>
      <c r="K955" s="12" t="s">
        <v>41</v>
      </c>
      <c r="L955" s="12">
        <v>77</v>
      </c>
      <c r="M955" s="12" t="s">
        <v>44</v>
      </c>
      <c r="N955" s="12">
        <v>206</v>
      </c>
    </row>
    <row r="956" spans="1:15">
      <c r="A956" s="12">
        <f t="shared" si="93"/>
        <v>953</v>
      </c>
      <c r="B956" s="12" t="s">
        <v>11</v>
      </c>
      <c r="C956" s="12" t="s">
        <v>715</v>
      </c>
      <c r="D956" s="12" t="s">
        <v>716</v>
      </c>
      <c r="E956" s="89">
        <f t="shared" ca="1" si="94"/>
        <v>40951</v>
      </c>
      <c r="F956" s="32"/>
      <c r="G956" s="12">
        <f t="shared" ca="1" si="90"/>
        <v>112</v>
      </c>
      <c r="H956" s="12">
        <f t="shared" ca="1" si="91"/>
        <v>1</v>
      </c>
      <c r="I956" s="13">
        <f t="shared" ca="1" si="92"/>
        <v>12</v>
      </c>
      <c r="J956" s="14">
        <f t="shared" ca="1" si="89"/>
        <v>112</v>
      </c>
      <c r="K956" s="12" t="s">
        <v>40</v>
      </c>
      <c r="L956" s="12">
        <v>77</v>
      </c>
      <c r="M956" s="12" t="s">
        <v>44</v>
      </c>
      <c r="N956" s="12">
        <v>207</v>
      </c>
      <c r="O956" s="90" t="s">
        <v>2748</v>
      </c>
    </row>
    <row r="957" spans="1:15">
      <c r="A957" s="12">
        <f t="shared" si="93"/>
        <v>954</v>
      </c>
      <c r="B957" s="12" t="s">
        <v>11</v>
      </c>
      <c r="C957" s="12" t="s">
        <v>717</v>
      </c>
      <c r="D957" s="12" t="s">
        <v>716</v>
      </c>
      <c r="E957" s="89">
        <f t="shared" ca="1" si="94"/>
        <v>40951</v>
      </c>
      <c r="F957" s="11">
        <f>DATE(52,8,3)</f>
        <v>19209</v>
      </c>
      <c r="G957" s="12">
        <f t="shared" ca="1" si="90"/>
        <v>60</v>
      </c>
      <c r="H957" s="12">
        <f t="shared" ca="1" si="91"/>
        <v>-6</v>
      </c>
      <c r="I957" s="13">
        <f t="shared" ca="1" si="92"/>
        <v>9</v>
      </c>
      <c r="J957" s="14">
        <f t="shared" ca="1" si="89"/>
        <v>59</v>
      </c>
      <c r="K957" s="12" t="s">
        <v>41</v>
      </c>
      <c r="L957" s="12">
        <v>77</v>
      </c>
      <c r="M957" s="12" t="s">
        <v>44</v>
      </c>
      <c r="N957" s="12">
        <v>207</v>
      </c>
    </row>
    <row r="958" spans="1:15">
      <c r="A958" s="12">
        <f t="shared" si="93"/>
        <v>955</v>
      </c>
      <c r="B958" s="12" t="s">
        <v>11</v>
      </c>
      <c r="C958" s="12" t="s">
        <v>718</v>
      </c>
      <c r="D958" s="12" t="s">
        <v>719</v>
      </c>
      <c r="E958" s="89">
        <f t="shared" ca="1" si="94"/>
        <v>40951</v>
      </c>
      <c r="F958" s="32"/>
      <c r="G958" s="12">
        <f t="shared" ca="1" si="90"/>
        <v>112</v>
      </c>
      <c r="H958" s="12">
        <f t="shared" ca="1" si="91"/>
        <v>1</v>
      </c>
      <c r="I958" s="13">
        <f t="shared" ca="1" si="92"/>
        <v>12</v>
      </c>
      <c r="J958" s="14">
        <f t="shared" ca="1" si="89"/>
        <v>112</v>
      </c>
      <c r="K958" s="12" t="s">
        <v>41</v>
      </c>
      <c r="L958" s="12">
        <v>77</v>
      </c>
      <c r="M958" s="12" t="s">
        <v>40</v>
      </c>
      <c r="N958" s="12">
        <v>208</v>
      </c>
      <c r="O958" s="90" t="s">
        <v>2748</v>
      </c>
    </row>
    <row r="959" spans="1:15">
      <c r="A959" s="12">
        <f t="shared" si="93"/>
        <v>956</v>
      </c>
      <c r="B959" s="12" t="s">
        <v>11</v>
      </c>
      <c r="C959" s="12" t="s">
        <v>720</v>
      </c>
      <c r="D959" s="12" t="s">
        <v>606</v>
      </c>
      <c r="E959" s="89">
        <f t="shared" ca="1" si="94"/>
        <v>40951</v>
      </c>
      <c r="F959" s="11">
        <f>DATE(38,10,15)</f>
        <v>14168</v>
      </c>
      <c r="G959" s="12">
        <f t="shared" ca="1" si="90"/>
        <v>74</v>
      </c>
      <c r="H959" s="12">
        <f t="shared" ca="1" si="91"/>
        <v>-8</v>
      </c>
      <c r="I959" s="13">
        <f t="shared" ca="1" si="92"/>
        <v>-3</v>
      </c>
      <c r="J959" s="14">
        <f t="shared" ca="1" si="89"/>
        <v>73</v>
      </c>
      <c r="K959" s="12" t="s">
        <v>40</v>
      </c>
      <c r="L959" s="12">
        <v>77</v>
      </c>
      <c r="M959" s="12" t="s">
        <v>40</v>
      </c>
      <c r="N959" s="12">
        <v>209</v>
      </c>
      <c r="O959" s="90" t="s">
        <v>2748</v>
      </c>
    </row>
    <row r="960" spans="1:15">
      <c r="A960" s="12">
        <f t="shared" si="93"/>
        <v>957</v>
      </c>
      <c r="B960" s="12" t="s">
        <v>11</v>
      </c>
      <c r="C960" s="12" t="s">
        <v>666</v>
      </c>
      <c r="D960" s="12" t="s">
        <v>720</v>
      </c>
      <c r="E960" s="89">
        <f t="shared" ca="1" si="94"/>
        <v>40951</v>
      </c>
      <c r="F960" s="11">
        <f>DATE(41,11,30)</f>
        <v>15310</v>
      </c>
      <c r="G960" s="12">
        <f t="shared" ca="1" si="90"/>
        <v>71</v>
      </c>
      <c r="H960" s="12">
        <f t="shared" ca="1" si="91"/>
        <v>-9</v>
      </c>
      <c r="I960" s="13">
        <f t="shared" ca="1" si="92"/>
        <v>-18</v>
      </c>
      <c r="J960" s="14">
        <f t="shared" ca="1" si="89"/>
        <v>70</v>
      </c>
      <c r="K960" s="12" t="s">
        <v>41</v>
      </c>
      <c r="L960" s="12">
        <v>77</v>
      </c>
      <c r="M960" s="12" t="s">
        <v>40</v>
      </c>
      <c r="N960" s="12">
        <v>209</v>
      </c>
    </row>
    <row r="961" spans="1:15">
      <c r="A961" s="12">
        <f t="shared" si="93"/>
        <v>958</v>
      </c>
      <c r="B961" s="12" t="s">
        <v>11</v>
      </c>
      <c r="C961" s="12" t="s">
        <v>245</v>
      </c>
      <c r="D961" s="12" t="s">
        <v>720</v>
      </c>
      <c r="E961" s="89">
        <f t="shared" ca="1" si="94"/>
        <v>40951</v>
      </c>
      <c r="F961" s="11">
        <f>DATE(70,9,14)</f>
        <v>25825</v>
      </c>
      <c r="G961" s="12">
        <f t="shared" ca="1" si="90"/>
        <v>42</v>
      </c>
      <c r="H961" s="12">
        <f t="shared" ca="1" si="91"/>
        <v>-7</v>
      </c>
      <c r="I961" s="13">
        <f t="shared" ca="1" si="92"/>
        <v>-2</v>
      </c>
      <c r="J961" s="14">
        <f t="shared" ca="1" si="89"/>
        <v>41</v>
      </c>
      <c r="K961" s="12" t="s">
        <v>40</v>
      </c>
      <c r="L961" s="12">
        <v>77</v>
      </c>
      <c r="M961" s="12" t="s">
        <v>40</v>
      </c>
      <c r="N961" s="12">
        <v>209</v>
      </c>
    </row>
    <row r="962" spans="1:15">
      <c r="A962" s="12">
        <f t="shared" si="93"/>
        <v>959</v>
      </c>
      <c r="B962" s="12" t="s">
        <v>11</v>
      </c>
      <c r="C962" s="12" t="s">
        <v>673</v>
      </c>
      <c r="D962" s="12" t="s">
        <v>720</v>
      </c>
      <c r="E962" s="89">
        <f t="shared" ca="1" si="94"/>
        <v>40951</v>
      </c>
      <c r="F962" s="11">
        <f>DATE(73,8,7)</f>
        <v>26883</v>
      </c>
      <c r="G962" s="12">
        <f t="shared" ca="1" si="90"/>
        <v>39</v>
      </c>
      <c r="H962" s="12">
        <f t="shared" ca="1" si="91"/>
        <v>-6</v>
      </c>
      <c r="I962" s="13">
        <f t="shared" ca="1" si="92"/>
        <v>5</v>
      </c>
      <c r="J962" s="14">
        <f t="shared" ca="1" si="89"/>
        <v>38</v>
      </c>
      <c r="K962" s="12" t="s">
        <v>41</v>
      </c>
      <c r="L962" s="12">
        <v>77</v>
      </c>
      <c r="M962" s="12" t="s">
        <v>40</v>
      </c>
      <c r="N962" s="12">
        <v>209</v>
      </c>
    </row>
    <row r="963" spans="1:15">
      <c r="A963" s="12">
        <f t="shared" si="93"/>
        <v>960</v>
      </c>
      <c r="B963" s="12" t="s">
        <v>11</v>
      </c>
      <c r="C963" s="12" t="s">
        <v>263</v>
      </c>
      <c r="D963" s="12" t="s">
        <v>245</v>
      </c>
      <c r="E963" s="89">
        <f t="shared" ca="1" si="94"/>
        <v>40951</v>
      </c>
      <c r="F963" s="11">
        <f>DATE(91,11,1)</f>
        <v>33543</v>
      </c>
      <c r="G963" s="12">
        <f t="shared" ca="1" si="90"/>
        <v>21</v>
      </c>
      <c r="H963" s="12">
        <f t="shared" ca="1" si="91"/>
        <v>-9</v>
      </c>
      <c r="I963" s="13">
        <f t="shared" ca="1" si="92"/>
        <v>11</v>
      </c>
      <c r="J963" s="14">
        <f t="shared" ca="1" si="89"/>
        <v>20</v>
      </c>
      <c r="K963" s="12" t="s">
        <v>40</v>
      </c>
      <c r="L963" s="12">
        <v>77</v>
      </c>
      <c r="M963" s="12" t="s">
        <v>44</v>
      </c>
      <c r="N963" s="12">
        <v>209</v>
      </c>
    </row>
    <row r="964" spans="1:15">
      <c r="A964" s="12">
        <f t="shared" si="93"/>
        <v>961</v>
      </c>
      <c r="B964" s="12" t="s">
        <v>11</v>
      </c>
      <c r="C964" s="12" t="s">
        <v>481</v>
      </c>
      <c r="D964" s="12" t="s">
        <v>573</v>
      </c>
      <c r="E964" s="89">
        <f t="shared" ca="1" si="94"/>
        <v>40951</v>
      </c>
      <c r="F964" s="11">
        <f>DATE(55,5,28)</f>
        <v>20237</v>
      </c>
      <c r="G964" s="12">
        <f t="shared" ca="1" si="90"/>
        <v>57</v>
      </c>
      <c r="H964" s="12">
        <f t="shared" ca="1" si="91"/>
        <v>-3</v>
      </c>
      <c r="I964" s="13">
        <f t="shared" ca="1" si="92"/>
        <v>-16</v>
      </c>
      <c r="J964" s="14">
        <f t="shared" ref="J964:J1027" ca="1" si="95">IF(H964&lt;0,G964-1,IF(H964&gt;0,G964,IF(I964&lt;0,G964-1,G964)))</f>
        <v>56</v>
      </c>
      <c r="K964" s="12" t="s">
        <v>40</v>
      </c>
      <c r="L964" s="12">
        <v>78</v>
      </c>
      <c r="M964" s="12" t="s">
        <v>40</v>
      </c>
      <c r="N964" s="12">
        <v>210</v>
      </c>
      <c r="O964" s="90" t="s">
        <v>2748</v>
      </c>
    </row>
    <row r="965" spans="1:15">
      <c r="A965" s="12">
        <f t="shared" si="93"/>
        <v>962</v>
      </c>
      <c r="B965" s="12" t="s">
        <v>11</v>
      </c>
      <c r="C965" s="12" t="s">
        <v>155</v>
      </c>
      <c r="D965" s="12" t="s">
        <v>481</v>
      </c>
      <c r="E965" s="89">
        <f t="shared" ca="1" si="94"/>
        <v>40951</v>
      </c>
      <c r="F965" s="32"/>
      <c r="G965" s="12">
        <f t="shared" ca="1" si="90"/>
        <v>112</v>
      </c>
      <c r="H965" s="12">
        <f t="shared" ca="1" si="91"/>
        <v>1</v>
      </c>
      <c r="I965" s="13">
        <f t="shared" ca="1" si="92"/>
        <v>12</v>
      </c>
      <c r="J965" s="14">
        <f t="shared" ca="1" si="95"/>
        <v>112</v>
      </c>
      <c r="K965" s="12" t="s">
        <v>41</v>
      </c>
      <c r="L965" s="12">
        <v>78</v>
      </c>
      <c r="M965" s="12" t="s">
        <v>40</v>
      </c>
      <c r="N965" s="12">
        <v>210</v>
      </c>
    </row>
    <row r="966" spans="1:15">
      <c r="A966" s="12">
        <f t="shared" si="93"/>
        <v>963</v>
      </c>
      <c r="B966" s="12" t="s">
        <v>11</v>
      </c>
      <c r="C966" s="12" t="s">
        <v>721</v>
      </c>
      <c r="D966" s="12" t="s">
        <v>481</v>
      </c>
      <c r="E966" s="89">
        <f t="shared" ca="1" si="94"/>
        <v>40951</v>
      </c>
      <c r="F966" s="11">
        <f>DATE(81,11,21)</f>
        <v>29911</v>
      </c>
      <c r="G966" s="12">
        <f t="shared" ca="1" si="90"/>
        <v>31</v>
      </c>
      <c r="H966" s="12">
        <f t="shared" ca="1" si="91"/>
        <v>-9</v>
      </c>
      <c r="I966" s="13">
        <f t="shared" ca="1" si="92"/>
        <v>-9</v>
      </c>
      <c r="J966" s="14">
        <f t="shared" ca="1" si="95"/>
        <v>30</v>
      </c>
      <c r="K966" s="12" t="s">
        <v>40</v>
      </c>
      <c r="L966" s="12">
        <v>78</v>
      </c>
      <c r="M966" s="12" t="s">
        <v>40</v>
      </c>
      <c r="N966" s="12">
        <v>210</v>
      </c>
    </row>
    <row r="967" spans="1:15">
      <c r="A967" s="12">
        <f t="shared" si="93"/>
        <v>964</v>
      </c>
      <c r="B967" s="12" t="s">
        <v>11</v>
      </c>
      <c r="C967" s="12" t="s">
        <v>722</v>
      </c>
      <c r="D967" s="12" t="s">
        <v>481</v>
      </c>
      <c r="E967" s="89">
        <f t="shared" ca="1" si="94"/>
        <v>40951</v>
      </c>
      <c r="F967" s="11">
        <f>DATE(83,7,11)</f>
        <v>30508</v>
      </c>
      <c r="G967" s="12">
        <f t="shared" ca="1" si="90"/>
        <v>29</v>
      </c>
      <c r="H967" s="12">
        <f t="shared" ca="1" si="91"/>
        <v>-5</v>
      </c>
      <c r="I967" s="13">
        <f t="shared" ca="1" si="92"/>
        <v>1</v>
      </c>
      <c r="J967" s="14">
        <f t="shared" ca="1" si="95"/>
        <v>28</v>
      </c>
      <c r="K967" s="12" t="s">
        <v>41</v>
      </c>
      <c r="L967" s="12">
        <v>78</v>
      </c>
      <c r="M967" s="12" t="s">
        <v>40</v>
      </c>
      <c r="N967" s="12">
        <v>210</v>
      </c>
    </row>
    <row r="968" spans="1:15">
      <c r="A968" s="12">
        <f t="shared" si="93"/>
        <v>965</v>
      </c>
      <c r="B968" s="12" t="s">
        <v>11</v>
      </c>
      <c r="C968" s="12" t="s">
        <v>362</v>
      </c>
      <c r="D968" s="12" t="s">
        <v>481</v>
      </c>
      <c r="E968" s="89">
        <f t="shared" ca="1" si="94"/>
        <v>40951</v>
      </c>
      <c r="F968" s="11">
        <f>DATE(84,7,30)</f>
        <v>30893</v>
      </c>
      <c r="G968" s="12">
        <f t="shared" ca="1" si="90"/>
        <v>28</v>
      </c>
      <c r="H968" s="12">
        <f t="shared" ca="1" si="91"/>
        <v>-5</v>
      </c>
      <c r="I968" s="13">
        <f t="shared" ca="1" si="92"/>
        <v>-18</v>
      </c>
      <c r="J968" s="14">
        <f t="shared" ca="1" si="95"/>
        <v>27</v>
      </c>
      <c r="K968" s="12" t="s">
        <v>40</v>
      </c>
      <c r="L968" s="12">
        <v>78</v>
      </c>
      <c r="M968" s="12" t="s">
        <v>44</v>
      </c>
      <c r="N968" s="12">
        <v>210</v>
      </c>
    </row>
    <row r="969" spans="1:15">
      <c r="A969" s="12">
        <f t="shared" si="93"/>
        <v>966</v>
      </c>
      <c r="B969" s="12" t="s">
        <v>11</v>
      </c>
      <c r="C969" s="12" t="s">
        <v>723</v>
      </c>
      <c r="D969" s="12" t="s">
        <v>481</v>
      </c>
      <c r="E969" s="89">
        <f t="shared" ca="1" si="94"/>
        <v>40951</v>
      </c>
      <c r="F969" s="11">
        <f>DATE(86,10,24)</f>
        <v>31709</v>
      </c>
      <c r="G969" s="12">
        <f t="shared" ca="1" si="90"/>
        <v>26</v>
      </c>
      <c r="H969" s="12">
        <f t="shared" ca="1" si="91"/>
        <v>-8</v>
      </c>
      <c r="I969" s="13">
        <f t="shared" ca="1" si="92"/>
        <v>-12</v>
      </c>
      <c r="J969" s="14">
        <f t="shared" ca="1" si="95"/>
        <v>25</v>
      </c>
      <c r="K969" s="12" t="s">
        <v>40</v>
      </c>
      <c r="L969" s="12">
        <v>78</v>
      </c>
      <c r="M969" s="12" t="s">
        <v>44</v>
      </c>
      <c r="N969" s="12">
        <v>210</v>
      </c>
    </row>
    <row r="970" spans="1:15">
      <c r="A970" s="12">
        <f t="shared" si="93"/>
        <v>967</v>
      </c>
      <c r="B970" s="12" t="s">
        <v>11</v>
      </c>
      <c r="C970" s="12" t="s">
        <v>724</v>
      </c>
      <c r="D970" s="12" t="s">
        <v>725</v>
      </c>
      <c r="E970" s="89">
        <f t="shared" ca="1" si="94"/>
        <v>40951</v>
      </c>
      <c r="F970" s="32"/>
      <c r="G970" s="12">
        <f t="shared" ca="1" si="90"/>
        <v>112</v>
      </c>
      <c r="H970" s="12">
        <f t="shared" ca="1" si="91"/>
        <v>1</v>
      </c>
      <c r="I970" s="13">
        <f t="shared" ca="1" si="92"/>
        <v>12</v>
      </c>
      <c r="J970" s="14">
        <f t="shared" ca="1" si="95"/>
        <v>112</v>
      </c>
      <c r="K970" s="12" t="s">
        <v>40</v>
      </c>
      <c r="L970" s="12">
        <v>78</v>
      </c>
      <c r="M970" s="12" t="s">
        <v>40</v>
      </c>
      <c r="N970" s="12">
        <v>211</v>
      </c>
      <c r="O970" s="90" t="s">
        <v>2748</v>
      </c>
    </row>
    <row r="971" spans="1:15">
      <c r="A971" s="12">
        <f t="shared" si="93"/>
        <v>968</v>
      </c>
      <c r="B971" s="12" t="s">
        <v>11</v>
      </c>
      <c r="C971" s="12" t="s">
        <v>576</v>
      </c>
      <c r="D971" s="12" t="s">
        <v>724</v>
      </c>
      <c r="E971" s="89">
        <f t="shared" ca="1" si="94"/>
        <v>40951</v>
      </c>
      <c r="F971" s="32"/>
      <c r="G971" s="12">
        <f t="shared" ca="1" si="90"/>
        <v>112</v>
      </c>
      <c r="H971" s="12">
        <f t="shared" ca="1" si="91"/>
        <v>1</v>
      </c>
      <c r="I971" s="13">
        <f t="shared" ca="1" si="92"/>
        <v>12</v>
      </c>
      <c r="J971" s="14">
        <f t="shared" ca="1" si="95"/>
        <v>112</v>
      </c>
      <c r="K971" s="12" t="s">
        <v>41</v>
      </c>
      <c r="L971" s="12">
        <v>78</v>
      </c>
      <c r="M971" s="12" t="s">
        <v>40</v>
      </c>
      <c r="N971" s="12">
        <v>211</v>
      </c>
    </row>
    <row r="972" spans="1:15">
      <c r="A972" s="12">
        <f t="shared" si="93"/>
        <v>969</v>
      </c>
      <c r="B972" s="12" t="s">
        <v>11</v>
      </c>
      <c r="C972" s="12" t="s">
        <v>326</v>
      </c>
      <c r="D972" s="12" t="s">
        <v>724</v>
      </c>
      <c r="E972" s="89">
        <f t="shared" ca="1" si="94"/>
        <v>40951</v>
      </c>
      <c r="F972" s="11">
        <f>DATE(50,2,28)</f>
        <v>18322</v>
      </c>
      <c r="G972" s="12">
        <f t="shared" ca="1" si="90"/>
        <v>62</v>
      </c>
      <c r="H972" s="12">
        <f t="shared" ca="1" si="91"/>
        <v>0</v>
      </c>
      <c r="I972" s="13">
        <f t="shared" ca="1" si="92"/>
        <v>-16</v>
      </c>
      <c r="J972" s="14">
        <f t="shared" ca="1" si="95"/>
        <v>61</v>
      </c>
      <c r="K972" s="12" t="s">
        <v>40</v>
      </c>
      <c r="L972" s="12">
        <v>78</v>
      </c>
      <c r="M972" s="12" t="s">
        <v>40</v>
      </c>
      <c r="N972" s="12">
        <v>211</v>
      </c>
    </row>
    <row r="973" spans="1:15">
      <c r="A973" s="12">
        <f t="shared" si="93"/>
        <v>970</v>
      </c>
      <c r="B973" s="12" t="s">
        <v>11</v>
      </c>
      <c r="C973" s="12" t="s">
        <v>78</v>
      </c>
      <c r="D973" s="12" t="s">
        <v>326</v>
      </c>
      <c r="E973" s="89">
        <f t="shared" ca="1" si="94"/>
        <v>40951</v>
      </c>
      <c r="F973" s="11">
        <f>DATE(56,1,1)</f>
        <v>20455</v>
      </c>
      <c r="G973" s="12">
        <f t="shared" ca="1" si="90"/>
        <v>56</v>
      </c>
      <c r="H973" s="12">
        <f t="shared" ca="1" si="91"/>
        <v>1</v>
      </c>
      <c r="I973" s="13">
        <f t="shared" ca="1" si="92"/>
        <v>11</v>
      </c>
      <c r="J973" s="14">
        <f t="shared" ca="1" si="95"/>
        <v>56</v>
      </c>
      <c r="K973" s="12" t="s">
        <v>41</v>
      </c>
      <c r="L973" s="12">
        <v>78</v>
      </c>
      <c r="M973" s="12" t="s">
        <v>40</v>
      </c>
      <c r="N973" s="12">
        <v>211</v>
      </c>
    </row>
    <row r="974" spans="1:15">
      <c r="A974" s="12">
        <f t="shared" si="93"/>
        <v>971</v>
      </c>
      <c r="B974" s="12" t="s">
        <v>11</v>
      </c>
      <c r="C974" s="12" t="s">
        <v>341</v>
      </c>
      <c r="D974" s="12" t="s">
        <v>726</v>
      </c>
      <c r="E974" s="89">
        <f t="shared" ca="1" si="94"/>
        <v>40951</v>
      </c>
      <c r="F974" s="11">
        <f>DATE(47,11,19)</f>
        <v>17490</v>
      </c>
      <c r="G974" s="12">
        <f t="shared" ca="1" si="90"/>
        <v>65</v>
      </c>
      <c r="H974" s="12">
        <f t="shared" ca="1" si="91"/>
        <v>-9</v>
      </c>
      <c r="I974" s="13">
        <f t="shared" ca="1" si="92"/>
        <v>-7</v>
      </c>
      <c r="J974" s="14">
        <f t="shared" ca="1" si="95"/>
        <v>64</v>
      </c>
      <c r="K974" s="12" t="s">
        <v>40</v>
      </c>
      <c r="L974" s="12">
        <v>78</v>
      </c>
      <c r="M974" s="12" t="s">
        <v>40</v>
      </c>
      <c r="N974" s="12">
        <v>212</v>
      </c>
      <c r="O974" s="90" t="s">
        <v>2748</v>
      </c>
    </row>
    <row r="975" spans="1:15">
      <c r="A975" s="12">
        <f t="shared" si="93"/>
        <v>972</v>
      </c>
      <c r="B975" s="12" t="s">
        <v>11</v>
      </c>
      <c r="C975" s="12" t="s">
        <v>115</v>
      </c>
      <c r="D975" s="12" t="s">
        <v>341</v>
      </c>
      <c r="E975" s="89">
        <f t="shared" ca="1" si="94"/>
        <v>40951</v>
      </c>
      <c r="F975" s="11">
        <f>DATE(53,10,25)</f>
        <v>19657</v>
      </c>
      <c r="G975" s="12">
        <f t="shared" ca="1" si="90"/>
        <v>59</v>
      </c>
      <c r="H975" s="12">
        <f t="shared" ca="1" si="91"/>
        <v>-8</v>
      </c>
      <c r="I975" s="13">
        <f t="shared" ca="1" si="92"/>
        <v>-13</v>
      </c>
      <c r="J975" s="14">
        <f t="shared" ca="1" si="95"/>
        <v>58</v>
      </c>
      <c r="K975" s="12" t="s">
        <v>41</v>
      </c>
      <c r="L975" s="12">
        <v>78</v>
      </c>
      <c r="M975" s="12" t="s">
        <v>40</v>
      </c>
      <c r="N975" s="12">
        <v>212</v>
      </c>
    </row>
    <row r="976" spans="1:15">
      <c r="A976" s="12">
        <f t="shared" si="93"/>
        <v>973</v>
      </c>
      <c r="B976" s="12" t="s">
        <v>11</v>
      </c>
      <c r="C976" s="12" t="s">
        <v>727</v>
      </c>
      <c r="D976" s="12" t="s">
        <v>341</v>
      </c>
      <c r="E976" s="89">
        <f t="shared" ca="1" si="94"/>
        <v>40951</v>
      </c>
      <c r="F976" s="11">
        <f>DATE(75,4,13)</f>
        <v>27497</v>
      </c>
      <c r="G976" s="12">
        <f t="shared" ca="1" si="90"/>
        <v>37</v>
      </c>
      <c r="H976" s="12">
        <f t="shared" ca="1" si="91"/>
        <v>-2</v>
      </c>
      <c r="I976" s="13">
        <f t="shared" ca="1" si="92"/>
        <v>-1</v>
      </c>
      <c r="J976" s="14">
        <f t="shared" ca="1" si="95"/>
        <v>36</v>
      </c>
      <c r="K976" s="12" t="s">
        <v>40</v>
      </c>
      <c r="L976" s="12">
        <v>78</v>
      </c>
      <c r="M976" s="12" t="s">
        <v>40</v>
      </c>
      <c r="N976" s="12">
        <v>212</v>
      </c>
    </row>
    <row r="977" spans="1:15">
      <c r="A977" s="12">
        <f t="shared" si="93"/>
        <v>974</v>
      </c>
      <c r="B977" s="12" t="s">
        <v>11</v>
      </c>
      <c r="C977" s="12" t="s">
        <v>212</v>
      </c>
      <c r="D977" s="12" t="s">
        <v>727</v>
      </c>
      <c r="E977" s="89">
        <f t="shared" ca="1" si="94"/>
        <v>40951</v>
      </c>
      <c r="F977" s="11">
        <f>DATE(79,12,18)</f>
        <v>29207</v>
      </c>
      <c r="G977" s="12">
        <f t="shared" ca="1" si="90"/>
        <v>33</v>
      </c>
      <c r="H977" s="12">
        <f t="shared" ca="1" si="91"/>
        <v>-10</v>
      </c>
      <c r="I977" s="13">
        <f t="shared" ca="1" si="92"/>
        <v>-6</v>
      </c>
      <c r="J977" s="14">
        <f t="shared" ca="1" si="95"/>
        <v>32</v>
      </c>
      <c r="K977" s="12" t="s">
        <v>41</v>
      </c>
      <c r="L977" s="12">
        <v>78</v>
      </c>
      <c r="M977" s="12" t="s">
        <v>40</v>
      </c>
      <c r="N977" s="12">
        <v>212</v>
      </c>
    </row>
    <row r="978" spans="1:15">
      <c r="A978" s="12">
        <f t="shared" si="93"/>
        <v>975</v>
      </c>
      <c r="B978" s="12" t="s">
        <v>11</v>
      </c>
      <c r="C978" s="12" t="s">
        <v>728</v>
      </c>
      <c r="D978" s="12" t="s">
        <v>727</v>
      </c>
      <c r="E978" s="89">
        <f t="shared" ca="1" si="94"/>
        <v>40951</v>
      </c>
      <c r="F978" s="11">
        <f>DATE(2002,6,2)</f>
        <v>37409</v>
      </c>
      <c r="G978" s="12">
        <f t="shared" ca="1" si="90"/>
        <v>10</v>
      </c>
      <c r="H978" s="12">
        <f t="shared" ca="1" si="91"/>
        <v>-4</v>
      </c>
      <c r="I978" s="13">
        <f t="shared" ca="1" si="92"/>
        <v>10</v>
      </c>
      <c r="J978" s="14">
        <f t="shared" ca="1" si="95"/>
        <v>9</v>
      </c>
      <c r="K978" s="12" t="s">
        <v>40</v>
      </c>
      <c r="L978" s="12">
        <v>78</v>
      </c>
      <c r="M978" s="12" t="s">
        <v>44</v>
      </c>
      <c r="N978" s="12">
        <v>212</v>
      </c>
    </row>
    <row r="979" spans="1:15">
      <c r="A979" s="12">
        <f t="shared" si="93"/>
        <v>976</v>
      </c>
      <c r="B979" s="12" t="s">
        <v>11</v>
      </c>
      <c r="C979" s="12" t="s">
        <v>641</v>
      </c>
      <c r="D979" s="12" t="s">
        <v>341</v>
      </c>
      <c r="E979" s="89">
        <f t="shared" ca="1" si="94"/>
        <v>40951</v>
      </c>
      <c r="F979" s="11">
        <f>DATE(79,1,31)</f>
        <v>28886</v>
      </c>
      <c r="G979" s="12">
        <f t="shared" ca="1" si="90"/>
        <v>33</v>
      </c>
      <c r="H979" s="12">
        <f t="shared" ca="1" si="91"/>
        <v>1</v>
      </c>
      <c r="I979" s="13">
        <f t="shared" ca="1" si="92"/>
        <v>-19</v>
      </c>
      <c r="J979" s="14">
        <f t="shared" ca="1" si="95"/>
        <v>33</v>
      </c>
      <c r="K979" s="12" t="s">
        <v>40</v>
      </c>
      <c r="L979" s="12">
        <v>78</v>
      </c>
      <c r="M979" s="12" t="s">
        <v>40</v>
      </c>
      <c r="N979" s="12">
        <v>212</v>
      </c>
    </row>
    <row r="980" spans="1:15">
      <c r="A980" s="12">
        <f t="shared" si="93"/>
        <v>977</v>
      </c>
      <c r="B980" s="12" t="s">
        <v>11</v>
      </c>
      <c r="C980" s="12" t="s">
        <v>729</v>
      </c>
      <c r="D980" s="12" t="s">
        <v>641</v>
      </c>
      <c r="E980" s="89">
        <f t="shared" ca="1" si="94"/>
        <v>40951</v>
      </c>
      <c r="F980" s="11">
        <f>DATE(83,3,12)</f>
        <v>30387</v>
      </c>
      <c r="G980" s="12">
        <f t="shared" ca="1" si="90"/>
        <v>29</v>
      </c>
      <c r="H980" s="12">
        <f t="shared" ca="1" si="91"/>
        <v>-1</v>
      </c>
      <c r="I980" s="13">
        <f t="shared" ca="1" si="92"/>
        <v>0</v>
      </c>
      <c r="J980" s="14">
        <f t="shared" ca="1" si="95"/>
        <v>28</v>
      </c>
      <c r="K980" s="12" t="s">
        <v>41</v>
      </c>
      <c r="L980" s="12">
        <v>78</v>
      </c>
      <c r="M980" s="12" t="s">
        <v>40</v>
      </c>
      <c r="N980" s="12">
        <v>212</v>
      </c>
    </row>
    <row r="981" spans="1:15">
      <c r="A981" s="12">
        <f t="shared" si="93"/>
        <v>978</v>
      </c>
      <c r="B981" s="12" t="s">
        <v>11</v>
      </c>
      <c r="C981" s="12" t="s">
        <v>730</v>
      </c>
      <c r="D981" s="12" t="s">
        <v>573</v>
      </c>
      <c r="E981" s="89">
        <f t="shared" ca="1" si="94"/>
        <v>40951</v>
      </c>
      <c r="F981" s="11">
        <f>DATE(52,6,15)</f>
        <v>19160</v>
      </c>
      <c r="G981" s="12">
        <f t="shared" ca="1" si="90"/>
        <v>60</v>
      </c>
      <c r="H981" s="12">
        <f t="shared" ca="1" si="91"/>
        <v>-4</v>
      </c>
      <c r="I981" s="13">
        <f t="shared" ca="1" si="92"/>
        <v>-3</v>
      </c>
      <c r="J981" s="14">
        <f t="shared" ca="1" si="95"/>
        <v>59</v>
      </c>
      <c r="K981" s="12" t="s">
        <v>40</v>
      </c>
      <c r="L981" s="12">
        <v>79</v>
      </c>
      <c r="M981" s="12" t="s">
        <v>40</v>
      </c>
      <c r="N981" s="12">
        <v>213</v>
      </c>
      <c r="O981" s="90" t="s">
        <v>2748</v>
      </c>
    </row>
    <row r="982" spans="1:15">
      <c r="A982" s="12">
        <f t="shared" si="93"/>
        <v>979</v>
      </c>
      <c r="B982" s="12" t="s">
        <v>11</v>
      </c>
      <c r="C982" s="12" t="s">
        <v>731</v>
      </c>
      <c r="D982" s="12" t="s">
        <v>730</v>
      </c>
      <c r="E982" s="89">
        <f t="shared" ca="1" si="94"/>
        <v>40951</v>
      </c>
      <c r="F982" s="11">
        <f>DATE(53,1,1)</f>
        <v>19360</v>
      </c>
      <c r="G982" s="12">
        <f t="shared" ca="1" si="90"/>
        <v>59</v>
      </c>
      <c r="H982" s="12">
        <f t="shared" ca="1" si="91"/>
        <v>1</v>
      </c>
      <c r="I982" s="13">
        <f t="shared" ca="1" si="92"/>
        <v>11</v>
      </c>
      <c r="J982" s="14">
        <f t="shared" ca="1" si="95"/>
        <v>59</v>
      </c>
      <c r="K982" s="12" t="s">
        <v>41</v>
      </c>
      <c r="L982" s="12">
        <v>79</v>
      </c>
      <c r="M982" s="12" t="s">
        <v>40</v>
      </c>
      <c r="N982" s="12">
        <v>213</v>
      </c>
    </row>
    <row r="983" spans="1:15">
      <c r="A983" s="12">
        <f t="shared" si="93"/>
        <v>980</v>
      </c>
      <c r="B983" s="12" t="s">
        <v>11</v>
      </c>
      <c r="C983" s="12" t="s">
        <v>628</v>
      </c>
      <c r="D983" s="12" t="s">
        <v>730</v>
      </c>
      <c r="E983" s="89">
        <f t="shared" ca="1" si="94"/>
        <v>40951</v>
      </c>
      <c r="F983" s="11">
        <f>DATE(86,11,11)</f>
        <v>31727</v>
      </c>
      <c r="G983" s="12">
        <f t="shared" ca="1" si="90"/>
        <v>26</v>
      </c>
      <c r="H983" s="12">
        <f t="shared" ca="1" si="91"/>
        <v>-9</v>
      </c>
      <c r="I983" s="13">
        <f t="shared" ca="1" si="92"/>
        <v>1</v>
      </c>
      <c r="J983" s="14">
        <f t="shared" ca="1" si="95"/>
        <v>25</v>
      </c>
      <c r="K983" s="12" t="s">
        <v>41</v>
      </c>
      <c r="L983" s="12">
        <v>79</v>
      </c>
      <c r="M983" s="12" t="s">
        <v>44</v>
      </c>
      <c r="N983" s="12">
        <v>213</v>
      </c>
    </row>
    <row r="984" spans="1:15">
      <c r="A984" s="12">
        <f t="shared" si="93"/>
        <v>981</v>
      </c>
      <c r="B984" s="12" t="s">
        <v>11</v>
      </c>
      <c r="C984" s="12" t="s">
        <v>236</v>
      </c>
      <c r="D984" s="12" t="s">
        <v>730</v>
      </c>
      <c r="E984" s="89">
        <f t="shared" ca="1" si="94"/>
        <v>40951</v>
      </c>
      <c r="F984" s="11">
        <f>DATE(88,8,31)</f>
        <v>32386</v>
      </c>
      <c r="G984" s="12">
        <f t="shared" ca="1" si="90"/>
        <v>24</v>
      </c>
      <c r="H984" s="12">
        <f t="shared" ca="1" si="91"/>
        <v>-6</v>
      </c>
      <c r="I984" s="13">
        <f t="shared" ca="1" si="92"/>
        <v>-19</v>
      </c>
      <c r="J984" s="14">
        <f t="shared" ca="1" si="95"/>
        <v>23</v>
      </c>
      <c r="K984" s="12" t="s">
        <v>41</v>
      </c>
      <c r="L984" s="12">
        <v>79</v>
      </c>
      <c r="M984" s="12" t="s">
        <v>44</v>
      </c>
      <c r="N984" s="12">
        <v>213</v>
      </c>
    </row>
    <row r="985" spans="1:15">
      <c r="A985" s="12">
        <f t="shared" si="93"/>
        <v>982</v>
      </c>
      <c r="B985" s="12" t="s">
        <v>11</v>
      </c>
      <c r="C985" s="12" t="s">
        <v>74</v>
      </c>
      <c r="D985" s="12" t="s">
        <v>730</v>
      </c>
      <c r="E985" s="89">
        <f t="shared" ca="1" si="94"/>
        <v>40951</v>
      </c>
      <c r="F985" s="11">
        <f>DATE(91,12,13)</f>
        <v>33585</v>
      </c>
      <c r="G985" s="12">
        <f t="shared" ca="1" si="90"/>
        <v>21</v>
      </c>
      <c r="H985" s="12">
        <f t="shared" ca="1" si="91"/>
        <v>-10</v>
      </c>
      <c r="I985" s="13">
        <f t="shared" ca="1" si="92"/>
        <v>-1</v>
      </c>
      <c r="J985" s="14">
        <f t="shared" ca="1" si="95"/>
        <v>20</v>
      </c>
      <c r="K985" s="12" t="s">
        <v>41</v>
      </c>
      <c r="L985" s="12">
        <v>79</v>
      </c>
      <c r="M985" s="12" t="s">
        <v>44</v>
      </c>
      <c r="N985" s="12">
        <v>213</v>
      </c>
    </row>
    <row r="986" spans="1:15">
      <c r="A986" s="12">
        <f t="shared" si="93"/>
        <v>983</v>
      </c>
      <c r="B986" s="12" t="s">
        <v>11</v>
      </c>
      <c r="C986" s="12" t="s">
        <v>355</v>
      </c>
      <c r="D986" s="12" t="s">
        <v>134</v>
      </c>
      <c r="E986" s="89">
        <f t="shared" ca="1" si="94"/>
        <v>40951</v>
      </c>
      <c r="F986" s="11">
        <f>DATE(33,9,13)</f>
        <v>12310</v>
      </c>
      <c r="G986" s="12">
        <f t="shared" ref="G986:G1049" ca="1" si="96">YEAR(E986)-YEAR(F986)</f>
        <v>79</v>
      </c>
      <c r="H986" s="12">
        <f t="shared" ref="H986:H1049" ca="1" si="97">MONTH(E986)-MONTH(F986)</f>
        <v>-7</v>
      </c>
      <c r="I986" s="13">
        <f t="shared" ref="I986:I1049" ca="1" si="98">DAY(E986)-DAY(F986)</f>
        <v>-1</v>
      </c>
      <c r="J986" s="14">
        <f t="shared" ca="1" si="95"/>
        <v>78</v>
      </c>
      <c r="K986" s="12" t="s">
        <v>40</v>
      </c>
      <c r="L986" s="12">
        <v>79</v>
      </c>
      <c r="M986" s="12" t="s">
        <v>40</v>
      </c>
      <c r="N986" s="12">
        <v>214</v>
      </c>
      <c r="O986" s="90" t="s">
        <v>2748</v>
      </c>
    </row>
    <row r="987" spans="1:15">
      <c r="A987" s="12">
        <f t="shared" si="93"/>
        <v>984</v>
      </c>
      <c r="B987" s="12" t="s">
        <v>11</v>
      </c>
      <c r="C987" s="12" t="s">
        <v>415</v>
      </c>
      <c r="D987" s="12" t="s">
        <v>355</v>
      </c>
      <c r="E987" s="89">
        <f t="shared" ca="1" si="94"/>
        <v>40951</v>
      </c>
      <c r="F987" s="11">
        <f>DATE(34,6,7)</f>
        <v>12577</v>
      </c>
      <c r="G987" s="12">
        <f t="shared" ca="1" si="96"/>
        <v>78</v>
      </c>
      <c r="H987" s="12">
        <f t="shared" ca="1" si="97"/>
        <v>-4</v>
      </c>
      <c r="I987" s="13">
        <f t="shared" ca="1" si="98"/>
        <v>5</v>
      </c>
      <c r="J987" s="14">
        <f t="shared" ca="1" si="95"/>
        <v>77</v>
      </c>
      <c r="K987" s="12" t="s">
        <v>41</v>
      </c>
      <c r="L987" s="12">
        <v>79</v>
      </c>
      <c r="M987" s="12" t="s">
        <v>40</v>
      </c>
      <c r="N987" s="12">
        <v>214</v>
      </c>
    </row>
    <row r="988" spans="1:15">
      <c r="A988" s="12">
        <f t="shared" si="93"/>
        <v>985</v>
      </c>
      <c r="B988" s="12" t="s">
        <v>11</v>
      </c>
      <c r="C988" s="12" t="s">
        <v>529</v>
      </c>
      <c r="D988" s="12" t="s">
        <v>355</v>
      </c>
      <c r="E988" s="89">
        <f t="shared" ca="1" si="94"/>
        <v>40951</v>
      </c>
      <c r="F988" s="11">
        <f>DATE(64,12,10)</f>
        <v>23721</v>
      </c>
      <c r="G988" s="12">
        <f t="shared" ca="1" si="96"/>
        <v>48</v>
      </c>
      <c r="H988" s="12">
        <f t="shared" ca="1" si="97"/>
        <v>-10</v>
      </c>
      <c r="I988" s="13">
        <f t="shared" ca="1" si="98"/>
        <v>2</v>
      </c>
      <c r="J988" s="14">
        <f t="shared" ca="1" si="95"/>
        <v>47</v>
      </c>
      <c r="K988" s="12" t="s">
        <v>40</v>
      </c>
      <c r="L988" s="12">
        <v>79</v>
      </c>
      <c r="M988" s="12" t="s">
        <v>40</v>
      </c>
      <c r="N988" s="12">
        <v>214</v>
      </c>
    </row>
    <row r="989" spans="1:15">
      <c r="A989" s="12">
        <f t="shared" si="93"/>
        <v>986</v>
      </c>
      <c r="B989" s="12" t="s">
        <v>11</v>
      </c>
      <c r="C989" s="12" t="s">
        <v>732</v>
      </c>
      <c r="D989" s="12" t="s">
        <v>529</v>
      </c>
      <c r="E989" s="89">
        <f t="shared" ca="1" si="94"/>
        <v>40951</v>
      </c>
      <c r="F989" s="11">
        <f>DATE(67,5,13)</f>
        <v>24605</v>
      </c>
      <c r="G989" s="12">
        <f t="shared" ca="1" si="96"/>
        <v>45</v>
      </c>
      <c r="H989" s="12">
        <f t="shared" ca="1" si="97"/>
        <v>-3</v>
      </c>
      <c r="I989" s="13">
        <f t="shared" ca="1" si="98"/>
        <v>-1</v>
      </c>
      <c r="J989" s="14">
        <f t="shared" ca="1" si="95"/>
        <v>44</v>
      </c>
      <c r="K989" s="12" t="s">
        <v>41</v>
      </c>
      <c r="L989" s="12">
        <v>79</v>
      </c>
      <c r="M989" s="12" t="s">
        <v>40</v>
      </c>
      <c r="N989" s="12">
        <v>214</v>
      </c>
    </row>
    <row r="990" spans="1:15">
      <c r="A990" s="12">
        <f t="shared" ref="A990:A1053" si="99">A989+1</f>
        <v>987</v>
      </c>
      <c r="B990" s="12" t="s">
        <v>11</v>
      </c>
      <c r="C990" s="12" t="s">
        <v>668</v>
      </c>
      <c r="D990" s="12" t="s">
        <v>529</v>
      </c>
      <c r="E990" s="89">
        <f t="shared" ca="1" si="94"/>
        <v>40951</v>
      </c>
      <c r="F990" s="11">
        <f>DATE(90,6,4)</f>
        <v>33028</v>
      </c>
      <c r="G990" s="12">
        <f t="shared" ca="1" si="96"/>
        <v>22</v>
      </c>
      <c r="H990" s="12">
        <f t="shared" ca="1" si="97"/>
        <v>-4</v>
      </c>
      <c r="I990" s="13">
        <f t="shared" ca="1" si="98"/>
        <v>8</v>
      </c>
      <c r="J990" s="14">
        <f t="shared" ca="1" si="95"/>
        <v>21</v>
      </c>
      <c r="K990" s="12" t="s">
        <v>41</v>
      </c>
      <c r="L990" s="12">
        <v>79</v>
      </c>
      <c r="M990" s="12" t="s">
        <v>44</v>
      </c>
      <c r="N990" s="12">
        <v>214</v>
      </c>
    </row>
    <row r="991" spans="1:15">
      <c r="A991" s="12">
        <f t="shared" si="99"/>
        <v>988</v>
      </c>
      <c r="B991" s="12" t="s">
        <v>11</v>
      </c>
      <c r="C991" s="12" t="s">
        <v>638</v>
      </c>
      <c r="D991" s="12" t="s">
        <v>529</v>
      </c>
      <c r="E991" s="89">
        <f t="shared" ca="1" si="94"/>
        <v>40951</v>
      </c>
      <c r="F991" s="11">
        <f>DATE(93,1,25)</f>
        <v>33994</v>
      </c>
      <c r="G991" s="12">
        <f t="shared" ca="1" si="96"/>
        <v>19</v>
      </c>
      <c r="H991" s="12">
        <f t="shared" ca="1" si="97"/>
        <v>1</v>
      </c>
      <c r="I991" s="13">
        <f t="shared" ca="1" si="98"/>
        <v>-13</v>
      </c>
      <c r="J991" s="14">
        <f t="shared" ca="1" si="95"/>
        <v>19</v>
      </c>
      <c r="K991" s="12" t="s">
        <v>41</v>
      </c>
      <c r="L991" s="12">
        <v>79</v>
      </c>
      <c r="M991" s="12" t="s">
        <v>44</v>
      </c>
      <c r="N991" s="12">
        <v>214</v>
      </c>
    </row>
    <row r="992" spans="1:15">
      <c r="A992" s="12">
        <f t="shared" si="99"/>
        <v>989</v>
      </c>
      <c r="B992" s="12" t="s">
        <v>11</v>
      </c>
      <c r="C992" s="12" t="s">
        <v>340</v>
      </c>
      <c r="D992" s="12" t="s">
        <v>529</v>
      </c>
      <c r="E992" s="89">
        <f t="shared" ca="1" si="94"/>
        <v>40951</v>
      </c>
      <c r="F992" s="11">
        <f>DATE(2003,1,11)</f>
        <v>37632</v>
      </c>
      <c r="G992" s="12">
        <f t="shared" ca="1" si="96"/>
        <v>9</v>
      </c>
      <c r="H992" s="12">
        <f t="shared" ca="1" si="97"/>
        <v>1</v>
      </c>
      <c r="I992" s="13">
        <f t="shared" ca="1" si="98"/>
        <v>1</v>
      </c>
      <c r="J992" s="14">
        <f t="shared" ca="1" si="95"/>
        <v>9</v>
      </c>
      <c r="K992" s="12" t="s">
        <v>41</v>
      </c>
      <c r="L992" s="12">
        <v>79</v>
      </c>
      <c r="M992" s="12" t="s">
        <v>44</v>
      </c>
      <c r="N992" s="12">
        <v>214</v>
      </c>
    </row>
    <row r="993" spans="1:15">
      <c r="A993" s="12">
        <f t="shared" si="99"/>
        <v>990</v>
      </c>
      <c r="B993" s="12" t="s">
        <v>11</v>
      </c>
      <c r="C993" s="12" t="s">
        <v>348</v>
      </c>
      <c r="D993" s="12" t="s">
        <v>733</v>
      </c>
      <c r="E993" s="89">
        <f t="shared" ca="1" si="94"/>
        <v>40951</v>
      </c>
      <c r="F993" s="11">
        <f>DATE(63,9,11)</f>
        <v>23265</v>
      </c>
      <c r="G993" s="12">
        <f t="shared" ca="1" si="96"/>
        <v>49</v>
      </c>
      <c r="H993" s="12">
        <f t="shared" ca="1" si="97"/>
        <v>-7</v>
      </c>
      <c r="I993" s="13">
        <f t="shared" ca="1" si="98"/>
        <v>1</v>
      </c>
      <c r="J993" s="14">
        <f t="shared" ca="1" si="95"/>
        <v>48</v>
      </c>
      <c r="K993" s="12" t="s">
        <v>40</v>
      </c>
      <c r="L993" s="12">
        <v>79</v>
      </c>
      <c r="M993" s="12" t="s">
        <v>40</v>
      </c>
      <c r="N993" s="12">
        <v>215</v>
      </c>
      <c r="O993" s="90" t="s">
        <v>2748</v>
      </c>
    </row>
    <row r="994" spans="1:15">
      <c r="A994" s="12">
        <f t="shared" si="99"/>
        <v>991</v>
      </c>
      <c r="B994" s="12" t="s">
        <v>11</v>
      </c>
      <c r="C994" s="12" t="s">
        <v>265</v>
      </c>
      <c r="D994" s="12" t="s">
        <v>348</v>
      </c>
      <c r="E994" s="89">
        <f t="shared" ca="1" si="94"/>
        <v>40951</v>
      </c>
      <c r="F994" s="11">
        <f>DATE(69,11,22)</f>
        <v>25529</v>
      </c>
      <c r="G994" s="12">
        <f t="shared" ca="1" si="96"/>
        <v>43</v>
      </c>
      <c r="H994" s="12">
        <f t="shared" ca="1" si="97"/>
        <v>-9</v>
      </c>
      <c r="I994" s="13">
        <f t="shared" ca="1" si="98"/>
        <v>-10</v>
      </c>
      <c r="J994" s="14">
        <f t="shared" ca="1" si="95"/>
        <v>42</v>
      </c>
      <c r="K994" s="12" t="s">
        <v>41</v>
      </c>
      <c r="L994" s="12">
        <v>79</v>
      </c>
      <c r="M994" s="12" t="s">
        <v>40</v>
      </c>
      <c r="N994" s="12">
        <v>215</v>
      </c>
    </row>
    <row r="995" spans="1:15">
      <c r="A995" s="12">
        <f t="shared" si="99"/>
        <v>992</v>
      </c>
      <c r="B995" s="12" t="s">
        <v>11</v>
      </c>
      <c r="C995" s="12" t="s">
        <v>734</v>
      </c>
      <c r="D995" s="12" t="s">
        <v>348</v>
      </c>
      <c r="E995" s="89">
        <f t="shared" ca="1" si="94"/>
        <v>40951</v>
      </c>
      <c r="F995" s="11">
        <f>DATE(90,2,11)</f>
        <v>32915</v>
      </c>
      <c r="G995" s="12">
        <f t="shared" ca="1" si="96"/>
        <v>22</v>
      </c>
      <c r="H995" s="12">
        <f t="shared" ca="1" si="97"/>
        <v>0</v>
      </c>
      <c r="I995" s="13">
        <f t="shared" ca="1" si="98"/>
        <v>1</v>
      </c>
      <c r="J995" s="14">
        <f t="shared" ca="1" si="95"/>
        <v>22</v>
      </c>
      <c r="K995" s="12" t="s">
        <v>41</v>
      </c>
      <c r="L995" s="12">
        <v>79</v>
      </c>
      <c r="M995" s="12" t="s">
        <v>40</v>
      </c>
      <c r="N995" s="12">
        <v>215</v>
      </c>
    </row>
    <row r="996" spans="1:15">
      <c r="A996" s="12">
        <f t="shared" si="99"/>
        <v>993</v>
      </c>
      <c r="B996" s="12" t="s">
        <v>11</v>
      </c>
      <c r="C996" s="12" t="s">
        <v>571</v>
      </c>
      <c r="D996" s="12" t="s">
        <v>348</v>
      </c>
      <c r="E996" s="89">
        <f t="shared" ref="E996:E1059" ca="1" si="100">TODAY()</f>
        <v>40951</v>
      </c>
      <c r="F996" s="11">
        <f>DATE(95,1,10)</f>
        <v>34709</v>
      </c>
      <c r="G996" s="12">
        <f t="shared" ca="1" si="96"/>
        <v>17</v>
      </c>
      <c r="H996" s="12">
        <f t="shared" ca="1" si="97"/>
        <v>1</v>
      </c>
      <c r="I996" s="13">
        <f t="shared" ca="1" si="98"/>
        <v>2</v>
      </c>
      <c r="J996" s="14">
        <f t="shared" ca="1" si="95"/>
        <v>17</v>
      </c>
      <c r="K996" s="12" t="s">
        <v>40</v>
      </c>
      <c r="L996" s="12">
        <v>79</v>
      </c>
      <c r="M996" s="12" t="s">
        <v>44</v>
      </c>
      <c r="N996" s="12">
        <v>215</v>
      </c>
    </row>
    <row r="997" spans="1:15">
      <c r="A997" s="12">
        <f t="shared" si="99"/>
        <v>994</v>
      </c>
      <c r="B997" s="12" t="s">
        <v>11</v>
      </c>
      <c r="C997" s="12" t="s">
        <v>348</v>
      </c>
      <c r="D997" s="12" t="s">
        <v>358</v>
      </c>
      <c r="E997" s="89">
        <f t="shared" ca="1" si="100"/>
        <v>40951</v>
      </c>
      <c r="F997" s="11">
        <f>DATE(64,10,10)</f>
        <v>23660</v>
      </c>
      <c r="G997" s="12">
        <f t="shared" ca="1" si="96"/>
        <v>48</v>
      </c>
      <c r="H997" s="12">
        <f t="shared" ca="1" si="97"/>
        <v>-8</v>
      </c>
      <c r="I997" s="13">
        <f t="shared" ca="1" si="98"/>
        <v>2</v>
      </c>
      <c r="J997" s="14">
        <f t="shared" ca="1" si="95"/>
        <v>47</v>
      </c>
      <c r="K997" s="12" t="s">
        <v>40</v>
      </c>
      <c r="L997" s="12">
        <v>80</v>
      </c>
      <c r="M997" s="12" t="s">
        <v>40</v>
      </c>
      <c r="N997" s="12">
        <v>216</v>
      </c>
      <c r="O997" s="90" t="s">
        <v>2748</v>
      </c>
    </row>
    <row r="998" spans="1:15">
      <c r="A998" s="12">
        <f t="shared" si="99"/>
        <v>995</v>
      </c>
      <c r="B998" s="12" t="s">
        <v>11</v>
      </c>
      <c r="C998" s="12" t="s">
        <v>626</v>
      </c>
      <c r="D998" s="12" t="s">
        <v>348</v>
      </c>
      <c r="E998" s="89">
        <f t="shared" ca="1" si="100"/>
        <v>40951</v>
      </c>
      <c r="F998" s="11">
        <f>DATE(61,2,9)</f>
        <v>22321</v>
      </c>
      <c r="G998" s="12">
        <f t="shared" ca="1" si="96"/>
        <v>51</v>
      </c>
      <c r="H998" s="12">
        <f t="shared" ca="1" si="97"/>
        <v>0</v>
      </c>
      <c r="I998" s="13">
        <f t="shared" ca="1" si="98"/>
        <v>3</v>
      </c>
      <c r="J998" s="14">
        <f t="shared" ca="1" si="95"/>
        <v>51</v>
      </c>
      <c r="K998" s="12" t="s">
        <v>41</v>
      </c>
      <c r="L998" s="12">
        <v>80</v>
      </c>
      <c r="M998" s="12" t="s">
        <v>40</v>
      </c>
      <c r="N998" s="12">
        <v>216</v>
      </c>
    </row>
    <row r="999" spans="1:15">
      <c r="A999" s="12">
        <f t="shared" si="99"/>
        <v>996</v>
      </c>
      <c r="B999" s="12" t="s">
        <v>11</v>
      </c>
      <c r="C999" s="12" t="s">
        <v>728</v>
      </c>
      <c r="D999" s="12" t="s">
        <v>348</v>
      </c>
      <c r="E999" s="89">
        <f t="shared" ca="1" si="100"/>
        <v>40951</v>
      </c>
      <c r="F999" s="11">
        <f>DATE(2005,11,10)</f>
        <v>38666</v>
      </c>
      <c r="G999" s="12">
        <f t="shared" ca="1" si="96"/>
        <v>7</v>
      </c>
      <c r="H999" s="12">
        <f t="shared" ca="1" si="97"/>
        <v>-9</v>
      </c>
      <c r="I999" s="13">
        <f t="shared" ca="1" si="98"/>
        <v>2</v>
      </c>
      <c r="J999" s="14">
        <f t="shared" ca="1" si="95"/>
        <v>6</v>
      </c>
      <c r="K999" s="12" t="s">
        <v>40</v>
      </c>
      <c r="L999" s="12">
        <v>80</v>
      </c>
      <c r="M999" s="12" t="s">
        <v>44</v>
      </c>
      <c r="N999" s="12">
        <v>216</v>
      </c>
    </row>
    <row r="1000" spans="1:15">
      <c r="A1000" s="12">
        <f t="shared" si="99"/>
        <v>997</v>
      </c>
      <c r="B1000" s="12" t="s">
        <v>11</v>
      </c>
      <c r="C1000" s="12" t="s">
        <v>210</v>
      </c>
      <c r="D1000" s="12" t="s">
        <v>735</v>
      </c>
      <c r="E1000" s="89">
        <f t="shared" ca="1" si="100"/>
        <v>40951</v>
      </c>
      <c r="F1000" s="11">
        <f>DATE(53,9,30)</f>
        <v>19632</v>
      </c>
      <c r="G1000" s="12">
        <f t="shared" ca="1" si="96"/>
        <v>59</v>
      </c>
      <c r="H1000" s="12">
        <f t="shared" ca="1" si="97"/>
        <v>-7</v>
      </c>
      <c r="I1000" s="13">
        <f t="shared" ca="1" si="98"/>
        <v>-18</v>
      </c>
      <c r="J1000" s="14">
        <f t="shared" ca="1" si="95"/>
        <v>58</v>
      </c>
      <c r="K1000" s="12" t="s">
        <v>40</v>
      </c>
      <c r="L1000" s="12">
        <v>80</v>
      </c>
      <c r="M1000" s="12" t="s">
        <v>40</v>
      </c>
      <c r="N1000" s="12">
        <v>217</v>
      </c>
      <c r="O1000" s="90" t="s">
        <v>2748</v>
      </c>
    </row>
    <row r="1001" spans="1:15">
      <c r="A1001" s="12">
        <f t="shared" si="99"/>
        <v>998</v>
      </c>
      <c r="B1001" s="12" t="s">
        <v>11</v>
      </c>
      <c r="C1001" s="12" t="s">
        <v>265</v>
      </c>
      <c r="D1001" s="12" t="s">
        <v>210</v>
      </c>
      <c r="E1001" s="89">
        <f t="shared" ca="1" si="100"/>
        <v>40951</v>
      </c>
      <c r="F1001" s="11">
        <f>DATE(59,9,20)</f>
        <v>21813</v>
      </c>
      <c r="G1001" s="12">
        <f t="shared" ca="1" si="96"/>
        <v>53</v>
      </c>
      <c r="H1001" s="12">
        <f t="shared" ca="1" si="97"/>
        <v>-7</v>
      </c>
      <c r="I1001" s="13">
        <f t="shared" ca="1" si="98"/>
        <v>-8</v>
      </c>
      <c r="J1001" s="14">
        <f t="shared" ca="1" si="95"/>
        <v>52</v>
      </c>
      <c r="K1001" s="12" t="s">
        <v>41</v>
      </c>
      <c r="L1001" s="12">
        <v>80</v>
      </c>
      <c r="M1001" s="12" t="s">
        <v>40</v>
      </c>
      <c r="N1001" s="12">
        <v>217</v>
      </c>
    </row>
    <row r="1002" spans="1:15">
      <c r="A1002" s="12">
        <f t="shared" si="99"/>
        <v>999</v>
      </c>
      <c r="B1002" s="12" t="s">
        <v>11</v>
      </c>
      <c r="C1002" s="12" t="s">
        <v>736</v>
      </c>
      <c r="D1002" s="12" t="s">
        <v>210</v>
      </c>
      <c r="E1002" s="89">
        <f t="shared" ca="1" si="100"/>
        <v>40951</v>
      </c>
      <c r="F1002" s="11">
        <f>DATE(83,1,22)</f>
        <v>30338</v>
      </c>
      <c r="G1002" s="12">
        <f t="shared" ca="1" si="96"/>
        <v>29</v>
      </c>
      <c r="H1002" s="12">
        <f t="shared" ca="1" si="97"/>
        <v>1</v>
      </c>
      <c r="I1002" s="13">
        <f t="shared" ca="1" si="98"/>
        <v>-10</v>
      </c>
      <c r="J1002" s="14">
        <f t="shared" ca="1" si="95"/>
        <v>29</v>
      </c>
      <c r="K1002" s="12" t="s">
        <v>41</v>
      </c>
      <c r="L1002" s="12">
        <v>80</v>
      </c>
      <c r="M1002" s="12" t="s">
        <v>44</v>
      </c>
      <c r="N1002" s="12">
        <v>217</v>
      </c>
    </row>
    <row r="1003" spans="1:15">
      <c r="A1003" s="12">
        <f t="shared" si="99"/>
        <v>1000</v>
      </c>
      <c r="B1003" s="12" t="s">
        <v>11</v>
      </c>
      <c r="C1003" s="12" t="s">
        <v>638</v>
      </c>
      <c r="D1003" s="12" t="s">
        <v>210</v>
      </c>
      <c r="E1003" s="89">
        <f t="shared" ca="1" si="100"/>
        <v>40951</v>
      </c>
      <c r="F1003" s="11">
        <f>DATE(78,6,16)</f>
        <v>28657</v>
      </c>
      <c r="G1003" s="12">
        <f t="shared" ca="1" si="96"/>
        <v>34</v>
      </c>
      <c r="H1003" s="12">
        <f t="shared" ca="1" si="97"/>
        <v>-4</v>
      </c>
      <c r="I1003" s="13">
        <f t="shared" ca="1" si="98"/>
        <v>-4</v>
      </c>
      <c r="J1003" s="14">
        <f t="shared" ca="1" si="95"/>
        <v>33</v>
      </c>
      <c r="K1003" s="12" t="s">
        <v>41</v>
      </c>
      <c r="L1003" s="12">
        <v>80</v>
      </c>
      <c r="M1003" s="12" t="s">
        <v>44</v>
      </c>
      <c r="N1003" s="12">
        <v>217</v>
      </c>
    </row>
    <row r="1004" spans="1:15">
      <c r="A1004" s="12">
        <f t="shared" si="99"/>
        <v>1001</v>
      </c>
      <c r="B1004" s="12" t="s">
        <v>11</v>
      </c>
      <c r="C1004" s="12" t="s">
        <v>737</v>
      </c>
      <c r="D1004" s="12" t="s">
        <v>210</v>
      </c>
      <c r="E1004" s="89">
        <f t="shared" ca="1" si="100"/>
        <v>40951</v>
      </c>
      <c r="F1004" s="11">
        <f>DATE(88,10,31)</f>
        <v>32447</v>
      </c>
      <c r="G1004" s="12">
        <f t="shared" ca="1" si="96"/>
        <v>24</v>
      </c>
      <c r="H1004" s="12">
        <f t="shared" ca="1" si="97"/>
        <v>-8</v>
      </c>
      <c r="I1004" s="13">
        <f t="shared" ca="1" si="98"/>
        <v>-19</v>
      </c>
      <c r="J1004" s="14">
        <f t="shared" ca="1" si="95"/>
        <v>23</v>
      </c>
      <c r="K1004" s="12" t="s">
        <v>40</v>
      </c>
      <c r="L1004" s="12">
        <v>80</v>
      </c>
      <c r="M1004" s="12" t="s">
        <v>44</v>
      </c>
      <c r="N1004" s="12">
        <v>217</v>
      </c>
    </row>
    <row r="1005" spans="1:15">
      <c r="A1005" s="12">
        <f t="shared" si="99"/>
        <v>1002</v>
      </c>
      <c r="B1005" s="12" t="s">
        <v>11</v>
      </c>
      <c r="C1005" s="12" t="s">
        <v>473</v>
      </c>
      <c r="D1005" s="12" t="s">
        <v>738</v>
      </c>
      <c r="E1005" s="89">
        <f t="shared" ca="1" si="100"/>
        <v>40951</v>
      </c>
      <c r="F1005" s="11">
        <f>DATE(52,10,14)</f>
        <v>19281</v>
      </c>
      <c r="G1005" s="12">
        <f t="shared" ca="1" si="96"/>
        <v>60</v>
      </c>
      <c r="H1005" s="12">
        <f t="shared" ca="1" si="97"/>
        <v>-8</v>
      </c>
      <c r="I1005" s="13">
        <f t="shared" ca="1" si="98"/>
        <v>-2</v>
      </c>
      <c r="J1005" s="14">
        <f t="shared" ca="1" si="95"/>
        <v>59</v>
      </c>
      <c r="K1005" s="12" t="s">
        <v>40</v>
      </c>
      <c r="L1005" s="12">
        <v>80</v>
      </c>
      <c r="M1005" s="12" t="s">
        <v>40</v>
      </c>
      <c r="N1005" s="12">
        <v>218</v>
      </c>
      <c r="O1005" s="90" t="s">
        <v>2748</v>
      </c>
    </row>
    <row r="1006" spans="1:15">
      <c r="A1006" s="12">
        <f t="shared" si="99"/>
        <v>1003</v>
      </c>
      <c r="B1006" s="12" t="s">
        <v>11</v>
      </c>
      <c r="C1006" s="12" t="s">
        <v>739</v>
      </c>
      <c r="D1006" s="12" t="s">
        <v>473</v>
      </c>
      <c r="E1006" s="89">
        <f t="shared" ca="1" si="100"/>
        <v>40951</v>
      </c>
      <c r="F1006" s="11">
        <f>DATE(56,4,23)</f>
        <v>20568</v>
      </c>
      <c r="G1006" s="12">
        <f t="shared" ca="1" si="96"/>
        <v>56</v>
      </c>
      <c r="H1006" s="12">
        <f t="shared" ca="1" si="97"/>
        <v>-2</v>
      </c>
      <c r="I1006" s="13">
        <f t="shared" ca="1" si="98"/>
        <v>-11</v>
      </c>
      <c r="J1006" s="14">
        <f t="shared" ca="1" si="95"/>
        <v>55</v>
      </c>
      <c r="K1006" s="12" t="s">
        <v>41</v>
      </c>
      <c r="L1006" s="12">
        <v>80</v>
      </c>
      <c r="M1006" s="12" t="s">
        <v>40</v>
      </c>
      <c r="N1006" s="12">
        <v>218</v>
      </c>
    </row>
    <row r="1007" spans="1:15">
      <c r="A1007" s="12">
        <f t="shared" si="99"/>
        <v>1004</v>
      </c>
      <c r="B1007" s="12" t="s">
        <v>11</v>
      </c>
      <c r="C1007" s="12" t="s">
        <v>740</v>
      </c>
      <c r="D1007" s="12" t="s">
        <v>473</v>
      </c>
      <c r="E1007" s="89">
        <f t="shared" ca="1" si="100"/>
        <v>40951</v>
      </c>
      <c r="F1007" s="11">
        <f>DATE(82,10,6)</f>
        <v>30230</v>
      </c>
      <c r="G1007" s="12">
        <f t="shared" ca="1" si="96"/>
        <v>30</v>
      </c>
      <c r="H1007" s="12">
        <f t="shared" ca="1" si="97"/>
        <v>-8</v>
      </c>
      <c r="I1007" s="13">
        <f t="shared" ca="1" si="98"/>
        <v>6</v>
      </c>
      <c r="J1007" s="14">
        <f t="shared" ca="1" si="95"/>
        <v>29</v>
      </c>
      <c r="K1007" s="12" t="s">
        <v>41</v>
      </c>
      <c r="L1007" s="12">
        <v>80</v>
      </c>
      <c r="M1007" s="12" t="s">
        <v>44</v>
      </c>
      <c r="N1007" s="12">
        <v>218</v>
      </c>
    </row>
    <row r="1008" spans="1:15">
      <c r="A1008" s="12">
        <f t="shared" si="99"/>
        <v>1005</v>
      </c>
      <c r="B1008" s="12" t="s">
        <v>11</v>
      </c>
      <c r="C1008" s="12" t="s">
        <v>74</v>
      </c>
      <c r="D1008" s="12" t="s">
        <v>473</v>
      </c>
      <c r="E1008" s="89">
        <f t="shared" ca="1" si="100"/>
        <v>40951</v>
      </c>
      <c r="F1008" s="11">
        <f>DATE(86,3,25)</f>
        <v>31496</v>
      </c>
      <c r="G1008" s="12">
        <f t="shared" ca="1" si="96"/>
        <v>26</v>
      </c>
      <c r="H1008" s="12">
        <f t="shared" ca="1" si="97"/>
        <v>-1</v>
      </c>
      <c r="I1008" s="13">
        <f t="shared" ca="1" si="98"/>
        <v>-13</v>
      </c>
      <c r="J1008" s="14">
        <f t="shared" ca="1" si="95"/>
        <v>25</v>
      </c>
      <c r="K1008" s="12" t="s">
        <v>41</v>
      </c>
      <c r="L1008" s="12">
        <v>80</v>
      </c>
      <c r="M1008" s="12" t="s">
        <v>44</v>
      </c>
      <c r="N1008" s="12">
        <v>218</v>
      </c>
    </row>
    <row r="1009" spans="1:15">
      <c r="A1009" s="12">
        <f t="shared" si="99"/>
        <v>1006</v>
      </c>
      <c r="B1009" s="12" t="s">
        <v>11</v>
      </c>
      <c r="C1009" s="12" t="s">
        <v>741</v>
      </c>
      <c r="D1009" s="12" t="s">
        <v>473</v>
      </c>
      <c r="E1009" s="89">
        <f t="shared" ca="1" si="100"/>
        <v>40951</v>
      </c>
      <c r="F1009" s="11">
        <f>DATE(87,9,10)</f>
        <v>32030</v>
      </c>
      <c r="G1009" s="12">
        <f t="shared" ca="1" si="96"/>
        <v>25</v>
      </c>
      <c r="H1009" s="12">
        <f t="shared" ca="1" si="97"/>
        <v>-7</v>
      </c>
      <c r="I1009" s="13">
        <f t="shared" ca="1" si="98"/>
        <v>2</v>
      </c>
      <c r="J1009" s="14">
        <f t="shared" ca="1" si="95"/>
        <v>24</v>
      </c>
      <c r="K1009" s="12" t="s">
        <v>41</v>
      </c>
      <c r="L1009" s="12">
        <v>80</v>
      </c>
      <c r="M1009" s="12" t="s">
        <v>44</v>
      </c>
      <c r="N1009" s="12">
        <v>218</v>
      </c>
    </row>
    <row r="1010" spans="1:15">
      <c r="A1010" s="12">
        <f t="shared" si="99"/>
        <v>1007</v>
      </c>
      <c r="B1010" s="12" t="s">
        <v>11</v>
      </c>
      <c r="C1010" s="12" t="s">
        <v>742</v>
      </c>
      <c r="D1010" s="12" t="s">
        <v>473</v>
      </c>
      <c r="E1010" s="89">
        <f t="shared" ca="1" si="100"/>
        <v>40951</v>
      </c>
      <c r="F1010" s="11">
        <f>DATE(93,7,17)</f>
        <v>34167</v>
      </c>
      <c r="G1010" s="12">
        <f t="shared" ca="1" si="96"/>
        <v>19</v>
      </c>
      <c r="H1010" s="12">
        <f t="shared" ca="1" si="97"/>
        <v>-5</v>
      </c>
      <c r="I1010" s="13">
        <f t="shared" ca="1" si="98"/>
        <v>-5</v>
      </c>
      <c r="J1010" s="14">
        <f t="shared" ca="1" si="95"/>
        <v>18</v>
      </c>
      <c r="K1010" s="12" t="s">
        <v>40</v>
      </c>
      <c r="L1010" s="12">
        <v>80</v>
      </c>
      <c r="M1010" s="12" t="s">
        <v>44</v>
      </c>
      <c r="N1010" s="12">
        <v>218</v>
      </c>
    </row>
    <row r="1011" spans="1:15">
      <c r="A1011" s="12">
        <f t="shared" si="99"/>
        <v>1008</v>
      </c>
      <c r="B1011" s="12" t="s">
        <v>11</v>
      </c>
      <c r="C1011" s="12" t="s">
        <v>743</v>
      </c>
      <c r="D1011" s="12" t="s">
        <v>716</v>
      </c>
      <c r="E1011" s="89">
        <f t="shared" ca="1" si="100"/>
        <v>40951</v>
      </c>
      <c r="F1011" s="11">
        <f>DATE(39,9,17)</f>
        <v>14505</v>
      </c>
      <c r="G1011" s="12">
        <f t="shared" ca="1" si="96"/>
        <v>73</v>
      </c>
      <c r="H1011" s="12">
        <f t="shared" ca="1" si="97"/>
        <v>-7</v>
      </c>
      <c r="I1011" s="13">
        <f t="shared" ca="1" si="98"/>
        <v>-5</v>
      </c>
      <c r="J1011" s="14">
        <f t="shared" ca="1" si="95"/>
        <v>72</v>
      </c>
      <c r="K1011" s="12" t="s">
        <v>40</v>
      </c>
      <c r="L1011" s="12">
        <v>81</v>
      </c>
      <c r="M1011" s="12" t="s">
        <v>40</v>
      </c>
      <c r="N1011" s="12">
        <v>219</v>
      </c>
      <c r="O1011" s="90" t="s">
        <v>2748</v>
      </c>
    </row>
    <row r="1012" spans="1:15">
      <c r="A1012" s="12">
        <f t="shared" si="99"/>
        <v>1009</v>
      </c>
      <c r="B1012" s="12" t="s">
        <v>11</v>
      </c>
      <c r="C1012" s="12" t="s">
        <v>744</v>
      </c>
      <c r="D1012" s="12" t="s">
        <v>743</v>
      </c>
      <c r="E1012" s="89">
        <f t="shared" ca="1" si="100"/>
        <v>40951</v>
      </c>
      <c r="F1012" s="11">
        <f>DATE(44,9,20)</f>
        <v>16335</v>
      </c>
      <c r="G1012" s="12">
        <f t="shared" ca="1" si="96"/>
        <v>68</v>
      </c>
      <c r="H1012" s="12">
        <f t="shared" ca="1" si="97"/>
        <v>-7</v>
      </c>
      <c r="I1012" s="13">
        <f t="shared" ca="1" si="98"/>
        <v>-8</v>
      </c>
      <c r="J1012" s="14">
        <f t="shared" ca="1" si="95"/>
        <v>67</v>
      </c>
      <c r="K1012" s="12" t="s">
        <v>41</v>
      </c>
      <c r="L1012" s="12">
        <v>81</v>
      </c>
      <c r="M1012" s="12" t="s">
        <v>40</v>
      </c>
      <c r="N1012" s="12">
        <v>219</v>
      </c>
    </row>
    <row r="1013" spans="1:15">
      <c r="A1013" s="12">
        <f t="shared" si="99"/>
        <v>1010</v>
      </c>
      <c r="B1013" s="12" t="s">
        <v>11</v>
      </c>
      <c r="C1013" s="12" t="s">
        <v>368</v>
      </c>
      <c r="D1013" s="12" t="s">
        <v>743</v>
      </c>
      <c r="E1013" s="89">
        <f t="shared" ca="1" si="100"/>
        <v>40951</v>
      </c>
      <c r="F1013" s="11">
        <f>DATE(71,3,24)</f>
        <v>26016</v>
      </c>
      <c r="G1013" s="12">
        <f t="shared" ca="1" si="96"/>
        <v>41</v>
      </c>
      <c r="H1013" s="12">
        <f t="shared" ca="1" si="97"/>
        <v>-1</v>
      </c>
      <c r="I1013" s="13">
        <f t="shared" ca="1" si="98"/>
        <v>-12</v>
      </c>
      <c r="J1013" s="14">
        <f t="shared" ca="1" si="95"/>
        <v>40</v>
      </c>
      <c r="K1013" s="12" t="s">
        <v>41</v>
      </c>
      <c r="L1013" s="12">
        <v>81</v>
      </c>
      <c r="M1013" s="53" t="s">
        <v>44</v>
      </c>
      <c r="N1013" s="12">
        <v>219</v>
      </c>
    </row>
    <row r="1014" spans="1:15">
      <c r="A1014" s="12">
        <f t="shared" si="99"/>
        <v>1011</v>
      </c>
      <c r="B1014" s="12" t="s">
        <v>11</v>
      </c>
      <c r="C1014" s="12" t="s">
        <v>144</v>
      </c>
      <c r="D1014" s="12" t="s">
        <v>743</v>
      </c>
      <c r="E1014" s="89">
        <f t="shared" ca="1" si="100"/>
        <v>40951</v>
      </c>
      <c r="F1014" s="11">
        <f>DATE(78,4,4)</f>
        <v>28584</v>
      </c>
      <c r="G1014" s="12">
        <f t="shared" ca="1" si="96"/>
        <v>34</v>
      </c>
      <c r="H1014" s="12">
        <f t="shared" ca="1" si="97"/>
        <v>-2</v>
      </c>
      <c r="I1014" s="13">
        <f t="shared" ca="1" si="98"/>
        <v>8</v>
      </c>
      <c r="J1014" s="14">
        <f t="shared" ca="1" si="95"/>
        <v>33</v>
      </c>
      <c r="K1014" s="12" t="s">
        <v>40</v>
      </c>
      <c r="L1014" s="12">
        <v>81</v>
      </c>
      <c r="M1014" s="12" t="s">
        <v>44</v>
      </c>
      <c r="N1014" s="12">
        <v>219</v>
      </c>
    </row>
    <row r="1015" spans="1:15">
      <c r="A1015" s="12">
        <f t="shared" si="99"/>
        <v>1012</v>
      </c>
      <c r="B1015" s="12" t="s">
        <v>11</v>
      </c>
      <c r="C1015" s="12" t="s">
        <v>191</v>
      </c>
      <c r="D1015" s="12" t="s">
        <v>743</v>
      </c>
      <c r="E1015" s="89">
        <f t="shared" ca="1" si="100"/>
        <v>40951</v>
      </c>
      <c r="F1015" s="11">
        <f>DATE(85,7,6)</f>
        <v>31234</v>
      </c>
      <c r="G1015" s="12">
        <f t="shared" ca="1" si="96"/>
        <v>27</v>
      </c>
      <c r="H1015" s="12">
        <f t="shared" ca="1" si="97"/>
        <v>-5</v>
      </c>
      <c r="I1015" s="13">
        <f t="shared" ca="1" si="98"/>
        <v>6</v>
      </c>
      <c r="J1015" s="14">
        <f t="shared" ca="1" si="95"/>
        <v>26</v>
      </c>
      <c r="K1015" s="12" t="s">
        <v>40</v>
      </c>
      <c r="L1015" s="12">
        <v>81</v>
      </c>
      <c r="M1015" s="12" t="s">
        <v>44</v>
      </c>
      <c r="N1015" s="12">
        <v>219</v>
      </c>
    </row>
    <row r="1016" spans="1:15">
      <c r="A1016" s="12">
        <f t="shared" si="99"/>
        <v>1013</v>
      </c>
      <c r="B1016" s="12" t="s">
        <v>11</v>
      </c>
      <c r="C1016" s="12" t="s">
        <v>745</v>
      </c>
      <c r="D1016" s="12" t="s">
        <v>700</v>
      </c>
      <c r="E1016" s="89">
        <f t="shared" ca="1" si="100"/>
        <v>40951</v>
      </c>
      <c r="F1016" s="11">
        <f>DATE(23,12,27)</f>
        <v>8762</v>
      </c>
      <c r="G1016" s="12">
        <f t="shared" ca="1" si="96"/>
        <v>89</v>
      </c>
      <c r="H1016" s="12">
        <f t="shared" ca="1" si="97"/>
        <v>-10</v>
      </c>
      <c r="I1016" s="13">
        <f t="shared" ca="1" si="98"/>
        <v>-15</v>
      </c>
      <c r="J1016" s="14">
        <f t="shared" ca="1" si="95"/>
        <v>88</v>
      </c>
      <c r="K1016" s="12" t="s">
        <v>40</v>
      </c>
      <c r="L1016" s="12">
        <v>81</v>
      </c>
      <c r="M1016" s="12" t="s">
        <v>40</v>
      </c>
      <c r="N1016" s="12">
        <v>220</v>
      </c>
      <c r="O1016" s="90" t="s">
        <v>2748</v>
      </c>
    </row>
    <row r="1017" spans="1:15">
      <c r="A1017" s="12">
        <f t="shared" si="99"/>
        <v>1014</v>
      </c>
      <c r="B1017" s="12" t="s">
        <v>11</v>
      </c>
      <c r="C1017" s="12" t="s">
        <v>746</v>
      </c>
      <c r="D1017" s="12" t="s">
        <v>745</v>
      </c>
      <c r="E1017" s="89">
        <f t="shared" ca="1" si="100"/>
        <v>40951</v>
      </c>
      <c r="F1017" s="11">
        <f>DATE(27,7,14)</f>
        <v>10057</v>
      </c>
      <c r="G1017" s="12">
        <f t="shared" ca="1" si="96"/>
        <v>85</v>
      </c>
      <c r="H1017" s="12">
        <f t="shared" ca="1" si="97"/>
        <v>-5</v>
      </c>
      <c r="I1017" s="13">
        <f t="shared" ca="1" si="98"/>
        <v>-2</v>
      </c>
      <c r="J1017" s="14">
        <f t="shared" ca="1" si="95"/>
        <v>84</v>
      </c>
      <c r="K1017" s="12" t="s">
        <v>41</v>
      </c>
      <c r="L1017" s="12">
        <v>81</v>
      </c>
      <c r="M1017" s="12" t="s">
        <v>40</v>
      </c>
      <c r="N1017" s="12">
        <v>220</v>
      </c>
    </row>
    <row r="1018" spans="1:15">
      <c r="A1018" s="12">
        <f t="shared" si="99"/>
        <v>1015</v>
      </c>
      <c r="B1018" s="12" t="s">
        <v>11</v>
      </c>
      <c r="C1018" s="12" t="s">
        <v>747</v>
      </c>
      <c r="D1018" s="12" t="s">
        <v>745</v>
      </c>
      <c r="E1018" s="89">
        <f t="shared" ca="1" si="100"/>
        <v>40951</v>
      </c>
      <c r="F1018" s="11">
        <f>DATE(46,1,16)</f>
        <v>16818</v>
      </c>
      <c r="G1018" s="12">
        <f t="shared" ca="1" si="96"/>
        <v>66</v>
      </c>
      <c r="H1018" s="12">
        <f t="shared" ca="1" si="97"/>
        <v>1</v>
      </c>
      <c r="I1018" s="13">
        <f t="shared" ca="1" si="98"/>
        <v>-4</v>
      </c>
      <c r="J1018" s="14">
        <f t="shared" ca="1" si="95"/>
        <v>66</v>
      </c>
      <c r="K1018" s="12" t="s">
        <v>40</v>
      </c>
      <c r="L1018" s="12">
        <v>81</v>
      </c>
      <c r="M1018" s="12" t="s">
        <v>40</v>
      </c>
      <c r="N1018" s="12">
        <v>220</v>
      </c>
    </row>
    <row r="1019" spans="1:15">
      <c r="A1019" s="12">
        <f t="shared" si="99"/>
        <v>1016</v>
      </c>
      <c r="B1019" s="12" t="s">
        <v>11</v>
      </c>
      <c r="C1019" s="12" t="s">
        <v>634</v>
      </c>
      <c r="D1019" s="12" t="s">
        <v>747</v>
      </c>
      <c r="E1019" s="89">
        <f t="shared" ca="1" si="100"/>
        <v>40951</v>
      </c>
      <c r="F1019" s="11">
        <f>DATE(52,10,11)</f>
        <v>19278</v>
      </c>
      <c r="G1019" s="12">
        <f t="shared" ca="1" si="96"/>
        <v>60</v>
      </c>
      <c r="H1019" s="12">
        <f t="shared" ca="1" si="97"/>
        <v>-8</v>
      </c>
      <c r="I1019" s="13">
        <f t="shared" ca="1" si="98"/>
        <v>1</v>
      </c>
      <c r="J1019" s="14">
        <f t="shared" ca="1" si="95"/>
        <v>59</v>
      </c>
      <c r="K1019" s="12" t="s">
        <v>41</v>
      </c>
      <c r="L1019" s="12">
        <v>81</v>
      </c>
      <c r="M1019" s="12" t="s">
        <v>40</v>
      </c>
      <c r="N1019" s="12">
        <v>220</v>
      </c>
    </row>
    <row r="1020" spans="1:15">
      <c r="A1020" s="12">
        <f t="shared" si="99"/>
        <v>1017</v>
      </c>
      <c r="B1020" s="12" t="s">
        <v>11</v>
      </c>
      <c r="C1020" s="12" t="s">
        <v>228</v>
      </c>
      <c r="D1020" s="12" t="s">
        <v>747</v>
      </c>
      <c r="E1020" s="89">
        <f t="shared" ca="1" si="100"/>
        <v>40951</v>
      </c>
      <c r="F1020" s="11">
        <f>DATE(71,7,27)</f>
        <v>26141</v>
      </c>
      <c r="G1020" s="12">
        <f t="shared" ca="1" si="96"/>
        <v>41</v>
      </c>
      <c r="H1020" s="12">
        <f t="shared" ca="1" si="97"/>
        <v>-5</v>
      </c>
      <c r="I1020" s="13">
        <f t="shared" ca="1" si="98"/>
        <v>-15</v>
      </c>
      <c r="J1020" s="14">
        <f t="shared" ca="1" si="95"/>
        <v>40</v>
      </c>
      <c r="K1020" s="12" t="s">
        <v>40</v>
      </c>
      <c r="L1020" s="12">
        <v>81</v>
      </c>
      <c r="M1020" s="12" t="s">
        <v>40</v>
      </c>
      <c r="N1020" s="12">
        <v>220</v>
      </c>
    </row>
    <row r="1021" spans="1:15">
      <c r="A1021" s="12">
        <f t="shared" si="99"/>
        <v>1018</v>
      </c>
      <c r="B1021" s="12" t="s">
        <v>11</v>
      </c>
      <c r="C1021" s="12" t="s">
        <v>660</v>
      </c>
      <c r="D1021" s="12" t="s">
        <v>748</v>
      </c>
      <c r="E1021" s="89">
        <f t="shared" ca="1" si="100"/>
        <v>40951</v>
      </c>
      <c r="F1021" s="11">
        <f>DATE(72,10,6)</f>
        <v>26578</v>
      </c>
      <c r="G1021" s="12">
        <f t="shared" ca="1" si="96"/>
        <v>40</v>
      </c>
      <c r="H1021" s="12">
        <f t="shared" ca="1" si="97"/>
        <v>-8</v>
      </c>
      <c r="I1021" s="13">
        <f t="shared" ca="1" si="98"/>
        <v>6</v>
      </c>
      <c r="J1021" s="14">
        <f t="shared" ca="1" si="95"/>
        <v>39</v>
      </c>
      <c r="K1021" s="12" t="s">
        <v>41</v>
      </c>
      <c r="L1021" s="12">
        <v>81</v>
      </c>
      <c r="M1021" s="12" t="s">
        <v>40</v>
      </c>
      <c r="N1021" s="12">
        <v>220</v>
      </c>
    </row>
    <row r="1022" spans="1:15">
      <c r="A1022" s="12">
        <f t="shared" si="99"/>
        <v>1019</v>
      </c>
      <c r="B1022" s="12" t="s">
        <v>11</v>
      </c>
      <c r="C1022" s="12" t="s">
        <v>690</v>
      </c>
      <c r="D1022" s="12" t="s">
        <v>748</v>
      </c>
      <c r="E1022" s="89">
        <f t="shared" ca="1" si="100"/>
        <v>40951</v>
      </c>
      <c r="F1022" s="11">
        <f>DATE(2003,11,19)</f>
        <v>37944</v>
      </c>
      <c r="G1022" s="12">
        <f t="shared" ca="1" si="96"/>
        <v>9</v>
      </c>
      <c r="H1022" s="12">
        <f t="shared" ca="1" si="97"/>
        <v>-9</v>
      </c>
      <c r="I1022" s="13">
        <f t="shared" ca="1" si="98"/>
        <v>-7</v>
      </c>
      <c r="J1022" s="14">
        <f t="shared" ca="1" si="95"/>
        <v>8</v>
      </c>
      <c r="K1022" s="12" t="s">
        <v>41</v>
      </c>
      <c r="L1022" s="12">
        <v>81</v>
      </c>
      <c r="M1022" s="12" t="s">
        <v>44</v>
      </c>
      <c r="N1022" s="12">
        <v>220</v>
      </c>
    </row>
    <row r="1023" spans="1:15">
      <c r="A1023" s="12">
        <f t="shared" si="99"/>
        <v>1020</v>
      </c>
      <c r="B1023" s="12" t="s">
        <v>11</v>
      </c>
      <c r="C1023" s="12" t="s">
        <v>749</v>
      </c>
      <c r="D1023" s="12" t="s">
        <v>747</v>
      </c>
      <c r="E1023" s="89">
        <f t="shared" ca="1" si="100"/>
        <v>40951</v>
      </c>
      <c r="F1023" s="11">
        <f>DATE(74,5,6)</f>
        <v>27155</v>
      </c>
      <c r="G1023" s="12">
        <f t="shared" ca="1" si="96"/>
        <v>38</v>
      </c>
      <c r="H1023" s="12">
        <f t="shared" ca="1" si="97"/>
        <v>-3</v>
      </c>
      <c r="I1023" s="13">
        <f t="shared" ca="1" si="98"/>
        <v>6</v>
      </c>
      <c r="J1023" s="14">
        <f t="shared" ca="1" si="95"/>
        <v>37</v>
      </c>
      <c r="K1023" s="12" t="s">
        <v>40</v>
      </c>
      <c r="L1023" s="12">
        <v>81</v>
      </c>
      <c r="M1023" s="12" t="s">
        <v>40</v>
      </c>
      <c r="N1023" s="12">
        <v>220</v>
      </c>
    </row>
    <row r="1024" spans="1:15">
      <c r="A1024" s="12">
        <f t="shared" si="99"/>
        <v>1021</v>
      </c>
      <c r="B1024" s="12" t="s">
        <v>11</v>
      </c>
      <c r="C1024" s="12" t="s">
        <v>628</v>
      </c>
      <c r="D1024" s="12" t="s">
        <v>750</v>
      </c>
      <c r="E1024" s="89">
        <f t="shared" ca="1" si="100"/>
        <v>40951</v>
      </c>
      <c r="F1024" s="11">
        <f>DATE(78,1,12)</f>
        <v>28502</v>
      </c>
      <c r="G1024" s="12">
        <f t="shared" ca="1" si="96"/>
        <v>34</v>
      </c>
      <c r="H1024" s="12">
        <f t="shared" ca="1" si="97"/>
        <v>1</v>
      </c>
      <c r="I1024" s="13">
        <f t="shared" ca="1" si="98"/>
        <v>0</v>
      </c>
      <c r="J1024" s="14">
        <f t="shared" ca="1" si="95"/>
        <v>34</v>
      </c>
      <c r="K1024" s="12" t="s">
        <v>41</v>
      </c>
      <c r="L1024" s="12">
        <v>81</v>
      </c>
      <c r="M1024" s="12" t="s">
        <v>40</v>
      </c>
      <c r="N1024" s="12">
        <v>220</v>
      </c>
    </row>
    <row r="1025" spans="1:15">
      <c r="A1025" s="12">
        <f t="shared" si="99"/>
        <v>1022</v>
      </c>
      <c r="B1025" s="12" t="s">
        <v>11</v>
      </c>
      <c r="C1025" s="12" t="s">
        <v>350</v>
      </c>
      <c r="D1025" s="12" t="s">
        <v>747</v>
      </c>
      <c r="E1025" s="89">
        <f t="shared" ca="1" si="100"/>
        <v>40951</v>
      </c>
      <c r="F1025" s="11">
        <f>DATE(84,2,4)</f>
        <v>30716</v>
      </c>
      <c r="G1025" s="12">
        <f t="shared" ca="1" si="96"/>
        <v>28</v>
      </c>
      <c r="H1025" s="12">
        <f t="shared" ca="1" si="97"/>
        <v>0</v>
      </c>
      <c r="I1025" s="13">
        <f t="shared" ca="1" si="98"/>
        <v>8</v>
      </c>
      <c r="J1025" s="14">
        <f t="shared" ca="1" si="95"/>
        <v>28</v>
      </c>
      <c r="K1025" s="12" t="s">
        <v>41</v>
      </c>
      <c r="L1025" s="12">
        <v>81</v>
      </c>
      <c r="M1025" s="12" t="s">
        <v>44</v>
      </c>
      <c r="N1025" s="12">
        <v>220</v>
      </c>
    </row>
    <row r="1026" spans="1:15">
      <c r="A1026" s="12">
        <f t="shared" si="99"/>
        <v>1023</v>
      </c>
      <c r="B1026" s="12" t="s">
        <v>11</v>
      </c>
      <c r="C1026" s="12" t="s">
        <v>235</v>
      </c>
      <c r="E1026" s="89">
        <f t="shared" ca="1" si="100"/>
        <v>40951</v>
      </c>
      <c r="F1026" s="11">
        <f>DATE(35,11,6)</f>
        <v>13094</v>
      </c>
      <c r="G1026" s="12">
        <f t="shared" ca="1" si="96"/>
        <v>77</v>
      </c>
      <c r="H1026" s="12">
        <f t="shared" ca="1" si="97"/>
        <v>-9</v>
      </c>
      <c r="I1026" s="13">
        <f t="shared" ca="1" si="98"/>
        <v>6</v>
      </c>
      <c r="J1026" s="14">
        <f t="shared" ca="1" si="95"/>
        <v>76</v>
      </c>
      <c r="K1026" s="12" t="s">
        <v>40</v>
      </c>
      <c r="L1026" s="12">
        <v>82</v>
      </c>
      <c r="M1026" s="12" t="s">
        <v>40</v>
      </c>
      <c r="N1026" s="12">
        <v>221</v>
      </c>
      <c r="O1026" s="90" t="s">
        <v>2748</v>
      </c>
    </row>
    <row r="1027" spans="1:15">
      <c r="A1027" s="12">
        <f t="shared" si="99"/>
        <v>1024</v>
      </c>
      <c r="B1027" s="12" t="s">
        <v>11</v>
      </c>
      <c r="C1027" s="12" t="s">
        <v>751</v>
      </c>
      <c r="D1027" s="12" t="s">
        <v>235</v>
      </c>
      <c r="E1027" s="89">
        <f t="shared" ca="1" si="100"/>
        <v>40951</v>
      </c>
      <c r="F1027" s="11">
        <f>DATE(41,5,10)</f>
        <v>15106</v>
      </c>
      <c r="G1027" s="12">
        <f t="shared" ca="1" si="96"/>
        <v>71</v>
      </c>
      <c r="H1027" s="12">
        <f t="shared" ca="1" si="97"/>
        <v>-3</v>
      </c>
      <c r="I1027" s="13">
        <f t="shared" ca="1" si="98"/>
        <v>2</v>
      </c>
      <c r="J1027" s="14">
        <f t="shared" ca="1" si="95"/>
        <v>70</v>
      </c>
      <c r="K1027" s="12" t="s">
        <v>41</v>
      </c>
      <c r="L1027" s="12">
        <v>82</v>
      </c>
      <c r="M1027" s="12" t="s">
        <v>40</v>
      </c>
      <c r="N1027" s="12">
        <v>221</v>
      </c>
    </row>
    <row r="1028" spans="1:15">
      <c r="A1028" s="12">
        <f t="shared" si="99"/>
        <v>1025</v>
      </c>
      <c r="B1028" s="12" t="s">
        <v>11</v>
      </c>
      <c r="C1028" s="12" t="s">
        <v>654</v>
      </c>
      <c r="D1028" s="12" t="s">
        <v>235</v>
      </c>
      <c r="E1028" s="89">
        <f t="shared" ca="1" si="100"/>
        <v>40951</v>
      </c>
      <c r="F1028" s="11">
        <f>DATE(64,9,1)</f>
        <v>23621</v>
      </c>
      <c r="G1028" s="12">
        <f t="shared" ca="1" si="96"/>
        <v>48</v>
      </c>
      <c r="H1028" s="12">
        <f t="shared" ca="1" si="97"/>
        <v>-7</v>
      </c>
      <c r="I1028" s="13">
        <f t="shared" ca="1" si="98"/>
        <v>11</v>
      </c>
      <c r="J1028" s="14">
        <f t="shared" ref="J1028:J1091" ca="1" si="101">IF(H1028&lt;0,G1028-1,IF(H1028&gt;0,G1028,IF(I1028&lt;0,G1028-1,G1028)))</f>
        <v>47</v>
      </c>
      <c r="K1028" s="12" t="s">
        <v>40</v>
      </c>
      <c r="L1028" s="12">
        <v>82</v>
      </c>
      <c r="M1028" s="12" t="s">
        <v>40</v>
      </c>
      <c r="N1028" s="12">
        <v>221</v>
      </c>
    </row>
    <row r="1029" spans="1:15">
      <c r="A1029" s="12">
        <f t="shared" si="99"/>
        <v>1026</v>
      </c>
      <c r="B1029" s="12" t="s">
        <v>11</v>
      </c>
      <c r="C1029" s="12" t="s">
        <v>622</v>
      </c>
      <c r="D1029" s="12" t="s">
        <v>654</v>
      </c>
      <c r="E1029" s="89">
        <f t="shared" ca="1" si="100"/>
        <v>40951</v>
      </c>
      <c r="F1029" s="11">
        <f>DATE(71,1,14)</f>
        <v>25947</v>
      </c>
      <c r="G1029" s="12">
        <f t="shared" ca="1" si="96"/>
        <v>41</v>
      </c>
      <c r="H1029" s="12">
        <f t="shared" ca="1" si="97"/>
        <v>1</v>
      </c>
      <c r="I1029" s="13">
        <f t="shared" ca="1" si="98"/>
        <v>-2</v>
      </c>
      <c r="J1029" s="14">
        <f t="shared" ca="1" si="101"/>
        <v>41</v>
      </c>
      <c r="K1029" s="12" t="s">
        <v>41</v>
      </c>
      <c r="L1029" s="12">
        <v>82</v>
      </c>
      <c r="M1029" s="12" t="s">
        <v>40</v>
      </c>
      <c r="N1029" s="12">
        <v>221</v>
      </c>
    </row>
    <row r="1030" spans="1:15">
      <c r="A1030" s="12">
        <f t="shared" si="99"/>
        <v>1027</v>
      </c>
      <c r="B1030" s="12" t="s">
        <v>11</v>
      </c>
      <c r="C1030" s="12" t="s">
        <v>741</v>
      </c>
      <c r="D1030" s="12" t="s">
        <v>654</v>
      </c>
      <c r="E1030" s="89">
        <f t="shared" ca="1" si="100"/>
        <v>40951</v>
      </c>
      <c r="F1030" s="11">
        <f>DATE(91,10,5)</f>
        <v>33516</v>
      </c>
      <c r="G1030" s="12">
        <f t="shared" ca="1" si="96"/>
        <v>21</v>
      </c>
      <c r="H1030" s="12">
        <f t="shared" ca="1" si="97"/>
        <v>-8</v>
      </c>
      <c r="I1030" s="13">
        <f t="shared" ca="1" si="98"/>
        <v>7</v>
      </c>
      <c r="J1030" s="14">
        <f t="shared" ca="1" si="101"/>
        <v>20</v>
      </c>
      <c r="K1030" s="12" t="s">
        <v>41</v>
      </c>
      <c r="L1030" s="12">
        <v>82</v>
      </c>
      <c r="M1030" s="12" t="s">
        <v>44</v>
      </c>
      <c r="N1030" s="12">
        <v>221</v>
      </c>
    </row>
    <row r="1031" spans="1:15">
      <c r="A1031" s="12">
        <f t="shared" si="99"/>
        <v>1028</v>
      </c>
      <c r="B1031" s="12" t="s">
        <v>11</v>
      </c>
      <c r="C1031" s="12" t="s">
        <v>752</v>
      </c>
      <c r="D1031" s="12" t="s">
        <v>654</v>
      </c>
      <c r="E1031" s="89">
        <f t="shared" ca="1" si="100"/>
        <v>40951</v>
      </c>
      <c r="F1031" s="11">
        <f>DATE(95,6,22)</f>
        <v>34872</v>
      </c>
      <c r="G1031" s="12">
        <f t="shared" ca="1" si="96"/>
        <v>17</v>
      </c>
      <c r="H1031" s="12">
        <f t="shared" ca="1" si="97"/>
        <v>-4</v>
      </c>
      <c r="I1031" s="13">
        <f t="shared" ca="1" si="98"/>
        <v>-10</v>
      </c>
      <c r="J1031" s="14">
        <f t="shared" ca="1" si="101"/>
        <v>16</v>
      </c>
      <c r="K1031" s="12" t="s">
        <v>41</v>
      </c>
      <c r="L1031" s="12">
        <v>82</v>
      </c>
      <c r="M1031" s="12" t="s">
        <v>44</v>
      </c>
      <c r="N1031" s="12">
        <v>221</v>
      </c>
    </row>
    <row r="1032" spans="1:15">
      <c r="A1032" s="12">
        <f t="shared" si="99"/>
        <v>1029</v>
      </c>
      <c r="B1032" s="12" t="s">
        <v>11</v>
      </c>
      <c r="C1032" s="12" t="s">
        <v>753</v>
      </c>
      <c r="D1032" s="12" t="s">
        <v>654</v>
      </c>
      <c r="E1032" s="89">
        <f t="shared" ca="1" si="100"/>
        <v>40951</v>
      </c>
      <c r="F1032" s="11">
        <f>DATE(91,9,14)</f>
        <v>33495</v>
      </c>
      <c r="G1032" s="12">
        <f t="shared" ca="1" si="96"/>
        <v>21</v>
      </c>
      <c r="H1032" s="12">
        <f t="shared" ca="1" si="97"/>
        <v>-7</v>
      </c>
      <c r="I1032" s="13">
        <f t="shared" ca="1" si="98"/>
        <v>-2</v>
      </c>
      <c r="J1032" s="14">
        <f t="shared" ca="1" si="101"/>
        <v>20</v>
      </c>
      <c r="K1032" s="12" t="s">
        <v>40</v>
      </c>
      <c r="L1032" s="12">
        <v>82</v>
      </c>
      <c r="M1032" s="12" t="s">
        <v>44</v>
      </c>
      <c r="N1032" s="12">
        <v>221</v>
      </c>
    </row>
    <row r="1033" spans="1:15">
      <c r="A1033" s="12">
        <f t="shared" si="99"/>
        <v>1030</v>
      </c>
      <c r="B1033" s="12" t="s">
        <v>11</v>
      </c>
      <c r="C1033" s="12" t="s">
        <v>754</v>
      </c>
      <c r="D1033" s="12" t="s">
        <v>682</v>
      </c>
      <c r="E1033" s="89">
        <f t="shared" ca="1" si="100"/>
        <v>40951</v>
      </c>
      <c r="F1033" s="11">
        <f>DATE(65,8,1)</f>
        <v>23955</v>
      </c>
      <c r="G1033" s="12">
        <f t="shared" ca="1" si="96"/>
        <v>47</v>
      </c>
      <c r="H1033" s="12">
        <f t="shared" ca="1" si="97"/>
        <v>-6</v>
      </c>
      <c r="I1033" s="13">
        <f t="shared" ca="1" si="98"/>
        <v>11</v>
      </c>
      <c r="J1033" s="14">
        <f t="shared" ca="1" si="101"/>
        <v>46</v>
      </c>
      <c r="K1033" s="12" t="s">
        <v>40</v>
      </c>
      <c r="L1033" s="12">
        <v>82</v>
      </c>
      <c r="M1033" s="12" t="s">
        <v>40</v>
      </c>
      <c r="N1033" s="12">
        <v>222</v>
      </c>
      <c r="O1033" s="90" t="s">
        <v>2748</v>
      </c>
    </row>
    <row r="1034" spans="1:15">
      <c r="A1034" s="12">
        <f t="shared" si="99"/>
        <v>1031</v>
      </c>
      <c r="B1034" s="12" t="s">
        <v>11</v>
      </c>
      <c r="C1034" s="12" t="s">
        <v>755</v>
      </c>
      <c r="D1034" s="12" t="s">
        <v>754</v>
      </c>
      <c r="E1034" s="89">
        <f t="shared" ca="1" si="100"/>
        <v>40951</v>
      </c>
      <c r="F1034" s="11">
        <f>DATE(66,3,23)</f>
        <v>24189</v>
      </c>
      <c r="G1034" s="12">
        <f t="shared" ca="1" si="96"/>
        <v>46</v>
      </c>
      <c r="H1034" s="12">
        <f t="shared" ca="1" si="97"/>
        <v>-1</v>
      </c>
      <c r="I1034" s="13">
        <f t="shared" ca="1" si="98"/>
        <v>-11</v>
      </c>
      <c r="J1034" s="14">
        <f t="shared" ca="1" si="101"/>
        <v>45</v>
      </c>
      <c r="K1034" s="12" t="s">
        <v>41</v>
      </c>
      <c r="L1034" s="12">
        <v>82</v>
      </c>
      <c r="M1034" s="12" t="s">
        <v>40</v>
      </c>
      <c r="N1034" s="12">
        <v>222</v>
      </c>
    </row>
    <row r="1035" spans="1:15">
      <c r="A1035" s="12">
        <f t="shared" si="99"/>
        <v>1032</v>
      </c>
      <c r="B1035" s="12" t="s">
        <v>11</v>
      </c>
      <c r="C1035" s="12" t="s">
        <v>685</v>
      </c>
      <c r="D1035" s="12" t="s">
        <v>754</v>
      </c>
      <c r="E1035" s="89">
        <f t="shared" ca="1" si="100"/>
        <v>40951</v>
      </c>
      <c r="F1035" s="11">
        <f>DATE(89,5,31)</f>
        <v>32659</v>
      </c>
      <c r="G1035" s="12">
        <f t="shared" ca="1" si="96"/>
        <v>23</v>
      </c>
      <c r="H1035" s="12">
        <f t="shared" ca="1" si="97"/>
        <v>-3</v>
      </c>
      <c r="I1035" s="13">
        <f t="shared" ca="1" si="98"/>
        <v>-19</v>
      </c>
      <c r="J1035" s="14">
        <f t="shared" ca="1" si="101"/>
        <v>22</v>
      </c>
      <c r="K1035" s="12" t="s">
        <v>40</v>
      </c>
      <c r="L1035" s="12">
        <v>82</v>
      </c>
      <c r="M1035" s="12" t="s">
        <v>44</v>
      </c>
      <c r="N1035" s="12">
        <v>222</v>
      </c>
    </row>
    <row r="1036" spans="1:15">
      <c r="A1036" s="12">
        <f t="shared" si="99"/>
        <v>1033</v>
      </c>
      <c r="B1036" s="12" t="s">
        <v>11</v>
      </c>
      <c r="C1036" s="12" t="s">
        <v>100</v>
      </c>
      <c r="D1036" s="12" t="s">
        <v>754</v>
      </c>
      <c r="E1036" s="89">
        <f t="shared" ca="1" si="100"/>
        <v>40951</v>
      </c>
      <c r="F1036" s="11">
        <f>DATE(97,11,8)</f>
        <v>35742</v>
      </c>
      <c r="G1036" s="12">
        <f t="shared" ca="1" si="96"/>
        <v>15</v>
      </c>
      <c r="H1036" s="12">
        <f t="shared" ca="1" si="97"/>
        <v>-9</v>
      </c>
      <c r="I1036" s="13">
        <f t="shared" ca="1" si="98"/>
        <v>4</v>
      </c>
      <c r="J1036" s="14">
        <f t="shared" ca="1" si="101"/>
        <v>14</v>
      </c>
      <c r="K1036" s="12" t="s">
        <v>41</v>
      </c>
      <c r="L1036" s="12">
        <v>82</v>
      </c>
      <c r="M1036" s="12" t="s">
        <v>44</v>
      </c>
      <c r="N1036" s="12">
        <v>222</v>
      </c>
    </row>
    <row r="1037" spans="1:15">
      <c r="A1037" s="12">
        <f t="shared" si="99"/>
        <v>1034</v>
      </c>
      <c r="B1037" s="12" t="s">
        <v>11</v>
      </c>
      <c r="E1037" s="89"/>
      <c r="F1037" s="11"/>
      <c r="I1037" s="13"/>
      <c r="N1037" s="12">
        <v>223</v>
      </c>
      <c r="O1037" s="90" t="s">
        <v>2748</v>
      </c>
    </row>
    <row r="1038" spans="1:15">
      <c r="A1038" s="12">
        <f t="shared" si="99"/>
        <v>1035</v>
      </c>
      <c r="B1038" s="12" t="s">
        <v>11</v>
      </c>
      <c r="C1038" s="12" t="s">
        <v>592</v>
      </c>
      <c r="D1038" s="12" t="s">
        <v>756</v>
      </c>
      <c r="E1038" s="89">
        <f t="shared" ca="1" si="100"/>
        <v>40951</v>
      </c>
      <c r="F1038" s="11">
        <f>DATE(75,1,3)</f>
        <v>27397</v>
      </c>
      <c r="G1038" s="12">
        <f t="shared" ca="1" si="96"/>
        <v>37</v>
      </c>
      <c r="H1038" s="12">
        <f t="shared" ca="1" si="97"/>
        <v>1</v>
      </c>
      <c r="I1038" s="13">
        <f t="shared" ca="1" si="98"/>
        <v>9</v>
      </c>
      <c r="J1038" s="14">
        <f t="shared" ca="1" si="101"/>
        <v>37</v>
      </c>
      <c r="K1038" s="12" t="s">
        <v>40</v>
      </c>
      <c r="L1038" s="12">
        <v>82</v>
      </c>
      <c r="M1038" s="12" t="s">
        <v>40</v>
      </c>
      <c r="N1038" s="12">
        <v>223</v>
      </c>
    </row>
    <row r="1039" spans="1:15">
      <c r="A1039" s="12">
        <f t="shared" si="99"/>
        <v>1036</v>
      </c>
      <c r="B1039" s="12" t="s">
        <v>11</v>
      </c>
      <c r="C1039" s="12" t="s">
        <v>280</v>
      </c>
      <c r="D1039" s="12" t="s">
        <v>592</v>
      </c>
      <c r="E1039" s="89">
        <f t="shared" ca="1" si="100"/>
        <v>40951</v>
      </c>
      <c r="F1039" s="11">
        <f>DATE(78,9,23)</f>
        <v>28756</v>
      </c>
      <c r="G1039" s="12">
        <f t="shared" ca="1" si="96"/>
        <v>34</v>
      </c>
      <c r="H1039" s="12">
        <f t="shared" ca="1" si="97"/>
        <v>-7</v>
      </c>
      <c r="I1039" s="13">
        <f t="shared" ca="1" si="98"/>
        <v>-11</v>
      </c>
      <c r="J1039" s="14">
        <f t="shared" ca="1" si="101"/>
        <v>33</v>
      </c>
      <c r="K1039" s="12" t="s">
        <v>41</v>
      </c>
      <c r="L1039" s="12">
        <v>82</v>
      </c>
      <c r="M1039" s="12" t="s">
        <v>40</v>
      </c>
      <c r="N1039" s="12">
        <v>223</v>
      </c>
    </row>
    <row r="1040" spans="1:15">
      <c r="A1040" s="12">
        <f t="shared" si="99"/>
        <v>1037</v>
      </c>
      <c r="B1040" s="12" t="s">
        <v>11</v>
      </c>
      <c r="C1040" s="12" t="s">
        <v>652</v>
      </c>
      <c r="D1040" s="12" t="s">
        <v>756</v>
      </c>
      <c r="E1040" s="89">
        <f t="shared" ca="1" si="100"/>
        <v>40951</v>
      </c>
      <c r="F1040" s="11">
        <f>DATE(77,4,3)</f>
        <v>28218</v>
      </c>
      <c r="G1040" s="12">
        <f t="shared" ca="1" si="96"/>
        <v>35</v>
      </c>
      <c r="H1040" s="12">
        <f t="shared" ca="1" si="97"/>
        <v>-2</v>
      </c>
      <c r="I1040" s="13">
        <f t="shared" ca="1" si="98"/>
        <v>9</v>
      </c>
      <c r="J1040" s="14">
        <f t="shared" ca="1" si="101"/>
        <v>34</v>
      </c>
      <c r="K1040" s="12" t="s">
        <v>40</v>
      </c>
      <c r="L1040" s="12">
        <v>82</v>
      </c>
      <c r="M1040" s="12" t="s">
        <v>44</v>
      </c>
      <c r="N1040" s="12">
        <v>223</v>
      </c>
    </row>
    <row r="1041" spans="1:15">
      <c r="A1041" s="12">
        <f t="shared" si="99"/>
        <v>1038</v>
      </c>
      <c r="B1041" s="12" t="s">
        <v>11</v>
      </c>
      <c r="C1041" s="12" t="s">
        <v>757</v>
      </c>
      <c r="D1041" s="12" t="s">
        <v>758</v>
      </c>
      <c r="E1041" s="89">
        <f t="shared" ca="1" si="100"/>
        <v>40951</v>
      </c>
      <c r="F1041" s="32"/>
      <c r="G1041" s="12">
        <f t="shared" ca="1" si="96"/>
        <v>112</v>
      </c>
      <c r="H1041" s="12">
        <f t="shared" ca="1" si="97"/>
        <v>1</v>
      </c>
      <c r="I1041" s="13">
        <f t="shared" ca="1" si="98"/>
        <v>12</v>
      </c>
      <c r="J1041" s="14">
        <f t="shared" ca="1" si="101"/>
        <v>112</v>
      </c>
      <c r="K1041" s="12" t="s">
        <v>40</v>
      </c>
      <c r="L1041" s="12">
        <v>83</v>
      </c>
      <c r="M1041" s="12" t="s">
        <v>40</v>
      </c>
      <c r="N1041" s="12">
        <v>224</v>
      </c>
      <c r="O1041" s="90" t="s">
        <v>2748</v>
      </c>
    </row>
    <row r="1042" spans="1:15">
      <c r="A1042" s="12">
        <f t="shared" si="99"/>
        <v>1039</v>
      </c>
      <c r="B1042" s="12" t="s">
        <v>11</v>
      </c>
      <c r="C1042" s="12" t="s">
        <v>757</v>
      </c>
      <c r="D1042" s="12" t="s">
        <v>134</v>
      </c>
      <c r="E1042" s="89">
        <f t="shared" ca="1" si="100"/>
        <v>40951</v>
      </c>
      <c r="F1042" s="11">
        <f>DATE(35,12,24)</f>
        <v>13142</v>
      </c>
      <c r="G1042" s="12">
        <f t="shared" ca="1" si="96"/>
        <v>77</v>
      </c>
      <c r="H1042" s="12">
        <f t="shared" ca="1" si="97"/>
        <v>-10</v>
      </c>
      <c r="I1042" s="13">
        <f t="shared" ca="1" si="98"/>
        <v>-12</v>
      </c>
      <c r="J1042" s="14">
        <f t="shared" ca="1" si="101"/>
        <v>76</v>
      </c>
      <c r="K1042" s="12" t="s">
        <v>40</v>
      </c>
      <c r="L1042" s="12">
        <v>83</v>
      </c>
      <c r="M1042" s="12" t="s">
        <v>40</v>
      </c>
      <c r="N1042" s="12">
        <v>225</v>
      </c>
      <c r="O1042" s="90" t="s">
        <v>2748</v>
      </c>
    </row>
    <row r="1043" spans="1:15">
      <c r="A1043" s="12">
        <f t="shared" si="99"/>
        <v>1040</v>
      </c>
      <c r="B1043" s="12" t="s">
        <v>11</v>
      </c>
      <c r="C1043" s="12" t="s">
        <v>592</v>
      </c>
      <c r="D1043" s="12" t="s">
        <v>757</v>
      </c>
      <c r="E1043" s="89">
        <f t="shared" ca="1" si="100"/>
        <v>40951</v>
      </c>
      <c r="F1043" s="11">
        <f>DATE(63,10,16)</f>
        <v>23300</v>
      </c>
      <c r="G1043" s="12">
        <f t="shared" ca="1" si="96"/>
        <v>49</v>
      </c>
      <c r="H1043" s="12">
        <f t="shared" ca="1" si="97"/>
        <v>-8</v>
      </c>
      <c r="I1043" s="13">
        <f t="shared" ca="1" si="98"/>
        <v>-4</v>
      </c>
      <c r="J1043" s="14">
        <f t="shared" ca="1" si="101"/>
        <v>48</v>
      </c>
      <c r="K1043" s="12" t="s">
        <v>40</v>
      </c>
      <c r="L1043" s="12">
        <v>83</v>
      </c>
      <c r="M1043" s="12" t="s">
        <v>40</v>
      </c>
      <c r="N1043" s="12">
        <v>225</v>
      </c>
    </row>
    <row r="1044" spans="1:15">
      <c r="A1044" s="12">
        <f t="shared" si="99"/>
        <v>1041</v>
      </c>
      <c r="B1044" s="12" t="s">
        <v>11</v>
      </c>
      <c r="C1044" s="12" t="s">
        <v>440</v>
      </c>
      <c r="D1044" s="12" t="s">
        <v>592</v>
      </c>
      <c r="E1044" s="89">
        <f t="shared" ca="1" si="100"/>
        <v>40951</v>
      </c>
      <c r="F1044" s="11">
        <f>DATE(65,12,12)</f>
        <v>24088</v>
      </c>
      <c r="G1044" s="12">
        <f t="shared" ca="1" si="96"/>
        <v>47</v>
      </c>
      <c r="H1044" s="12">
        <f t="shared" ca="1" si="97"/>
        <v>-10</v>
      </c>
      <c r="I1044" s="13">
        <f t="shared" ca="1" si="98"/>
        <v>0</v>
      </c>
      <c r="J1044" s="14">
        <f t="shared" ca="1" si="101"/>
        <v>46</v>
      </c>
      <c r="K1044" s="12" t="s">
        <v>41</v>
      </c>
      <c r="L1044" s="12">
        <v>83</v>
      </c>
      <c r="M1044" s="12" t="s">
        <v>40</v>
      </c>
      <c r="N1044" s="12">
        <v>225</v>
      </c>
    </row>
    <row r="1045" spans="1:15">
      <c r="A1045" s="12">
        <f t="shared" si="99"/>
        <v>1042</v>
      </c>
      <c r="B1045" s="12" t="s">
        <v>11</v>
      </c>
      <c r="C1045" s="12" t="s">
        <v>583</v>
      </c>
      <c r="D1045" s="12" t="s">
        <v>592</v>
      </c>
      <c r="E1045" s="89">
        <f t="shared" ca="1" si="100"/>
        <v>40951</v>
      </c>
      <c r="F1045" s="11">
        <f>DATE(89,10,24)</f>
        <v>32805</v>
      </c>
      <c r="G1045" s="12">
        <f t="shared" ca="1" si="96"/>
        <v>23</v>
      </c>
      <c r="H1045" s="12">
        <f t="shared" ca="1" si="97"/>
        <v>-8</v>
      </c>
      <c r="I1045" s="13">
        <f t="shared" ca="1" si="98"/>
        <v>-12</v>
      </c>
      <c r="J1045" s="14">
        <f t="shared" ca="1" si="101"/>
        <v>22</v>
      </c>
      <c r="K1045" s="12" t="s">
        <v>41</v>
      </c>
      <c r="L1045" s="12">
        <v>83</v>
      </c>
      <c r="M1045" s="12" t="s">
        <v>44</v>
      </c>
      <c r="N1045" s="12">
        <v>225</v>
      </c>
    </row>
    <row r="1046" spans="1:15">
      <c r="A1046" s="12">
        <f t="shared" si="99"/>
        <v>1043</v>
      </c>
      <c r="B1046" s="12" t="s">
        <v>11</v>
      </c>
      <c r="C1046" s="12" t="s">
        <v>759</v>
      </c>
      <c r="D1046" s="12" t="s">
        <v>592</v>
      </c>
      <c r="E1046" s="89">
        <f t="shared" ca="1" si="100"/>
        <v>40951</v>
      </c>
      <c r="F1046" s="11">
        <f>DATE(2001,10,25)</f>
        <v>37189</v>
      </c>
      <c r="G1046" s="12">
        <f t="shared" ca="1" si="96"/>
        <v>11</v>
      </c>
      <c r="H1046" s="12">
        <f t="shared" ca="1" si="97"/>
        <v>-8</v>
      </c>
      <c r="I1046" s="13">
        <f t="shared" ca="1" si="98"/>
        <v>-13</v>
      </c>
      <c r="J1046" s="14">
        <f t="shared" ca="1" si="101"/>
        <v>10</v>
      </c>
      <c r="K1046" s="12" t="s">
        <v>40</v>
      </c>
      <c r="L1046" s="12">
        <v>83</v>
      </c>
      <c r="M1046" s="12" t="s">
        <v>44</v>
      </c>
      <c r="N1046" s="12">
        <v>225</v>
      </c>
    </row>
    <row r="1047" spans="1:15">
      <c r="A1047" s="12">
        <f t="shared" si="99"/>
        <v>1044</v>
      </c>
      <c r="B1047" s="12" t="s">
        <v>11</v>
      </c>
      <c r="C1047" s="12" t="s">
        <v>416</v>
      </c>
      <c r="D1047" s="12" t="s">
        <v>235</v>
      </c>
      <c r="E1047" s="89">
        <f t="shared" ca="1" si="100"/>
        <v>40951</v>
      </c>
      <c r="F1047" s="11">
        <f>DATE(66,6,1)</f>
        <v>24259</v>
      </c>
      <c r="G1047" s="12">
        <f t="shared" ca="1" si="96"/>
        <v>46</v>
      </c>
      <c r="H1047" s="12">
        <f t="shared" ca="1" si="97"/>
        <v>-4</v>
      </c>
      <c r="I1047" s="13">
        <f t="shared" ca="1" si="98"/>
        <v>11</v>
      </c>
      <c r="J1047" s="14">
        <f t="shared" ca="1" si="101"/>
        <v>45</v>
      </c>
      <c r="K1047" s="12" t="s">
        <v>40</v>
      </c>
      <c r="L1047" s="12">
        <v>83</v>
      </c>
      <c r="M1047" s="12" t="s">
        <v>40</v>
      </c>
      <c r="N1047" s="12">
        <v>226</v>
      </c>
      <c r="O1047" s="90" t="s">
        <v>2748</v>
      </c>
    </row>
    <row r="1048" spans="1:15">
      <c r="A1048" s="12">
        <f t="shared" si="99"/>
        <v>1045</v>
      </c>
      <c r="B1048" s="12" t="s">
        <v>11</v>
      </c>
      <c r="C1048" s="12" t="s">
        <v>760</v>
      </c>
      <c r="D1048" s="12" t="s">
        <v>416</v>
      </c>
      <c r="E1048" s="89">
        <f t="shared" ca="1" si="100"/>
        <v>40951</v>
      </c>
      <c r="F1048" s="11">
        <f>DATE(71,5,21)</f>
        <v>26074</v>
      </c>
      <c r="G1048" s="12">
        <f t="shared" ca="1" si="96"/>
        <v>41</v>
      </c>
      <c r="H1048" s="12">
        <f t="shared" ca="1" si="97"/>
        <v>-3</v>
      </c>
      <c r="I1048" s="13">
        <f t="shared" ca="1" si="98"/>
        <v>-9</v>
      </c>
      <c r="J1048" s="14">
        <f t="shared" ca="1" si="101"/>
        <v>40</v>
      </c>
      <c r="K1048" s="12" t="s">
        <v>41</v>
      </c>
      <c r="L1048" s="12">
        <v>83</v>
      </c>
      <c r="M1048" s="12" t="s">
        <v>40</v>
      </c>
      <c r="N1048" s="12">
        <v>226</v>
      </c>
    </row>
    <row r="1049" spans="1:15">
      <c r="A1049" s="12">
        <f t="shared" si="99"/>
        <v>1046</v>
      </c>
      <c r="B1049" s="12" t="s">
        <v>11</v>
      </c>
      <c r="C1049" s="12" t="s">
        <v>761</v>
      </c>
      <c r="D1049" s="12" t="s">
        <v>416</v>
      </c>
      <c r="E1049" s="89">
        <f t="shared" ca="1" si="100"/>
        <v>40951</v>
      </c>
      <c r="F1049" s="11">
        <f>DATE(92,4,7)</f>
        <v>33701</v>
      </c>
      <c r="G1049" s="12">
        <f t="shared" ca="1" si="96"/>
        <v>20</v>
      </c>
      <c r="H1049" s="12">
        <f t="shared" ca="1" si="97"/>
        <v>-2</v>
      </c>
      <c r="I1049" s="13">
        <f t="shared" ca="1" si="98"/>
        <v>5</v>
      </c>
      <c r="J1049" s="14">
        <f t="shared" ca="1" si="101"/>
        <v>19</v>
      </c>
      <c r="K1049" s="12" t="s">
        <v>41</v>
      </c>
      <c r="L1049" s="12">
        <v>83</v>
      </c>
      <c r="M1049" s="12" t="s">
        <v>44</v>
      </c>
      <c r="N1049" s="12">
        <v>226</v>
      </c>
    </row>
    <row r="1050" spans="1:15">
      <c r="A1050" s="12">
        <f t="shared" si="99"/>
        <v>1047</v>
      </c>
      <c r="B1050" s="12" t="s">
        <v>11</v>
      </c>
      <c r="C1050" s="12" t="s">
        <v>571</v>
      </c>
      <c r="D1050" s="12" t="s">
        <v>416</v>
      </c>
      <c r="E1050" s="89">
        <f t="shared" ca="1" si="100"/>
        <v>40951</v>
      </c>
      <c r="F1050" s="11">
        <f>DATE(95,2,23)</f>
        <v>34753</v>
      </c>
      <c r="G1050" s="12">
        <f t="shared" ref="G1050:G1113" ca="1" si="102">YEAR(E1050)-YEAR(F1050)</f>
        <v>17</v>
      </c>
      <c r="H1050" s="12">
        <f t="shared" ref="H1050:H1113" ca="1" si="103">MONTH(E1050)-MONTH(F1050)</f>
        <v>0</v>
      </c>
      <c r="I1050" s="13">
        <f t="shared" ref="I1050:I1113" ca="1" si="104">DAY(E1050)-DAY(F1050)</f>
        <v>-11</v>
      </c>
      <c r="J1050" s="14">
        <f t="shared" ca="1" si="101"/>
        <v>16</v>
      </c>
      <c r="K1050" s="12" t="s">
        <v>40</v>
      </c>
      <c r="L1050" s="12">
        <v>83</v>
      </c>
      <c r="M1050" s="12" t="s">
        <v>44</v>
      </c>
      <c r="N1050" s="12">
        <v>226</v>
      </c>
    </row>
    <row r="1051" spans="1:15">
      <c r="A1051" s="12">
        <f t="shared" si="99"/>
        <v>1048</v>
      </c>
      <c r="B1051" s="12" t="s">
        <v>11</v>
      </c>
      <c r="C1051" s="12" t="s">
        <v>290</v>
      </c>
      <c r="D1051" s="12" t="s">
        <v>416</v>
      </c>
      <c r="E1051" s="89">
        <f t="shared" ca="1" si="100"/>
        <v>40951</v>
      </c>
      <c r="F1051" s="11">
        <f>DATE(95,2,23)</f>
        <v>34753</v>
      </c>
      <c r="G1051" s="12">
        <f t="shared" ca="1" si="102"/>
        <v>17</v>
      </c>
      <c r="H1051" s="12">
        <f t="shared" ca="1" si="103"/>
        <v>0</v>
      </c>
      <c r="I1051" s="13">
        <f t="shared" ca="1" si="104"/>
        <v>-11</v>
      </c>
      <c r="J1051" s="14">
        <f t="shared" ca="1" si="101"/>
        <v>16</v>
      </c>
      <c r="K1051" s="12" t="s">
        <v>41</v>
      </c>
      <c r="L1051" s="12">
        <v>83</v>
      </c>
      <c r="M1051" s="12" t="s">
        <v>44</v>
      </c>
      <c r="N1051" s="12">
        <v>226</v>
      </c>
    </row>
    <row r="1052" spans="1:15">
      <c r="A1052" s="12">
        <f t="shared" si="99"/>
        <v>1049</v>
      </c>
      <c r="B1052" s="12" t="s">
        <v>11</v>
      </c>
      <c r="C1052" s="12" t="s">
        <v>230</v>
      </c>
      <c r="D1052" s="12" t="s">
        <v>198</v>
      </c>
      <c r="E1052" s="89">
        <f t="shared" ca="1" si="100"/>
        <v>40951</v>
      </c>
      <c r="F1052" s="11">
        <f>DATE(29,2,19)</f>
        <v>10643</v>
      </c>
      <c r="G1052" s="12">
        <f t="shared" ca="1" si="102"/>
        <v>83</v>
      </c>
      <c r="H1052" s="12">
        <f t="shared" ca="1" si="103"/>
        <v>0</v>
      </c>
      <c r="I1052" s="13">
        <f t="shared" ca="1" si="104"/>
        <v>-7</v>
      </c>
      <c r="J1052" s="14">
        <f t="shared" ca="1" si="101"/>
        <v>82</v>
      </c>
      <c r="K1052" s="12" t="s">
        <v>40</v>
      </c>
      <c r="L1052" s="12">
        <v>84</v>
      </c>
      <c r="M1052" s="12" t="s">
        <v>40</v>
      </c>
      <c r="N1052" s="12">
        <v>227</v>
      </c>
      <c r="O1052" s="90" t="s">
        <v>2748</v>
      </c>
    </row>
    <row r="1053" spans="1:15">
      <c r="A1053" s="12">
        <f t="shared" si="99"/>
        <v>1050</v>
      </c>
      <c r="B1053" s="12" t="s">
        <v>11</v>
      </c>
      <c r="C1053" s="12" t="s">
        <v>762</v>
      </c>
      <c r="D1053" s="12" t="s">
        <v>230</v>
      </c>
      <c r="E1053" s="89">
        <f t="shared" ca="1" si="100"/>
        <v>40951</v>
      </c>
      <c r="F1053" s="11">
        <f>DATE(30,5,15)</f>
        <v>11093</v>
      </c>
      <c r="G1053" s="12">
        <f t="shared" ca="1" si="102"/>
        <v>82</v>
      </c>
      <c r="H1053" s="12">
        <f t="shared" ca="1" si="103"/>
        <v>-3</v>
      </c>
      <c r="I1053" s="13">
        <f t="shared" ca="1" si="104"/>
        <v>-3</v>
      </c>
      <c r="J1053" s="14">
        <f t="shared" ca="1" si="101"/>
        <v>81</v>
      </c>
      <c r="K1053" s="12" t="s">
        <v>41</v>
      </c>
      <c r="L1053" s="12">
        <v>84</v>
      </c>
      <c r="M1053" s="12" t="s">
        <v>40</v>
      </c>
      <c r="N1053" s="12">
        <v>227</v>
      </c>
    </row>
    <row r="1054" spans="1:15">
      <c r="A1054" s="12">
        <f t="shared" ref="A1054:A1117" si="105">A1053+1</f>
        <v>1051</v>
      </c>
      <c r="B1054" s="12" t="s">
        <v>11</v>
      </c>
      <c r="C1054" s="12" t="s">
        <v>763</v>
      </c>
      <c r="D1054" s="12" t="s">
        <v>230</v>
      </c>
      <c r="E1054" s="89">
        <f t="shared" ca="1" si="100"/>
        <v>40951</v>
      </c>
      <c r="F1054" s="11">
        <f>DATE(51,8,26)</f>
        <v>18866</v>
      </c>
      <c r="G1054" s="12">
        <f t="shared" ca="1" si="102"/>
        <v>61</v>
      </c>
      <c r="H1054" s="12">
        <f t="shared" ca="1" si="103"/>
        <v>-6</v>
      </c>
      <c r="I1054" s="13">
        <f t="shared" ca="1" si="104"/>
        <v>-14</v>
      </c>
      <c r="J1054" s="14">
        <f t="shared" ca="1" si="101"/>
        <v>60</v>
      </c>
      <c r="K1054" s="12" t="s">
        <v>40</v>
      </c>
      <c r="L1054" s="12">
        <v>84</v>
      </c>
      <c r="M1054" s="12" t="s">
        <v>40</v>
      </c>
      <c r="N1054" s="12">
        <v>227</v>
      </c>
    </row>
    <row r="1055" spans="1:15">
      <c r="A1055" s="12">
        <f t="shared" si="105"/>
        <v>1052</v>
      </c>
      <c r="B1055" s="12" t="s">
        <v>11</v>
      </c>
      <c r="C1055" s="12" t="s">
        <v>669</v>
      </c>
      <c r="D1055" s="12" t="s">
        <v>763</v>
      </c>
      <c r="E1055" s="89">
        <f t="shared" ca="1" si="100"/>
        <v>40951</v>
      </c>
      <c r="F1055" s="11">
        <f>DATE(54,11,18)</f>
        <v>20046</v>
      </c>
      <c r="G1055" s="12">
        <f t="shared" ca="1" si="102"/>
        <v>58</v>
      </c>
      <c r="H1055" s="12">
        <f t="shared" ca="1" si="103"/>
        <v>-9</v>
      </c>
      <c r="I1055" s="13">
        <f t="shared" ca="1" si="104"/>
        <v>-6</v>
      </c>
      <c r="J1055" s="14">
        <f t="shared" ca="1" si="101"/>
        <v>57</v>
      </c>
      <c r="K1055" s="12" t="s">
        <v>40</v>
      </c>
      <c r="L1055" s="12">
        <v>84</v>
      </c>
      <c r="M1055" s="12" t="s">
        <v>40</v>
      </c>
      <c r="N1055" s="12">
        <v>227</v>
      </c>
    </row>
    <row r="1056" spans="1:15">
      <c r="A1056" s="12">
        <f t="shared" si="105"/>
        <v>1053</v>
      </c>
      <c r="B1056" s="12" t="s">
        <v>11</v>
      </c>
      <c r="C1056" s="12" t="s">
        <v>627</v>
      </c>
      <c r="D1056" s="12" t="s">
        <v>763</v>
      </c>
      <c r="E1056" s="89">
        <f t="shared" ca="1" si="100"/>
        <v>40951</v>
      </c>
      <c r="F1056" s="11">
        <f>DATE(77,2,7)</f>
        <v>28163</v>
      </c>
      <c r="G1056" s="12">
        <f t="shared" ca="1" si="102"/>
        <v>35</v>
      </c>
      <c r="H1056" s="12">
        <f t="shared" ca="1" si="103"/>
        <v>0</v>
      </c>
      <c r="I1056" s="13">
        <f t="shared" ca="1" si="104"/>
        <v>5</v>
      </c>
      <c r="J1056" s="14">
        <f t="shared" ca="1" si="101"/>
        <v>35</v>
      </c>
      <c r="K1056" s="12" t="s">
        <v>40</v>
      </c>
      <c r="L1056" s="12">
        <v>84</v>
      </c>
      <c r="M1056" s="12" t="s">
        <v>40</v>
      </c>
      <c r="N1056" s="12">
        <v>227</v>
      </c>
    </row>
    <row r="1057" spans="1:15">
      <c r="A1057" s="12">
        <f t="shared" si="105"/>
        <v>1054</v>
      </c>
      <c r="B1057" s="12" t="s">
        <v>11</v>
      </c>
      <c r="C1057" s="12" t="s">
        <v>764</v>
      </c>
      <c r="D1057" s="12" t="s">
        <v>627</v>
      </c>
      <c r="E1057" s="89">
        <f t="shared" ca="1" si="100"/>
        <v>40951</v>
      </c>
      <c r="F1057" s="11">
        <f>DATE(80,2,14)</f>
        <v>29265</v>
      </c>
      <c r="G1057" s="12">
        <f t="shared" ca="1" si="102"/>
        <v>32</v>
      </c>
      <c r="H1057" s="12">
        <f t="shared" ca="1" si="103"/>
        <v>0</v>
      </c>
      <c r="I1057" s="13">
        <f t="shared" ca="1" si="104"/>
        <v>-2</v>
      </c>
      <c r="J1057" s="14">
        <f t="shared" ca="1" si="101"/>
        <v>31</v>
      </c>
      <c r="K1057" s="12" t="s">
        <v>41</v>
      </c>
      <c r="L1057" s="12">
        <v>84</v>
      </c>
      <c r="M1057" s="12" t="s">
        <v>40</v>
      </c>
      <c r="N1057" s="12">
        <v>227</v>
      </c>
    </row>
    <row r="1058" spans="1:15">
      <c r="A1058" s="12">
        <f t="shared" si="105"/>
        <v>1055</v>
      </c>
      <c r="B1058" s="12" t="s">
        <v>11</v>
      </c>
      <c r="C1058" s="12" t="s">
        <v>765</v>
      </c>
      <c r="D1058" s="12" t="s">
        <v>627</v>
      </c>
      <c r="E1058" s="89">
        <f t="shared" ca="1" si="100"/>
        <v>40951</v>
      </c>
      <c r="F1058" s="11">
        <f>DATE(2004,11,18)</f>
        <v>38309</v>
      </c>
      <c r="G1058" s="12">
        <f t="shared" ca="1" si="102"/>
        <v>8</v>
      </c>
      <c r="H1058" s="12">
        <f t="shared" ca="1" si="103"/>
        <v>-9</v>
      </c>
      <c r="I1058" s="13">
        <f t="shared" ca="1" si="104"/>
        <v>-6</v>
      </c>
      <c r="J1058" s="14">
        <f t="shared" ca="1" si="101"/>
        <v>7</v>
      </c>
      <c r="K1058" s="12" t="s">
        <v>40</v>
      </c>
      <c r="L1058" s="12">
        <v>84</v>
      </c>
      <c r="M1058" s="12" t="s">
        <v>44</v>
      </c>
      <c r="N1058" s="12">
        <v>227</v>
      </c>
    </row>
    <row r="1059" spans="1:15">
      <c r="A1059" s="12">
        <f t="shared" si="105"/>
        <v>1056</v>
      </c>
      <c r="B1059" s="12" t="s">
        <v>11</v>
      </c>
      <c r="C1059" s="12" t="s">
        <v>284</v>
      </c>
      <c r="D1059" s="12" t="s">
        <v>230</v>
      </c>
      <c r="E1059" s="89">
        <f t="shared" ca="1" si="100"/>
        <v>40951</v>
      </c>
      <c r="F1059" s="11">
        <f>DATE(53,7,18)</f>
        <v>19558</v>
      </c>
      <c r="G1059" s="12">
        <f t="shared" ca="1" si="102"/>
        <v>59</v>
      </c>
      <c r="H1059" s="12">
        <f t="shared" ca="1" si="103"/>
        <v>-5</v>
      </c>
      <c r="I1059" s="13">
        <f t="shared" ca="1" si="104"/>
        <v>-6</v>
      </c>
      <c r="J1059" s="14">
        <f t="shared" ca="1" si="101"/>
        <v>58</v>
      </c>
      <c r="K1059" s="12" t="s">
        <v>40</v>
      </c>
      <c r="L1059" s="12">
        <v>84</v>
      </c>
      <c r="M1059" s="12" t="s">
        <v>40</v>
      </c>
      <c r="N1059" s="12">
        <v>227</v>
      </c>
    </row>
    <row r="1060" spans="1:15">
      <c r="A1060" s="12">
        <f t="shared" si="105"/>
        <v>1057</v>
      </c>
      <c r="B1060" s="12" t="s">
        <v>11</v>
      </c>
      <c r="C1060" s="12" t="s">
        <v>150</v>
      </c>
      <c r="D1060" s="12" t="s">
        <v>284</v>
      </c>
      <c r="E1060" s="89">
        <f t="shared" ref="E1060:E1123" ca="1" si="106">TODAY()</f>
        <v>40951</v>
      </c>
      <c r="F1060" s="11">
        <f>DATE(62,8,19)</f>
        <v>22877</v>
      </c>
      <c r="G1060" s="12">
        <f t="shared" ca="1" si="102"/>
        <v>50</v>
      </c>
      <c r="H1060" s="12">
        <f t="shared" ca="1" si="103"/>
        <v>-6</v>
      </c>
      <c r="I1060" s="13">
        <f t="shared" ca="1" si="104"/>
        <v>-7</v>
      </c>
      <c r="J1060" s="14">
        <f t="shared" ca="1" si="101"/>
        <v>49</v>
      </c>
      <c r="K1060" s="12" t="s">
        <v>41</v>
      </c>
      <c r="L1060" s="12">
        <v>84</v>
      </c>
      <c r="M1060" s="12" t="s">
        <v>40</v>
      </c>
      <c r="N1060" s="12">
        <v>227</v>
      </c>
    </row>
    <row r="1061" spans="1:15">
      <c r="A1061" s="12">
        <f t="shared" si="105"/>
        <v>1058</v>
      </c>
      <c r="B1061" s="12" t="s">
        <v>11</v>
      </c>
      <c r="C1061" s="12" t="s">
        <v>766</v>
      </c>
      <c r="D1061" s="12" t="s">
        <v>284</v>
      </c>
      <c r="E1061" s="89">
        <f t="shared" ca="1" si="106"/>
        <v>40951</v>
      </c>
      <c r="F1061" s="11">
        <f>DATE(81,12,2)</f>
        <v>29922</v>
      </c>
      <c r="G1061" s="12">
        <f t="shared" ca="1" si="102"/>
        <v>31</v>
      </c>
      <c r="H1061" s="12">
        <f t="shared" ca="1" si="103"/>
        <v>-10</v>
      </c>
      <c r="I1061" s="13">
        <f t="shared" ca="1" si="104"/>
        <v>10</v>
      </c>
      <c r="J1061" s="14">
        <f t="shared" ca="1" si="101"/>
        <v>30</v>
      </c>
      <c r="K1061" s="12" t="s">
        <v>40</v>
      </c>
      <c r="L1061" s="12">
        <v>84</v>
      </c>
      <c r="M1061" s="12" t="s">
        <v>44</v>
      </c>
      <c r="N1061" s="12">
        <v>227</v>
      </c>
    </row>
    <row r="1062" spans="1:15">
      <c r="A1062" s="12">
        <f t="shared" si="105"/>
        <v>1059</v>
      </c>
      <c r="B1062" s="12" t="s">
        <v>11</v>
      </c>
      <c r="C1062" s="12" t="s">
        <v>767</v>
      </c>
      <c r="D1062" s="12" t="s">
        <v>230</v>
      </c>
      <c r="E1062" s="89">
        <f t="shared" ca="1" si="106"/>
        <v>40951</v>
      </c>
      <c r="F1062" s="11">
        <f>DATE(55,3,13)</f>
        <v>20161</v>
      </c>
      <c r="G1062" s="12">
        <f t="shared" ca="1" si="102"/>
        <v>57</v>
      </c>
      <c r="H1062" s="12">
        <f t="shared" ca="1" si="103"/>
        <v>-1</v>
      </c>
      <c r="I1062" s="13">
        <f t="shared" ca="1" si="104"/>
        <v>-1</v>
      </c>
      <c r="J1062" s="14">
        <f t="shared" ca="1" si="101"/>
        <v>56</v>
      </c>
      <c r="K1062" s="12" t="s">
        <v>40</v>
      </c>
      <c r="L1062" s="12">
        <v>84</v>
      </c>
      <c r="M1062" s="12" t="s">
        <v>40</v>
      </c>
      <c r="N1062" s="12">
        <v>227</v>
      </c>
    </row>
    <row r="1063" spans="1:15">
      <c r="A1063" s="12">
        <f t="shared" si="105"/>
        <v>1060</v>
      </c>
      <c r="B1063" s="12" t="s">
        <v>11</v>
      </c>
      <c r="C1063" s="12" t="s">
        <v>768</v>
      </c>
      <c r="D1063" s="12" t="s">
        <v>767</v>
      </c>
      <c r="E1063" s="89">
        <f t="shared" ca="1" si="106"/>
        <v>40951</v>
      </c>
      <c r="F1063" s="11">
        <f>DATE(62,7,2)</f>
        <v>22829</v>
      </c>
      <c r="G1063" s="12">
        <f t="shared" ca="1" si="102"/>
        <v>50</v>
      </c>
      <c r="H1063" s="12">
        <f t="shared" ca="1" si="103"/>
        <v>-5</v>
      </c>
      <c r="I1063" s="13">
        <f t="shared" ca="1" si="104"/>
        <v>10</v>
      </c>
      <c r="J1063" s="14">
        <f t="shared" ca="1" si="101"/>
        <v>49</v>
      </c>
      <c r="K1063" s="12" t="s">
        <v>41</v>
      </c>
      <c r="L1063" s="12">
        <v>84</v>
      </c>
      <c r="M1063" s="12" t="s">
        <v>40</v>
      </c>
      <c r="N1063" s="12">
        <v>227</v>
      </c>
    </row>
    <row r="1064" spans="1:15">
      <c r="A1064" s="12">
        <f t="shared" si="105"/>
        <v>1061</v>
      </c>
      <c r="B1064" s="12" t="s">
        <v>11</v>
      </c>
      <c r="C1064" s="12" t="s">
        <v>769</v>
      </c>
      <c r="D1064" s="12" t="s">
        <v>767</v>
      </c>
      <c r="E1064" s="89">
        <f t="shared" ca="1" si="106"/>
        <v>40951</v>
      </c>
      <c r="F1064" s="11">
        <f>DATE(81,11,25)</f>
        <v>29915</v>
      </c>
      <c r="G1064" s="12">
        <f t="shared" ca="1" si="102"/>
        <v>31</v>
      </c>
      <c r="H1064" s="12">
        <f t="shared" ca="1" si="103"/>
        <v>-9</v>
      </c>
      <c r="I1064" s="13">
        <f t="shared" ca="1" si="104"/>
        <v>-13</v>
      </c>
      <c r="J1064" s="14">
        <f t="shared" ca="1" si="101"/>
        <v>30</v>
      </c>
      <c r="K1064" s="12" t="s">
        <v>40</v>
      </c>
      <c r="L1064" s="12">
        <v>84</v>
      </c>
      <c r="M1064" s="12" t="s">
        <v>40</v>
      </c>
      <c r="N1064" s="12">
        <v>227</v>
      </c>
    </row>
    <row r="1065" spans="1:15">
      <c r="A1065" s="12">
        <f t="shared" si="105"/>
        <v>1062</v>
      </c>
      <c r="B1065" s="12" t="s">
        <v>11</v>
      </c>
      <c r="C1065" s="12" t="s">
        <v>770</v>
      </c>
      <c r="D1065" s="12" t="s">
        <v>769</v>
      </c>
      <c r="E1065" s="89">
        <f t="shared" ca="1" si="106"/>
        <v>40951</v>
      </c>
      <c r="F1065" s="11">
        <f>DATE(84,2,17)</f>
        <v>30729</v>
      </c>
      <c r="G1065" s="12">
        <f t="shared" ca="1" si="102"/>
        <v>28</v>
      </c>
      <c r="H1065" s="12">
        <f t="shared" ca="1" si="103"/>
        <v>0</v>
      </c>
      <c r="I1065" s="13">
        <f t="shared" ca="1" si="104"/>
        <v>-5</v>
      </c>
      <c r="J1065" s="14">
        <f t="shared" ca="1" si="101"/>
        <v>27</v>
      </c>
      <c r="K1065" s="12" t="s">
        <v>41</v>
      </c>
      <c r="L1065" s="12">
        <v>84</v>
      </c>
      <c r="M1065" s="12" t="s">
        <v>40</v>
      </c>
      <c r="N1065" s="12">
        <v>227</v>
      </c>
    </row>
    <row r="1066" spans="1:15">
      <c r="A1066" s="12">
        <f t="shared" si="105"/>
        <v>1063</v>
      </c>
      <c r="B1066" s="12" t="s">
        <v>11</v>
      </c>
      <c r="C1066" s="12" t="s">
        <v>771</v>
      </c>
      <c r="D1066" s="12" t="s">
        <v>767</v>
      </c>
      <c r="E1066" s="89">
        <f t="shared" ca="1" si="106"/>
        <v>40951</v>
      </c>
      <c r="F1066" s="11">
        <f>DATE(87,11,28)</f>
        <v>32109</v>
      </c>
      <c r="G1066" s="12">
        <f t="shared" ca="1" si="102"/>
        <v>25</v>
      </c>
      <c r="H1066" s="12">
        <f t="shared" ca="1" si="103"/>
        <v>-9</v>
      </c>
      <c r="I1066" s="13">
        <f t="shared" ca="1" si="104"/>
        <v>-16</v>
      </c>
      <c r="J1066" s="14">
        <f t="shared" ca="1" si="101"/>
        <v>24</v>
      </c>
      <c r="K1066" s="12" t="s">
        <v>40</v>
      </c>
      <c r="L1066" s="12">
        <v>84</v>
      </c>
      <c r="M1066" s="12" t="s">
        <v>44</v>
      </c>
      <c r="N1066" s="12">
        <v>227</v>
      </c>
    </row>
    <row r="1067" spans="1:15">
      <c r="A1067" s="12">
        <f t="shared" si="105"/>
        <v>1064</v>
      </c>
      <c r="B1067" s="12" t="s">
        <v>11</v>
      </c>
      <c r="C1067" s="12" t="s">
        <v>96</v>
      </c>
      <c r="D1067" s="12" t="s">
        <v>358</v>
      </c>
      <c r="E1067" s="89">
        <f t="shared" ca="1" si="106"/>
        <v>40951</v>
      </c>
      <c r="F1067" s="11">
        <f>DATE(63,11,17)</f>
        <v>23332</v>
      </c>
      <c r="G1067" s="12">
        <f t="shared" ca="1" si="102"/>
        <v>49</v>
      </c>
      <c r="H1067" s="12">
        <f t="shared" ca="1" si="103"/>
        <v>-9</v>
      </c>
      <c r="I1067" s="13">
        <f t="shared" ca="1" si="104"/>
        <v>-5</v>
      </c>
      <c r="J1067" s="14">
        <f t="shared" ca="1" si="101"/>
        <v>48</v>
      </c>
      <c r="K1067" s="12" t="s">
        <v>40</v>
      </c>
      <c r="L1067" s="12">
        <v>84</v>
      </c>
      <c r="M1067" s="12" t="s">
        <v>40</v>
      </c>
      <c r="N1067" s="12">
        <v>228</v>
      </c>
      <c r="O1067" s="90" t="s">
        <v>2748</v>
      </c>
    </row>
    <row r="1068" spans="1:15">
      <c r="A1068" s="12">
        <f t="shared" si="105"/>
        <v>1065</v>
      </c>
      <c r="B1068" s="12" t="s">
        <v>11</v>
      </c>
      <c r="C1068" s="12" t="s">
        <v>261</v>
      </c>
      <c r="D1068" s="12" t="s">
        <v>96</v>
      </c>
      <c r="E1068" s="89">
        <f t="shared" ca="1" si="106"/>
        <v>40951</v>
      </c>
      <c r="F1068" s="11">
        <f>DATE(64,6,1)</f>
        <v>23529</v>
      </c>
      <c r="G1068" s="12">
        <f t="shared" ca="1" si="102"/>
        <v>48</v>
      </c>
      <c r="H1068" s="12">
        <f t="shared" ca="1" si="103"/>
        <v>-4</v>
      </c>
      <c r="I1068" s="13">
        <f t="shared" ca="1" si="104"/>
        <v>11</v>
      </c>
      <c r="J1068" s="14">
        <f t="shared" ca="1" si="101"/>
        <v>47</v>
      </c>
      <c r="K1068" s="12" t="s">
        <v>41</v>
      </c>
      <c r="L1068" s="12">
        <v>84</v>
      </c>
      <c r="M1068" s="12" t="s">
        <v>40</v>
      </c>
      <c r="N1068" s="12">
        <v>228</v>
      </c>
    </row>
    <row r="1069" spans="1:15">
      <c r="A1069" s="12">
        <f t="shared" si="105"/>
        <v>1066</v>
      </c>
      <c r="B1069" s="12" t="s">
        <v>11</v>
      </c>
      <c r="C1069" s="12" t="s">
        <v>540</v>
      </c>
      <c r="D1069" s="12" t="s">
        <v>96</v>
      </c>
      <c r="E1069" s="89">
        <f t="shared" ca="1" si="106"/>
        <v>40951</v>
      </c>
      <c r="F1069" s="11">
        <f>DATE(89,8,20)</f>
        <v>32740</v>
      </c>
      <c r="G1069" s="12">
        <f t="shared" ca="1" si="102"/>
        <v>23</v>
      </c>
      <c r="H1069" s="12">
        <f t="shared" ca="1" si="103"/>
        <v>-6</v>
      </c>
      <c r="I1069" s="13">
        <f t="shared" ca="1" si="104"/>
        <v>-8</v>
      </c>
      <c r="J1069" s="14">
        <f t="shared" ca="1" si="101"/>
        <v>22</v>
      </c>
      <c r="K1069" s="12" t="s">
        <v>40</v>
      </c>
      <c r="L1069" s="12">
        <v>84</v>
      </c>
      <c r="M1069" s="12" t="s">
        <v>44</v>
      </c>
      <c r="N1069" s="12">
        <v>228</v>
      </c>
    </row>
    <row r="1070" spans="1:15">
      <c r="A1070" s="12">
        <f t="shared" si="105"/>
        <v>1067</v>
      </c>
      <c r="B1070" s="12" t="s">
        <v>11</v>
      </c>
      <c r="C1070" s="12" t="s">
        <v>299</v>
      </c>
      <c r="D1070" s="12" t="s">
        <v>96</v>
      </c>
      <c r="E1070" s="89">
        <f t="shared" ca="1" si="106"/>
        <v>40951</v>
      </c>
      <c r="F1070" s="11">
        <f>DATE(95,6,24)</f>
        <v>34874</v>
      </c>
      <c r="G1070" s="12">
        <f t="shared" ca="1" si="102"/>
        <v>17</v>
      </c>
      <c r="H1070" s="12">
        <f t="shared" ca="1" si="103"/>
        <v>-4</v>
      </c>
      <c r="I1070" s="13">
        <f t="shared" ca="1" si="104"/>
        <v>-12</v>
      </c>
      <c r="J1070" s="14">
        <f t="shared" ca="1" si="101"/>
        <v>16</v>
      </c>
      <c r="K1070" s="12" t="s">
        <v>40</v>
      </c>
      <c r="L1070" s="12">
        <v>84</v>
      </c>
      <c r="M1070" s="12" t="s">
        <v>44</v>
      </c>
      <c r="N1070" s="12">
        <v>228</v>
      </c>
    </row>
    <row r="1071" spans="1:15">
      <c r="A1071" s="12">
        <f t="shared" si="105"/>
        <v>1068</v>
      </c>
      <c r="B1071" s="12" t="s">
        <v>11</v>
      </c>
      <c r="C1071" s="12" t="s">
        <v>237</v>
      </c>
      <c r="D1071" s="12" t="s">
        <v>198</v>
      </c>
      <c r="E1071" s="89">
        <f t="shared" ca="1" si="106"/>
        <v>40951</v>
      </c>
      <c r="F1071" s="11">
        <f>DATE(33,3,16)</f>
        <v>12129</v>
      </c>
      <c r="G1071" s="12">
        <f t="shared" ca="1" si="102"/>
        <v>79</v>
      </c>
      <c r="H1071" s="12">
        <f t="shared" ca="1" si="103"/>
        <v>-1</v>
      </c>
      <c r="I1071" s="13">
        <f t="shared" ca="1" si="104"/>
        <v>-4</v>
      </c>
      <c r="J1071" s="14">
        <f t="shared" ca="1" si="101"/>
        <v>78</v>
      </c>
      <c r="K1071" s="12" t="s">
        <v>40</v>
      </c>
      <c r="L1071" s="12">
        <v>85</v>
      </c>
      <c r="M1071" s="12" t="s">
        <v>40</v>
      </c>
      <c r="N1071" s="12">
        <v>229</v>
      </c>
      <c r="O1071" s="90" t="s">
        <v>2748</v>
      </c>
    </row>
    <row r="1072" spans="1:15">
      <c r="A1072" s="12">
        <f t="shared" si="105"/>
        <v>1069</v>
      </c>
      <c r="B1072" s="12" t="s">
        <v>11</v>
      </c>
      <c r="C1072" s="12" t="s">
        <v>772</v>
      </c>
      <c r="D1072" s="12" t="s">
        <v>237</v>
      </c>
      <c r="E1072" s="89">
        <f t="shared" ca="1" si="106"/>
        <v>40951</v>
      </c>
      <c r="F1072" s="32"/>
      <c r="G1072" s="12">
        <f t="shared" ca="1" si="102"/>
        <v>112</v>
      </c>
      <c r="H1072" s="12">
        <f t="shared" ca="1" si="103"/>
        <v>1</v>
      </c>
      <c r="I1072" s="13">
        <f t="shared" ca="1" si="104"/>
        <v>12</v>
      </c>
      <c r="J1072" s="14">
        <f t="shared" ca="1" si="101"/>
        <v>112</v>
      </c>
      <c r="K1072" s="12" t="s">
        <v>41</v>
      </c>
      <c r="L1072" s="12">
        <v>85</v>
      </c>
      <c r="M1072" s="12" t="s">
        <v>40</v>
      </c>
      <c r="N1072" s="12">
        <v>229</v>
      </c>
    </row>
    <row r="1073" spans="1:15">
      <c r="A1073" s="12">
        <f t="shared" si="105"/>
        <v>1070</v>
      </c>
      <c r="B1073" s="12" t="s">
        <v>11</v>
      </c>
      <c r="C1073" s="12" t="s">
        <v>773</v>
      </c>
      <c r="D1073" s="12" t="s">
        <v>237</v>
      </c>
      <c r="E1073" s="89">
        <f t="shared" ca="1" si="106"/>
        <v>40951</v>
      </c>
      <c r="F1073" s="11">
        <f>DATE(57,11,30)</f>
        <v>21154</v>
      </c>
      <c r="G1073" s="12">
        <f t="shared" ca="1" si="102"/>
        <v>55</v>
      </c>
      <c r="H1073" s="12">
        <f t="shared" ca="1" si="103"/>
        <v>-9</v>
      </c>
      <c r="I1073" s="13">
        <f t="shared" ca="1" si="104"/>
        <v>-18</v>
      </c>
      <c r="J1073" s="14">
        <f t="shared" ca="1" si="101"/>
        <v>54</v>
      </c>
      <c r="K1073" s="12" t="s">
        <v>40</v>
      </c>
      <c r="L1073" s="12">
        <v>85</v>
      </c>
      <c r="M1073" s="12" t="s">
        <v>40</v>
      </c>
      <c r="N1073" s="12">
        <v>229</v>
      </c>
    </row>
    <row r="1074" spans="1:15">
      <c r="A1074" s="12">
        <f t="shared" si="105"/>
        <v>1071</v>
      </c>
      <c r="B1074" s="12" t="s">
        <v>11</v>
      </c>
      <c r="C1074" s="12" t="s">
        <v>662</v>
      </c>
      <c r="D1074" s="12" t="s">
        <v>773</v>
      </c>
      <c r="E1074" s="89">
        <f t="shared" ca="1" si="106"/>
        <v>40951</v>
      </c>
      <c r="F1074" s="11">
        <f>DATE(67,8,17)</f>
        <v>24701</v>
      </c>
      <c r="G1074" s="12">
        <f t="shared" ca="1" si="102"/>
        <v>45</v>
      </c>
      <c r="H1074" s="12">
        <f t="shared" ca="1" si="103"/>
        <v>-6</v>
      </c>
      <c r="I1074" s="13">
        <f t="shared" ca="1" si="104"/>
        <v>-5</v>
      </c>
      <c r="J1074" s="14">
        <f t="shared" ca="1" si="101"/>
        <v>44</v>
      </c>
      <c r="K1074" s="12" t="s">
        <v>41</v>
      </c>
      <c r="L1074" s="12">
        <v>85</v>
      </c>
      <c r="M1074" s="12" t="s">
        <v>40</v>
      </c>
      <c r="N1074" s="12">
        <v>229</v>
      </c>
    </row>
    <row r="1075" spans="1:15">
      <c r="A1075" s="12">
        <f t="shared" si="105"/>
        <v>1072</v>
      </c>
      <c r="B1075" s="12" t="s">
        <v>11</v>
      </c>
      <c r="C1075" s="12" t="s">
        <v>774</v>
      </c>
      <c r="D1075" s="12" t="s">
        <v>773</v>
      </c>
      <c r="E1075" s="89">
        <f t="shared" ca="1" si="106"/>
        <v>40951</v>
      </c>
      <c r="F1075" s="11">
        <f>DATE(88,3,1)</f>
        <v>32203</v>
      </c>
      <c r="G1075" s="12">
        <f t="shared" ca="1" si="102"/>
        <v>24</v>
      </c>
      <c r="H1075" s="12">
        <f t="shared" ca="1" si="103"/>
        <v>-1</v>
      </c>
      <c r="I1075" s="13">
        <f t="shared" ca="1" si="104"/>
        <v>11</v>
      </c>
      <c r="J1075" s="14">
        <f t="shared" ca="1" si="101"/>
        <v>23</v>
      </c>
      <c r="K1075" s="12" t="s">
        <v>41</v>
      </c>
      <c r="L1075" s="12">
        <v>85</v>
      </c>
      <c r="M1075" s="12" t="s">
        <v>44</v>
      </c>
      <c r="N1075" s="12">
        <v>229</v>
      </c>
    </row>
    <row r="1076" spans="1:15">
      <c r="A1076" s="12">
        <f t="shared" si="105"/>
        <v>1073</v>
      </c>
      <c r="B1076" s="12" t="s">
        <v>11</v>
      </c>
      <c r="C1076" s="12" t="s">
        <v>775</v>
      </c>
      <c r="D1076" s="12" t="s">
        <v>773</v>
      </c>
      <c r="E1076" s="89">
        <f t="shared" ca="1" si="106"/>
        <v>40951</v>
      </c>
      <c r="F1076" s="11">
        <f>DATE(89,12,16)</f>
        <v>32858</v>
      </c>
      <c r="G1076" s="12">
        <f t="shared" ca="1" si="102"/>
        <v>23</v>
      </c>
      <c r="H1076" s="12">
        <f t="shared" ca="1" si="103"/>
        <v>-10</v>
      </c>
      <c r="I1076" s="13">
        <f t="shared" ca="1" si="104"/>
        <v>-4</v>
      </c>
      <c r="J1076" s="14">
        <f t="shared" ca="1" si="101"/>
        <v>22</v>
      </c>
      <c r="K1076" s="12" t="s">
        <v>41</v>
      </c>
      <c r="L1076" s="12">
        <v>85</v>
      </c>
      <c r="M1076" s="12" t="s">
        <v>44</v>
      </c>
      <c r="N1076" s="12">
        <v>229</v>
      </c>
    </row>
    <row r="1077" spans="1:15">
      <c r="A1077" s="12">
        <f t="shared" si="105"/>
        <v>1074</v>
      </c>
      <c r="B1077" s="12" t="s">
        <v>11</v>
      </c>
      <c r="C1077" s="12" t="s">
        <v>648</v>
      </c>
      <c r="D1077" s="12" t="s">
        <v>682</v>
      </c>
      <c r="E1077" s="89">
        <f t="shared" ca="1" si="106"/>
        <v>40951</v>
      </c>
      <c r="F1077" s="11">
        <f>DATE(49,9,6)</f>
        <v>18147</v>
      </c>
      <c r="G1077" s="12">
        <f t="shared" ca="1" si="102"/>
        <v>63</v>
      </c>
      <c r="H1077" s="12">
        <f t="shared" ca="1" si="103"/>
        <v>-7</v>
      </c>
      <c r="I1077" s="13">
        <f t="shared" ca="1" si="104"/>
        <v>6</v>
      </c>
      <c r="J1077" s="14">
        <f t="shared" ca="1" si="101"/>
        <v>62</v>
      </c>
      <c r="K1077" s="12" t="s">
        <v>40</v>
      </c>
      <c r="L1077" s="12">
        <v>85</v>
      </c>
      <c r="M1077" s="12" t="s">
        <v>40</v>
      </c>
      <c r="N1077" s="12">
        <v>230</v>
      </c>
      <c r="O1077" s="90" t="s">
        <v>2748</v>
      </c>
    </row>
    <row r="1078" spans="1:15">
      <c r="A1078" s="12">
        <f t="shared" si="105"/>
        <v>1075</v>
      </c>
      <c r="B1078" s="12" t="s">
        <v>11</v>
      </c>
      <c r="C1078" s="12" t="s">
        <v>626</v>
      </c>
      <c r="D1078" s="12" t="s">
        <v>648</v>
      </c>
      <c r="E1078" s="89">
        <f t="shared" ca="1" si="106"/>
        <v>40951</v>
      </c>
      <c r="F1078" s="11">
        <f>DATE(49,8,1)</f>
        <v>18111</v>
      </c>
      <c r="G1078" s="12">
        <f t="shared" ca="1" si="102"/>
        <v>63</v>
      </c>
      <c r="H1078" s="12">
        <f t="shared" ca="1" si="103"/>
        <v>-6</v>
      </c>
      <c r="I1078" s="13">
        <f t="shared" ca="1" si="104"/>
        <v>11</v>
      </c>
      <c r="J1078" s="14">
        <f t="shared" ca="1" si="101"/>
        <v>62</v>
      </c>
      <c r="K1078" s="12" t="s">
        <v>41</v>
      </c>
      <c r="L1078" s="12">
        <v>85</v>
      </c>
      <c r="M1078" s="12" t="s">
        <v>40</v>
      </c>
      <c r="N1078" s="12">
        <v>230</v>
      </c>
    </row>
    <row r="1079" spans="1:15">
      <c r="A1079" s="12">
        <f t="shared" si="105"/>
        <v>1076</v>
      </c>
      <c r="B1079" s="12" t="s">
        <v>11</v>
      </c>
      <c r="C1079" s="12" t="s">
        <v>452</v>
      </c>
      <c r="D1079" s="12" t="s">
        <v>648</v>
      </c>
      <c r="E1079" s="89">
        <f t="shared" ca="1" si="106"/>
        <v>40951</v>
      </c>
      <c r="F1079" s="11">
        <f>DATE(77,3,26)</f>
        <v>28210</v>
      </c>
      <c r="G1079" s="12">
        <f t="shared" ca="1" si="102"/>
        <v>35</v>
      </c>
      <c r="H1079" s="12">
        <f t="shared" ca="1" si="103"/>
        <v>-1</v>
      </c>
      <c r="I1079" s="13">
        <f t="shared" ca="1" si="104"/>
        <v>-14</v>
      </c>
      <c r="J1079" s="14">
        <f t="shared" ca="1" si="101"/>
        <v>34</v>
      </c>
      <c r="K1079" s="12" t="s">
        <v>40</v>
      </c>
      <c r="L1079" s="12">
        <v>85</v>
      </c>
      <c r="M1079" s="12" t="s">
        <v>40</v>
      </c>
      <c r="N1079" s="12">
        <v>230</v>
      </c>
    </row>
    <row r="1080" spans="1:15">
      <c r="A1080" s="12">
        <f t="shared" si="105"/>
        <v>1077</v>
      </c>
      <c r="B1080" s="12" t="s">
        <v>11</v>
      </c>
      <c r="C1080" s="12" t="s">
        <v>555</v>
      </c>
      <c r="D1080" s="12" t="s">
        <v>452</v>
      </c>
      <c r="E1080" s="89">
        <f t="shared" ca="1" si="106"/>
        <v>40951</v>
      </c>
      <c r="F1080" s="11">
        <f>DATE(80,3,13)</f>
        <v>29293</v>
      </c>
      <c r="G1080" s="12">
        <f t="shared" ca="1" si="102"/>
        <v>32</v>
      </c>
      <c r="H1080" s="12">
        <f t="shared" ca="1" si="103"/>
        <v>-1</v>
      </c>
      <c r="I1080" s="13">
        <f t="shared" ca="1" si="104"/>
        <v>-1</v>
      </c>
      <c r="J1080" s="14">
        <f t="shared" ca="1" si="101"/>
        <v>31</v>
      </c>
      <c r="K1080" s="12" t="s">
        <v>41</v>
      </c>
      <c r="L1080" s="12">
        <v>85</v>
      </c>
      <c r="M1080" s="12" t="s">
        <v>40</v>
      </c>
      <c r="N1080" s="12">
        <v>230</v>
      </c>
    </row>
    <row r="1081" spans="1:15">
      <c r="A1081" s="12">
        <f t="shared" si="105"/>
        <v>1078</v>
      </c>
      <c r="B1081" s="12" t="s">
        <v>11</v>
      </c>
      <c r="C1081" s="12" t="s">
        <v>776</v>
      </c>
      <c r="D1081" s="12" t="s">
        <v>452</v>
      </c>
      <c r="E1081" s="89">
        <f t="shared" ca="1" si="106"/>
        <v>40951</v>
      </c>
      <c r="F1081" s="11">
        <f>DATE(2003,3,3)</f>
        <v>37683</v>
      </c>
      <c r="G1081" s="12">
        <f t="shared" ca="1" si="102"/>
        <v>9</v>
      </c>
      <c r="H1081" s="12">
        <f t="shared" ca="1" si="103"/>
        <v>-1</v>
      </c>
      <c r="I1081" s="13">
        <f t="shared" ca="1" si="104"/>
        <v>9</v>
      </c>
      <c r="J1081" s="14">
        <f t="shared" ca="1" si="101"/>
        <v>8</v>
      </c>
      <c r="K1081" s="12" t="s">
        <v>41</v>
      </c>
      <c r="L1081" s="12">
        <v>85</v>
      </c>
      <c r="M1081" s="12" t="s">
        <v>44</v>
      </c>
      <c r="N1081" s="12">
        <v>230</v>
      </c>
    </row>
    <row r="1082" spans="1:15">
      <c r="A1082" s="12">
        <f t="shared" si="105"/>
        <v>1079</v>
      </c>
      <c r="B1082" s="12" t="s">
        <v>11</v>
      </c>
      <c r="C1082" s="12" t="s">
        <v>777</v>
      </c>
      <c r="D1082" s="12" t="s">
        <v>452</v>
      </c>
      <c r="E1082" s="89">
        <f t="shared" ca="1" si="106"/>
        <v>40951</v>
      </c>
      <c r="F1082" s="11">
        <f>DATE(2005,6,14)</f>
        <v>38517</v>
      </c>
      <c r="G1082" s="12">
        <f t="shared" ca="1" si="102"/>
        <v>7</v>
      </c>
      <c r="H1082" s="12">
        <f t="shared" ca="1" si="103"/>
        <v>-4</v>
      </c>
      <c r="I1082" s="13">
        <f t="shared" ca="1" si="104"/>
        <v>-2</v>
      </c>
      <c r="J1082" s="14">
        <f t="shared" ca="1" si="101"/>
        <v>6</v>
      </c>
      <c r="K1082" s="12" t="s">
        <v>40</v>
      </c>
      <c r="L1082" s="12">
        <v>85</v>
      </c>
      <c r="M1082" s="12" t="s">
        <v>44</v>
      </c>
      <c r="N1082" s="12">
        <v>230</v>
      </c>
    </row>
    <row r="1083" spans="1:15">
      <c r="A1083" s="12">
        <f t="shared" si="105"/>
        <v>1080</v>
      </c>
      <c r="B1083" s="12" t="s">
        <v>11</v>
      </c>
      <c r="C1083" s="12" t="s">
        <v>84</v>
      </c>
      <c r="D1083" s="12" t="s">
        <v>452</v>
      </c>
      <c r="E1083" s="89">
        <f t="shared" ca="1" si="106"/>
        <v>40951</v>
      </c>
      <c r="F1083" s="11">
        <f>DATE(81,9,7)</f>
        <v>29836</v>
      </c>
      <c r="G1083" s="12">
        <f t="shared" ca="1" si="102"/>
        <v>31</v>
      </c>
      <c r="H1083" s="12">
        <f t="shared" ca="1" si="103"/>
        <v>-7</v>
      </c>
      <c r="I1083" s="13">
        <f t="shared" ca="1" si="104"/>
        <v>5</v>
      </c>
      <c r="J1083" s="14">
        <f t="shared" ca="1" si="101"/>
        <v>30</v>
      </c>
      <c r="K1083" s="12" t="s">
        <v>41</v>
      </c>
      <c r="L1083" s="12">
        <v>85</v>
      </c>
      <c r="M1083" s="12" t="s">
        <v>44</v>
      </c>
      <c r="N1083" s="12">
        <v>230</v>
      </c>
    </row>
    <row r="1084" spans="1:15">
      <c r="A1084" s="12">
        <f t="shared" si="105"/>
        <v>1081</v>
      </c>
      <c r="B1084" s="12" t="s">
        <v>11</v>
      </c>
      <c r="C1084" s="12" t="s">
        <v>648</v>
      </c>
      <c r="D1084" s="12" t="s">
        <v>778</v>
      </c>
      <c r="E1084" s="89">
        <f t="shared" ca="1" si="106"/>
        <v>40951</v>
      </c>
      <c r="F1084" s="11">
        <f>DATE(48,2,13)</f>
        <v>17576</v>
      </c>
      <c r="G1084" s="12">
        <f t="shared" ca="1" si="102"/>
        <v>64</v>
      </c>
      <c r="H1084" s="12">
        <f t="shared" ca="1" si="103"/>
        <v>0</v>
      </c>
      <c r="I1084" s="13">
        <f t="shared" ca="1" si="104"/>
        <v>-1</v>
      </c>
      <c r="J1084" s="14">
        <f t="shared" ca="1" si="101"/>
        <v>63</v>
      </c>
      <c r="K1084" s="12" t="s">
        <v>40</v>
      </c>
      <c r="L1084" s="12">
        <v>85</v>
      </c>
      <c r="M1084" s="12" t="s">
        <v>40</v>
      </c>
      <c r="N1084" s="12">
        <v>231</v>
      </c>
      <c r="O1084" s="90" t="s">
        <v>2748</v>
      </c>
    </row>
    <row r="1085" spans="1:15">
      <c r="A1085" s="12">
        <f t="shared" si="105"/>
        <v>1082</v>
      </c>
      <c r="B1085" s="12" t="s">
        <v>11</v>
      </c>
      <c r="C1085" s="12" t="s">
        <v>779</v>
      </c>
      <c r="D1085" s="12" t="s">
        <v>648</v>
      </c>
      <c r="E1085" s="89">
        <f t="shared" ca="1" si="106"/>
        <v>40951</v>
      </c>
      <c r="F1085" s="11">
        <f>DATE(53,3,6)</f>
        <v>19424</v>
      </c>
      <c r="G1085" s="12">
        <f t="shared" ca="1" si="102"/>
        <v>59</v>
      </c>
      <c r="H1085" s="12">
        <f t="shared" ca="1" si="103"/>
        <v>-1</v>
      </c>
      <c r="I1085" s="13">
        <f t="shared" ca="1" si="104"/>
        <v>6</v>
      </c>
      <c r="J1085" s="14">
        <f t="shared" ca="1" si="101"/>
        <v>58</v>
      </c>
      <c r="K1085" s="12" t="s">
        <v>41</v>
      </c>
      <c r="L1085" s="12">
        <v>85</v>
      </c>
      <c r="M1085" s="12" t="s">
        <v>40</v>
      </c>
      <c r="N1085" s="12">
        <v>231</v>
      </c>
    </row>
    <row r="1086" spans="1:15">
      <c r="A1086" s="12">
        <f t="shared" si="105"/>
        <v>1083</v>
      </c>
      <c r="B1086" s="12" t="s">
        <v>11</v>
      </c>
      <c r="C1086" s="12" t="s">
        <v>780</v>
      </c>
      <c r="D1086" s="12" t="s">
        <v>648</v>
      </c>
      <c r="E1086" s="89">
        <f t="shared" ca="1" si="106"/>
        <v>40951</v>
      </c>
      <c r="F1086" s="11">
        <f>DATE(83,11,9)</f>
        <v>30629</v>
      </c>
      <c r="G1086" s="12">
        <f t="shared" ca="1" si="102"/>
        <v>29</v>
      </c>
      <c r="H1086" s="12">
        <f t="shared" ca="1" si="103"/>
        <v>-9</v>
      </c>
      <c r="I1086" s="13">
        <f t="shared" ca="1" si="104"/>
        <v>3</v>
      </c>
      <c r="J1086" s="14">
        <f t="shared" ca="1" si="101"/>
        <v>28</v>
      </c>
      <c r="K1086" s="12" t="s">
        <v>41</v>
      </c>
      <c r="L1086" s="12">
        <v>85</v>
      </c>
      <c r="M1086" s="12" t="s">
        <v>44</v>
      </c>
      <c r="N1086" s="12">
        <v>231</v>
      </c>
    </row>
    <row r="1087" spans="1:15">
      <c r="A1087" s="12">
        <f t="shared" si="105"/>
        <v>1084</v>
      </c>
      <c r="B1087" s="12" t="s">
        <v>11</v>
      </c>
      <c r="C1087" s="12" t="s">
        <v>781</v>
      </c>
      <c r="D1087" s="12" t="s">
        <v>778</v>
      </c>
      <c r="E1087" s="89">
        <f t="shared" ca="1" si="106"/>
        <v>40951</v>
      </c>
      <c r="F1087" s="11">
        <f>DATE(44,1,14)</f>
        <v>16085</v>
      </c>
      <c r="G1087" s="12">
        <f t="shared" ca="1" si="102"/>
        <v>68</v>
      </c>
      <c r="H1087" s="12">
        <f t="shared" ca="1" si="103"/>
        <v>1</v>
      </c>
      <c r="I1087" s="13">
        <f t="shared" ca="1" si="104"/>
        <v>-2</v>
      </c>
      <c r="J1087" s="14">
        <f t="shared" ca="1" si="101"/>
        <v>68</v>
      </c>
      <c r="K1087" s="12" t="s">
        <v>41</v>
      </c>
      <c r="L1087" s="12">
        <v>85</v>
      </c>
      <c r="M1087" s="12" t="s">
        <v>44</v>
      </c>
      <c r="N1087" s="12">
        <v>231</v>
      </c>
    </row>
    <row r="1088" spans="1:15">
      <c r="A1088" s="12">
        <f t="shared" si="105"/>
        <v>1085</v>
      </c>
      <c r="B1088" s="12" t="s">
        <v>11</v>
      </c>
      <c r="C1088" s="12" t="s">
        <v>399</v>
      </c>
      <c r="D1088" s="12" t="s">
        <v>606</v>
      </c>
      <c r="E1088" s="89">
        <f t="shared" ca="1" si="106"/>
        <v>40951</v>
      </c>
      <c r="F1088" s="11">
        <f>DATE(45,9,21)</f>
        <v>16701</v>
      </c>
      <c r="G1088" s="12">
        <f t="shared" ca="1" si="102"/>
        <v>67</v>
      </c>
      <c r="H1088" s="12">
        <f t="shared" ca="1" si="103"/>
        <v>-7</v>
      </c>
      <c r="I1088" s="13">
        <f t="shared" ca="1" si="104"/>
        <v>-9</v>
      </c>
      <c r="J1088" s="14">
        <f t="shared" ca="1" si="101"/>
        <v>66</v>
      </c>
      <c r="K1088" s="12" t="s">
        <v>40</v>
      </c>
      <c r="L1088" s="12">
        <v>86</v>
      </c>
      <c r="M1088" s="12" t="s">
        <v>40</v>
      </c>
      <c r="N1088" s="12">
        <v>232</v>
      </c>
      <c r="O1088" s="90" t="s">
        <v>2748</v>
      </c>
    </row>
    <row r="1089" spans="1:15">
      <c r="A1089" s="12">
        <f t="shared" si="105"/>
        <v>1086</v>
      </c>
      <c r="B1089" s="12" t="s">
        <v>11</v>
      </c>
      <c r="C1089" s="12" t="s">
        <v>782</v>
      </c>
      <c r="D1089" s="12" t="s">
        <v>399</v>
      </c>
      <c r="E1089" s="89">
        <f t="shared" ca="1" si="106"/>
        <v>40951</v>
      </c>
      <c r="F1089" s="11">
        <f>DATE(54,4,25)</f>
        <v>19839</v>
      </c>
      <c r="G1089" s="12">
        <f t="shared" ca="1" si="102"/>
        <v>58</v>
      </c>
      <c r="H1089" s="12">
        <f t="shared" ca="1" si="103"/>
        <v>-2</v>
      </c>
      <c r="I1089" s="13">
        <f t="shared" ca="1" si="104"/>
        <v>-13</v>
      </c>
      <c r="J1089" s="14">
        <f t="shared" ca="1" si="101"/>
        <v>57</v>
      </c>
      <c r="K1089" s="12" t="s">
        <v>41</v>
      </c>
      <c r="L1089" s="12">
        <v>86</v>
      </c>
      <c r="M1089" s="12" t="s">
        <v>40</v>
      </c>
      <c r="N1089" s="12">
        <v>232</v>
      </c>
    </row>
    <row r="1090" spans="1:15">
      <c r="A1090" s="12">
        <f t="shared" si="105"/>
        <v>1087</v>
      </c>
      <c r="B1090" s="12" t="s">
        <v>11</v>
      </c>
      <c r="C1090" s="12" t="s">
        <v>784</v>
      </c>
      <c r="D1090" s="12" t="s">
        <v>399</v>
      </c>
      <c r="E1090" s="89">
        <f t="shared" ca="1" si="106"/>
        <v>40951</v>
      </c>
      <c r="F1090" s="11">
        <f>DATE(76,5,24)</f>
        <v>27904</v>
      </c>
      <c r="G1090" s="12">
        <f t="shared" ca="1" si="102"/>
        <v>36</v>
      </c>
      <c r="H1090" s="12">
        <f t="shared" ca="1" si="103"/>
        <v>-3</v>
      </c>
      <c r="I1090" s="13">
        <f t="shared" ca="1" si="104"/>
        <v>-12</v>
      </c>
      <c r="J1090" s="14">
        <f t="shared" ca="1" si="101"/>
        <v>35</v>
      </c>
      <c r="K1090" s="12" t="s">
        <v>40</v>
      </c>
      <c r="L1090" s="12">
        <v>86</v>
      </c>
      <c r="M1090" s="12" t="s">
        <v>40</v>
      </c>
      <c r="N1090" s="12">
        <v>232</v>
      </c>
    </row>
    <row r="1091" spans="1:15">
      <c r="A1091" s="12">
        <f t="shared" si="105"/>
        <v>1088</v>
      </c>
      <c r="B1091" s="12" t="s">
        <v>11</v>
      </c>
      <c r="C1091" s="12" t="s">
        <v>288</v>
      </c>
      <c r="D1091" s="12" t="s">
        <v>784</v>
      </c>
      <c r="E1091" s="89">
        <f t="shared" ca="1" si="106"/>
        <v>40951</v>
      </c>
      <c r="F1091" s="11">
        <f>DATE(79,6,23)</f>
        <v>29029</v>
      </c>
      <c r="G1091" s="12">
        <f t="shared" ca="1" si="102"/>
        <v>33</v>
      </c>
      <c r="H1091" s="12">
        <f t="shared" ca="1" si="103"/>
        <v>-4</v>
      </c>
      <c r="I1091" s="13">
        <f t="shared" ca="1" si="104"/>
        <v>-11</v>
      </c>
      <c r="J1091" s="14">
        <f t="shared" ca="1" si="101"/>
        <v>32</v>
      </c>
      <c r="K1091" s="12" t="s">
        <v>41</v>
      </c>
      <c r="L1091" s="12">
        <v>86</v>
      </c>
      <c r="M1091" s="12" t="s">
        <v>40</v>
      </c>
      <c r="N1091" s="12">
        <v>232</v>
      </c>
    </row>
    <row r="1092" spans="1:15">
      <c r="A1092" s="12">
        <f t="shared" si="105"/>
        <v>1089</v>
      </c>
      <c r="B1092" s="12" t="s">
        <v>11</v>
      </c>
      <c r="C1092" s="12" t="s">
        <v>783</v>
      </c>
      <c r="D1092" s="12" t="s">
        <v>784</v>
      </c>
      <c r="E1092" s="89">
        <f t="shared" ca="1" si="106"/>
        <v>40951</v>
      </c>
      <c r="F1092" s="11">
        <f>DATE(2003,4,19)</f>
        <v>37730</v>
      </c>
      <c r="G1092" s="12">
        <f t="shared" ca="1" si="102"/>
        <v>9</v>
      </c>
      <c r="H1092" s="12">
        <f t="shared" ca="1" si="103"/>
        <v>-2</v>
      </c>
      <c r="I1092" s="13">
        <f t="shared" ca="1" si="104"/>
        <v>-7</v>
      </c>
      <c r="J1092" s="14">
        <f t="shared" ref="J1092:J1155" ca="1" si="107">IF(H1092&lt;0,G1092-1,IF(H1092&gt;0,G1092,IF(I1092&lt;0,G1092-1,G1092)))</f>
        <v>8</v>
      </c>
      <c r="K1092" s="12" t="s">
        <v>41</v>
      </c>
      <c r="L1092" s="12">
        <v>86</v>
      </c>
      <c r="M1092" s="12" t="s">
        <v>44</v>
      </c>
      <c r="N1092" s="12">
        <v>232</v>
      </c>
    </row>
    <row r="1093" spans="1:15">
      <c r="A1093" s="12">
        <f t="shared" si="105"/>
        <v>1090</v>
      </c>
      <c r="B1093" s="12" t="s">
        <v>11</v>
      </c>
      <c r="C1093" s="12" t="s">
        <v>634</v>
      </c>
      <c r="D1093" s="12" t="s">
        <v>528</v>
      </c>
      <c r="E1093" s="89">
        <f t="shared" ca="1" si="106"/>
        <v>40951</v>
      </c>
      <c r="F1093" s="32"/>
      <c r="G1093" s="12">
        <f t="shared" ca="1" si="102"/>
        <v>112</v>
      </c>
      <c r="H1093" s="12">
        <f t="shared" ca="1" si="103"/>
        <v>1</v>
      </c>
      <c r="I1093" s="13">
        <f t="shared" ca="1" si="104"/>
        <v>12</v>
      </c>
      <c r="J1093" s="14">
        <f t="shared" ca="1" si="107"/>
        <v>112</v>
      </c>
      <c r="K1093" s="12" t="s">
        <v>41</v>
      </c>
      <c r="L1093" s="12">
        <v>86</v>
      </c>
      <c r="M1093" s="12" t="s">
        <v>40</v>
      </c>
      <c r="N1093" s="12">
        <v>233</v>
      </c>
      <c r="O1093" s="90" t="s">
        <v>2748</v>
      </c>
    </row>
    <row r="1094" spans="1:15">
      <c r="A1094" s="12">
        <f t="shared" si="105"/>
        <v>1091</v>
      </c>
      <c r="B1094" s="12" t="s">
        <v>11</v>
      </c>
      <c r="C1094" s="12" t="s">
        <v>96</v>
      </c>
      <c r="D1094" s="12" t="s">
        <v>528</v>
      </c>
      <c r="E1094" s="89">
        <f t="shared" ca="1" si="106"/>
        <v>40951</v>
      </c>
      <c r="F1094" s="11">
        <f>DATE(66,9,1)</f>
        <v>24351</v>
      </c>
      <c r="G1094" s="12">
        <f t="shared" ca="1" si="102"/>
        <v>46</v>
      </c>
      <c r="H1094" s="12">
        <f t="shared" ca="1" si="103"/>
        <v>-7</v>
      </c>
      <c r="I1094" s="13">
        <f t="shared" ca="1" si="104"/>
        <v>11</v>
      </c>
      <c r="J1094" s="14">
        <f t="shared" ca="1" si="107"/>
        <v>45</v>
      </c>
      <c r="K1094" s="12" t="s">
        <v>40</v>
      </c>
      <c r="L1094" s="12">
        <v>86</v>
      </c>
      <c r="M1094" s="12" t="s">
        <v>40</v>
      </c>
      <c r="N1094" s="12">
        <v>233</v>
      </c>
    </row>
    <row r="1095" spans="1:15">
      <c r="A1095" s="12">
        <f t="shared" si="105"/>
        <v>1092</v>
      </c>
      <c r="B1095" s="12" t="s">
        <v>11</v>
      </c>
      <c r="C1095" s="12" t="s">
        <v>319</v>
      </c>
      <c r="D1095" s="12" t="s">
        <v>96</v>
      </c>
      <c r="E1095" s="89">
        <f t="shared" ca="1" si="106"/>
        <v>40951</v>
      </c>
      <c r="F1095" s="11">
        <f>DATE(68,10,29)</f>
        <v>25140</v>
      </c>
      <c r="G1095" s="12">
        <f t="shared" ca="1" si="102"/>
        <v>44</v>
      </c>
      <c r="H1095" s="12">
        <f t="shared" ca="1" si="103"/>
        <v>-8</v>
      </c>
      <c r="I1095" s="13">
        <f t="shared" ca="1" si="104"/>
        <v>-17</v>
      </c>
      <c r="J1095" s="14">
        <f t="shared" ca="1" si="107"/>
        <v>43</v>
      </c>
      <c r="K1095" s="12" t="s">
        <v>40</v>
      </c>
      <c r="L1095" s="12">
        <v>86</v>
      </c>
      <c r="M1095" s="12" t="s">
        <v>40</v>
      </c>
      <c r="N1095" s="12">
        <v>233</v>
      </c>
    </row>
    <row r="1096" spans="1:15">
      <c r="A1096" s="12">
        <f t="shared" si="105"/>
        <v>1093</v>
      </c>
      <c r="B1096" s="12" t="s">
        <v>11</v>
      </c>
      <c r="C1096" s="12" t="s">
        <v>785</v>
      </c>
      <c r="D1096" s="12" t="s">
        <v>96</v>
      </c>
      <c r="E1096" s="89">
        <f t="shared" ca="1" si="106"/>
        <v>40951</v>
      </c>
      <c r="F1096" s="11">
        <f>DATE(92,10,10)</f>
        <v>33887</v>
      </c>
      <c r="G1096" s="12">
        <f t="shared" ca="1" si="102"/>
        <v>20</v>
      </c>
      <c r="H1096" s="12">
        <f t="shared" ca="1" si="103"/>
        <v>-8</v>
      </c>
      <c r="I1096" s="13">
        <f t="shared" ca="1" si="104"/>
        <v>2</v>
      </c>
      <c r="J1096" s="14">
        <f t="shared" ca="1" si="107"/>
        <v>19</v>
      </c>
      <c r="K1096" s="12" t="s">
        <v>40</v>
      </c>
      <c r="L1096" s="12">
        <v>86</v>
      </c>
      <c r="M1096" s="12" t="s">
        <v>44</v>
      </c>
      <c r="N1096" s="12">
        <v>233</v>
      </c>
    </row>
    <row r="1097" spans="1:15">
      <c r="A1097" s="12">
        <f t="shared" si="105"/>
        <v>1094</v>
      </c>
      <c r="B1097" s="12" t="s">
        <v>11</v>
      </c>
      <c r="C1097" s="12" t="s">
        <v>571</v>
      </c>
      <c r="D1097" s="12" t="s">
        <v>96</v>
      </c>
      <c r="E1097" s="89">
        <f t="shared" ca="1" si="106"/>
        <v>40951</v>
      </c>
      <c r="F1097" s="11">
        <f>DATE(97,5,23)</f>
        <v>35573</v>
      </c>
      <c r="G1097" s="12">
        <f t="shared" ca="1" si="102"/>
        <v>15</v>
      </c>
      <c r="H1097" s="12">
        <f t="shared" ca="1" si="103"/>
        <v>-3</v>
      </c>
      <c r="I1097" s="13">
        <f t="shared" ca="1" si="104"/>
        <v>-11</v>
      </c>
      <c r="J1097" s="14">
        <f t="shared" ca="1" si="107"/>
        <v>14</v>
      </c>
      <c r="K1097" s="12" t="s">
        <v>40</v>
      </c>
      <c r="L1097" s="12">
        <v>86</v>
      </c>
      <c r="M1097" s="12" t="s">
        <v>44</v>
      </c>
      <c r="N1097" s="12">
        <v>233</v>
      </c>
    </row>
    <row r="1098" spans="1:15">
      <c r="A1098" s="12">
        <f t="shared" si="105"/>
        <v>1095</v>
      </c>
      <c r="B1098" s="12" t="s">
        <v>11</v>
      </c>
      <c r="C1098" s="12" t="s">
        <v>588</v>
      </c>
      <c r="D1098" s="12" t="s">
        <v>528</v>
      </c>
      <c r="E1098" s="89">
        <f t="shared" ca="1" si="106"/>
        <v>40951</v>
      </c>
      <c r="F1098" s="11">
        <f>DATE(63,4,24)</f>
        <v>23125</v>
      </c>
      <c r="G1098" s="12">
        <f t="shared" ca="1" si="102"/>
        <v>49</v>
      </c>
      <c r="H1098" s="12">
        <f t="shared" ca="1" si="103"/>
        <v>-2</v>
      </c>
      <c r="I1098" s="13">
        <f t="shared" ca="1" si="104"/>
        <v>-12</v>
      </c>
      <c r="J1098" s="14">
        <f t="shared" ca="1" si="107"/>
        <v>48</v>
      </c>
      <c r="K1098" s="12" t="s">
        <v>40</v>
      </c>
      <c r="L1098" s="12">
        <v>86</v>
      </c>
      <c r="M1098" s="12" t="s">
        <v>40</v>
      </c>
      <c r="N1098" s="12">
        <v>233</v>
      </c>
    </row>
    <row r="1099" spans="1:15">
      <c r="A1099" s="12">
        <f t="shared" si="105"/>
        <v>1096</v>
      </c>
      <c r="B1099" s="12" t="s">
        <v>11</v>
      </c>
      <c r="C1099" s="12" t="s">
        <v>786</v>
      </c>
      <c r="D1099" s="12" t="s">
        <v>588</v>
      </c>
      <c r="E1099" s="89">
        <f t="shared" ca="1" si="106"/>
        <v>40951</v>
      </c>
      <c r="F1099" s="11">
        <f>DATE(70,12,28)</f>
        <v>25930</v>
      </c>
      <c r="G1099" s="12">
        <f t="shared" ca="1" si="102"/>
        <v>42</v>
      </c>
      <c r="H1099" s="12">
        <f t="shared" ca="1" si="103"/>
        <v>-10</v>
      </c>
      <c r="I1099" s="13">
        <f t="shared" ca="1" si="104"/>
        <v>-16</v>
      </c>
      <c r="J1099" s="14">
        <f t="shared" ca="1" si="107"/>
        <v>41</v>
      </c>
      <c r="K1099" s="12" t="s">
        <v>41</v>
      </c>
      <c r="L1099" s="12">
        <v>86</v>
      </c>
      <c r="M1099" s="12" t="s">
        <v>40</v>
      </c>
      <c r="N1099" s="12">
        <v>233</v>
      </c>
    </row>
    <row r="1100" spans="1:15">
      <c r="A1100" s="12">
        <f t="shared" si="105"/>
        <v>1097</v>
      </c>
      <c r="B1100" s="12" t="s">
        <v>11</v>
      </c>
      <c r="C1100" s="12" t="s">
        <v>422</v>
      </c>
      <c r="D1100" s="12" t="s">
        <v>588</v>
      </c>
      <c r="E1100" s="89">
        <f t="shared" ca="1" si="106"/>
        <v>40951</v>
      </c>
      <c r="F1100" s="11">
        <f>DATE(94,5,4)</f>
        <v>34458</v>
      </c>
      <c r="G1100" s="12">
        <f t="shared" ca="1" si="102"/>
        <v>18</v>
      </c>
      <c r="H1100" s="12">
        <f t="shared" ca="1" si="103"/>
        <v>-3</v>
      </c>
      <c r="I1100" s="13">
        <f t="shared" ca="1" si="104"/>
        <v>8</v>
      </c>
      <c r="J1100" s="14">
        <f t="shared" ca="1" si="107"/>
        <v>17</v>
      </c>
      <c r="K1100" s="12" t="s">
        <v>41</v>
      </c>
      <c r="L1100" s="12">
        <v>86</v>
      </c>
      <c r="M1100" s="12" t="s">
        <v>44</v>
      </c>
      <c r="N1100" s="12">
        <v>233</v>
      </c>
    </row>
    <row r="1101" spans="1:15">
      <c r="A1101" s="12">
        <f t="shared" si="105"/>
        <v>1098</v>
      </c>
      <c r="B1101" s="12" t="s">
        <v>11</v>
      </c>
      <c r="C1101" s="12" t="s">
        <v>787</v>
      </c>
      <c r="D1101" s="12" t="s">
        <v>588</v>
      </c>
      <c r="E1101" s="89">
        <f t="shared" ca="1" si="106"/>
        <v>40951</v>
      </c>
      <c r="F1101" s="11">
        <f>DATE(2002,2,27)</f>
        <v>37314</v>
      </c>
      <c r="G1101" s="12">
        <f t="shared" ca="1" si="102"/>
        <v>10</v>
      </c>
      <c r="H1101" s="12">
        <f t="shared" ca="1" si="103"/>
        <v>0</v>
      </c>
      <c r="I1101" s="13">
        <f t="shared" ca="1" si="104"/>
        <v>-15</v>
      </c>
      <c r="J1101" s="14">
        <f t="shared" ca="1" si="107"/>
        <v>9</v>
      </c>
      <c r="K1101" s="12" t="s">
        <v>40</v>
      </c>
      <c r="L1101" s="12">
        <v>86</v>
      </c>
      <c r="M1101" s="12" t="s">
        <v>44</v>
      </c>
      <c r="N1101" s="12">
        <v>233</v>
      </c>
    </row>
    <row r="1102" spans="1:15">
      <c r="A1102" s="12">
        <f t="shared" si="105"/>
        <v>1099</v>
      </c>
      <c r="B1102" s="12" t="s">
        <v>11</v>
      </c>
      <c r="C1102" s="12" t="s">
        <v>788</v>
      </c>
      <c r="D1102" s="12" t="s">
        <v>528</v>
      </c>
      <c r="E1102" s="89">
        <f t="shared" ca="1" si="106"/>
        <v>40951</v>
      </c>
      <c r="F1102" s="11">
        <f>DATE(69,8,1)</f>
        <v>25416</v>
      </c>
      <c r="G1102" s="12">
        <f t="shared" ca="1" si="102"/>
        <v>43</v>
      </c>
      <c r="H1102" s="12">
        <f t="shared" ca="1" si="103"/>
        <v>-6</v>
      </c>
      <c r="I1102" s="13">
        <f t="shared" ca="1" si="104"/>
        <v>11</v>
      </c>
      <c r="J1102" s="14">
        <f t="shared" ca="1" si="107"/>
        <v>42</v>
      </c>
      <c r="K1102" s="12" t="s">
        <v>40</v>
      </c>
      <c r="L1102" s="12">
        <v>86</v>
      </c>
      <c r="M1102" s="12" t="s">
        <v>40</v>
      </c>
      <c r="N1102" s="12">
        <v>233</v>
      </c>
    </row>
    <row r="1103" spans="1:15">
      <c r="A1103" s="12">
        <f t="shared" si="105"/>
        <v>1100</v>
      </c>
      <c r="B1103" s="12" t="s">
        <v>11</v>
      </c>
      <c r="C1103" s="12" t="s">
        <v>175</v>
      </c>
      <c r="D1103" s="12" t="s">
        <v>788</v>
      </c>
      <c r="E1103" s="89">
        <f t="shared" ca="1" si="106"/>
        <v>40951</v>
      </c>
      <c r="F1103" s="11">
        <f>DATE(75,5,7)</f>
        <v>27521</v>
      </c>
      <c r="G1103" s="12">
        <f t="shared" ca="1" si="102"/>
        <v>37</v>
      </c>
      <c r="H1103" s="12">
        <f t="shared" ca="1" si="103"/>
        <v>-3</v>
      </c>
      <c r="I1103" s="13">
        <f t="shared" ca="1" si="104"/>
        <v>5</v>
      </c>
      <c r="J1103" s="14">
        <f t="shared" ca="1" si="107"/>
        <v>36</v>
      </c>
      <c r="K1103" s="12" t="s">
        <v>41</v>
      </c>
      <c r="L1103" s="12">
        <v>86</v>
      </c>
      <c r="M1103" s="12" t="s">
        <v>40</v>
      </c>
      <c r="N1103" s="12">
        <v>233</v>
      </c>
    </row>
    <row r="1104" spans="1:15">
      <c r="A1104" s="12">
        <f t="shared" si="105"/>
        <v>1101</v>
      </c>
      <c r="B1104" s="12" t="s">
        <v>11</v>
      </c>
      <c r="C1104" s="12" t="s">
        <v>789</v>
      </c>
      <c r="D1104" s="12" t="s">
        <v>788</v>
      </c>
      <c r="E1104" s="89">
        <f t="shared" ca="1" si="106"/>
        <v>40951</v>
      </c>
      <c r="F1104" s="11">
        <f>DATE(99,3,13)</f>
        <v>36232</v>
      </c>
      <c r="G1104" s="12">
        <f t="shared" ca="1" si="102"/>
        <v>13</v>
      </c>
      <c r="H1104" s="12">
        <f t="shared" ca="1" si="103"/>
        <v>-1</v>
      </c>
      <c r="I1104" s="13">
        <f t="shared" ca="1" si="104"/>
        <v>-1</v>
      </c>
      <c r="J1104" s="14">
        <f t="shared" ca="1" si="107"/>
        <v>12</v>
      </c>
      <c r="K1104" s="12" t="s">
        <v>41</v>
      </c>
      <c r="L1104" s="12">
        <v>86</v>
      </c>
      <c r="M1104" s="12" t="s">
        <v>44</v>
      </c>
      <c r="N1104" s="12">
        <v>233</v>
      </c>
    </row>
    <row r="1105" spans="1:15">
      <c r="A1105" s="12">
        <f t="shared" si="105"/>
        <v>1102</v>
      </c>
      <c r="B1105" s="12" t="s">
        <v>11</v>
      </c>
      <c r="C1105" s="12" t="s">
        <v>790</v>
      </c>
      <c r="D1105" s="12" t="s">
        <v>791</v>
      </c>
      <c r="E1105" s="89">
        <f t="shared" ca="1" si="106"/>
        <v>40951</v>
      </c>
      <c r="F1105" s="32"/>
      <c r="G1105" s="12">
        <f t="shared" ca="1" si="102"/>
        <v>112</v>
      </c>
      <c r="H1105" s="12">
        <f t="shared" ca="1" si="103"/>
        <v>1</v>
      </c>
      <c r="I1105" s="13">
        <f t="shared" ca="1" si="104"/>
        <v>12</v>
      </c>
      <c r="J1105" s="14">
        <f t="shared" ca="1" si="107"/>
        <v>112</v>
      </c>
      <c r="K1105" s="12" t="s">
        <v>40</v>
      </c>
      <c r="L1105" s="12">
        <v>87</v>
      </c>
      <c r="M1105" s="12" t="s">
        <v>40</v>
      </c>
      <c r="N1105" s="12">
        <v>234</v>
      </c>
      <c r="O1105" s="90" t="s">
        <v>2748</v>
      </c>
    </row>
    <row r="1106" spans="1:15">
      <c r="A1106" s="12">
        <f t="shared" si="105"/>
        <v>1103</v>
      </c>
      <c r="B1106" s="12" t="s">
        <v>11</v>
      </c>
      <c r="C1106" s="12" t="s">
        <v>792</v>
      </c>
      <c r="D1106" s="12" t="s">
        <v>791</v>
      </c>
      <c r="E1106" s="89">
        <f t="shared" ca="1" si="106"/>
        <v>40951</v>
      </c>
      <c r="F1106" s="32"/>
      <c r="G1106" s="12">
        <f t="shared" ca="1" si="102"/>
        <v>112</v>
      </c>
      <c r="H1106" s="12">
        <f t="shared" ca="1" si="103"/>
        <v>1</v>
      </c>
      <c r="I1106" s="13">
        <f t="shared" ca="1" si="104"/>
        <v>12</v>
      </c>
      <c r="J1106" s="14">
        <f t="shared" ca="1" si="107"/>
        <v>112</v>
      </c>
      <c r="K1106" s="12" t="s">
        <v>41</v>
      </c>
      <c r="L1106" s="12">
        <v>87</v>
      </c>
      <c r="M1106" s="12" t="s">
        <v>40</v>
      </c>
      <c r="N1106" s="12">
        <v>234</v>
      </c>
    </row>
    <row r="1107" spans="1:15">
      <c r="A1107" s="12">
        <f t="shared" si="105"/>
        <v>1104</v>
      </c>
      <c r="B1107" s="12" t="s">
        <v>11</v>
      </c>
      <c r="C1107" s="12" t="s">
        <v>284</v>
      </c>
      <c r="D1107" s="12" t="s">
        <v>682</v>
      </c>
      <c r="E1107" s="89">
        <f t="shared" ca="1" si="106"/>
        <v>40951</v>
      </c>
      <c r="F1107" s="11">
        <f>DATE(59,10,20)</f>
        <v>21843</v>
      </c>
      <c r="G1107" s="12">
        <f t="shared" ca="1" si="102"/>
        <v>53</v>
      </c>
      <c r="H1107" s="12">
        <f t="shared" ca="1" si="103"/>
        <v>-8</v>
      </c>
      <c r="I1107" s="13">
        <f t="shared" ca="1" si="104"/>
        <v>-8</v>
      </c>
      <c r="J1107" s="14">
        <f t="shared" ca="1" si="107"/>
        <v>52</v>
      </c>
      <c r="K1107" s="12" t="s">
        <v>40</v>
      </c>
      <c r="L1107" s="12">
        <v>87</v>
      </c>
      <c r="M1107" s="12" t="s">
        <v>40</v>
      </c>
      <c r="N1107" s="12">
        <v>235</v>
      </c>
      <c r="O1107" s="90" t="s">
        <v>2748</v>
      </c>
    </row>
    <row r="1108" spans="1:15">
      <c r="A1108" s="12">
        <f t="shared" si="105"/>
        <v>1105</v>
      </c>
      <c r="B1108" s="12" t="s">
        <v>11</v>
      </c>
      <c r="C1108" s="12" t="s">
        <v>216</v>
      </c>
      <c r="D1108" s="12" t="s">
        <v>284</v>
      </c>
      <c r="E1108" s="89">
        <f t="shared" ca="1" si="106"/>
        <v>40951</v>
      </c>
      <c r="F1108" s="11">
        <f>DATE(63,8,17)</f>
        <v>23240</v>
      </c>
      <c r="G1108" s="12">
        <f t="shared" ca="1" si="102"/>
        <v>49</v>
      </c>
      <c r="H1108" s="12">
        <f t="shared" ca="1" si="103"/>
        <v>-6</v>
      </c>
      <c r="I1108" s="13">
        <f t="shared" ca="1" si="104"/>
        <v>-5</v>
      </c>
      <c r="J1108" s="14">
        <f t="shared" ca="1" si="107"/>
        <v>48</v>
      </c>
      <c r="K1108" s="12" t="s">
        <v>41</v>
      </c>
      <c r="L1108" s="12">
        <v>87</v>
      </c>
      <c r="M1108" s="12" t="s">
        <v>40</v>
      </c>
      <c r="N1108" s="12">
        <v>235</v>
      </c>
    </row>
    <row r="1109" spans="1:15">
      <c r="A1109" s="12">
        <f t="shared" si="105"/>
        <v>1106</v>
      </c>
      <c r="B1109" s="12" t="s">
        <v>11</v>
      </c>
      <c r="C1109" s="12" t="s">
        <v>793</v>
      </c>
      <c r="D1109" s="12" t="s">
        <v>284</v>
      </c>
      <c r="E1109" s="89">
        <f t="shared" ca="1" si="106"/>
        <v>40951</v>
      </c>
      <c r="F1109" s="11">
        <f>DATE(86,6,12)</f>
        <v>31575</v>
      </c>
      <c r="G1109" s="12">
        <f t="shared" ca="1" si="102"/>
        <v>26</v>
      </c>
      <c r="H1109" s="12">
        <f t="shared" ca="1" si="103"/>
        <v>-4</v>
      </c>
      <c r="I1109" s="13">
        <f t="shared" ca="1" si="104"/>
        <v>0</v>
      </c>
      <c r="J1109" s="14">
        <f t="shared" ca="1" si="107"/>
        <v>25</v>
      </c>
      <c r="K1109" s="12" t="s">
        <v>41</v>
      </c>
      <c r="L1109" s="12">
        <v>87</v>
      </c>
      <c r="M1109" s="12" t="s">
        <v>44</v>
      </c>
      <c r="N1109" s="12">
        <v>235</v>
      </c>
    </row>
    <row r="1110" spans="1:15">
      <c r="A1110" s="12">
        <f t="shared" si="105"/>
        <v>1107</v>
      </c>
      <c r="B1110" s="12" t="s">
        <v>11</v>
      </c>
      <c r="C1110" s="12" t="s">
        <v>794</v>
      </c>
      <c r="D1110" s="12" t="s">
        <v>284</v>
      </c>
      <c r="E1110" s="89">
        <f t="shared" ca="1" si="106"/>
        <v>40951</v>
      </c>
      <c r="F1110" s="11">
        <f>DATE(90,4,10)</f>
        <v>32973</v>
      </c>
      <c r="G1110" s="12">
        <f t="shared" ca="1" si="102"/>
        <v>22</v>
      </c>
      <c r="H1110" s="12">
        <f t="shared" ca="1" si="103"/>
        <v>-2</v>
      </c>
      <c r="I1110" s="13">
        <f t="shared" ca="1" si="104"/>
        <v>2</v>
      </c>
      <c r="J1110" s="14">
        <f t="shared" ca="1" si="107"/>
        <v>21</v>
      </c>
      <c r="K1110" s="12" t="s">
        <v>40</v>
      </c>
      <c r="L1110" s="12">
        <v>87</v>
      </c>
      <c r="M1110" s="12" t="s">
        <v>44</v>
      </c>
      <c r="N1110" s="12">
        <v>235</v>
      </c>
    </row>
    <row r="1111" spans="1:15">
      <c r="A1111" s="12">
        <f t="shared" si="105"/>
        <v>1108</v>
      </c>
      <c r="B1111" s="12" t="s">
        <v>11</v>
      </c>
      <c r="C1111" s="12" t="s">
        <v>795</v>
      </c>
      <c r="D1111" s="12" t="s">
        <v>606</v>
      </c>
      <c r="E1111" s="89">
        <f t="shared" ca="1" si="106"/>
        <v>40951</v>
      </c>
      <c r="F1111" s="32"/>
      <c r="G1111" s="12">
        <f t="shared" ca="1" si="102"/>
        <v>112</v>
      </c>
      <c r="H1111" s="12">
        <f t="shared" ca="1" si="103"/>
        <v>1</v>
      </c>
      <c r="I1111" s="13">
        <f t="shared" ca="1" si="104"/>
        <v>12</v>
      </c>
      <c r="J1111" s="14">
        <f t="shared" ca="1" si="107"/>
        <v>112</v>
      </c>
      <c r="K1111" s="12" t="s">
        <v>41</v>
      </c>
      <c r="L1111" s="12">
        <v>87</v>
      </c>
      <c r="M1111" s="12" t="s">
        <v>40</v>
      </c>
      <c r="N1111" s="12">
        <v>236</v>
      </c>
      <c r="O1111" s="90" t="s">
        <v>2748</v>
      </c>
    </row>
    <row r="1112" spans="1:15">
      <c r="A1112" s="12">
        <f t="shared" si="105"/>
        <v>1109</v>
      </c>
      <c r="B1112" s="12" t="s">
        <v>11</v>
      </c>
      <c r="C1112" s="12" t="s">
        <v>578</v>
      </c>
      <c r="D1112" s="12" t="s">
        <v>606</v>
      </c>
      <c r="E1112" s="89">
        <f t="shared" ca="1" si="106"/>
        <v>40951</v>
      </c>
      <c r="F1112" s="11">
        <f>DATE(48,2,24)</f>
        <v>17587</v>
      </c>
      <c r="G1112" s="12">
        <f t="shared" ca="1" si="102"/>
        <v>64</v>
      </c>
      <c r="H1112" s="12">
        <f t="shared" ca="1" si="103"/>
        <v>0</v>
      </c>
      <c r="I1112" s="13">
        <f t="shared" ca="1" si="104"/>
        <v>-12</v>
      </c>
      <c r="J1112" s="14">
        <f t="shared" ca="1" si="107"/>
        <v>63</v>
      </c>
      <c r="K1112" s="12" t="s">
        <v>41</v>
      </c>
      <c r="L1112" s="12">
        <v>87</v>
      </c>
      <c r="M1112" s="12" t="s">
        <v>44</v>
      </c>
      <c r="N1112" s="12">
        <v>236</v>
      </c>
    </row>
    <row r="1113" spans="1:15">
      <c r="A1113" s="12">
        <f t="shared" si="105"/>
        <v>1110</v>
      </c>
      <c r="B1113" s="12" t="s">
        <v>11</v>
      </c>
      <c r="C1113" s="12" t="s">
        <v>796</v>
      </c>
      <c r="D1113" s="12" t="s">
        <v>606</v>
      </c>
      <c r="E1113" s="89">
        <f t="shared" ca="1" si="106"/>
        <v>40951</v>
      </c>
      <c r="F1113" s="11">
        <f>DATE(50,4,4)</f>
        <v>18357</v>
      </c>
      <c r="G1113" s="12">
        <f t="shared" ca="1" si="102"/>
        <v>62</v>
      </c>
      <c r="H1113" s="12">
        <f t="shared" ca="1" si="103"/>
        <v>-2</v>
      </c>
      <c r="I1113" s="13">
        <f t="shared" ca="1" si="104"/>
        <v>8</v>
      </c>
      <c r="J1113" s="14">
        <f t="shared" ca="1" si="107"/>
        <v>61</v>
      </c>
      <c r="K1113" s="12" t="s">
        <v>41</v>
      </c>
      <c r="L1113" s="12">
        <v>87</v>
      </c>
      <c r="M1113" s="12" t="s">
        <v>44</v>
      </c>
      <c r="N1113" s="12">
        <v>236</v>
      </c>
    </row>
    <row r="1114" spans="1:15">
      <c r="A1114" s="12">
        <f t="shared" si="105"/>
        <v>1111</v>
      </c>
      <c r="B1114" s="12" t="s">
        <v>11</v>
      </c>
      <c r="C1114" s="12" t="s">
        <v>797</v>
      </c>
      <c r="D1114" s="12" t="s">
        <v>606</v>
      </c>
      <c r="E1114" s="89">
        <f t="shared" ca="1" si="106"/>
        <v>40951</v>
      </c>
      <c r="F1114" s="11">
        <f>DATE(43,7,24)</f>
        <v>15911</v>
      </c>
      <c r="G1114" s="12">
        <f t="shared" ref="G1114:G1177" ca="1" si="108">YEAR(E1114)-YEAR(F1114)</f>
        <v>69</v>
      </c>
      <c r="H1114" s="12">
        <f t="shared" ref="H1114:H1177" ca="1" si="109">MONTH(E1114)-MONTH(F1114)</f>
        <v>-5</v>
      </c>
      <c r="I1114" s="13">
        <f t="shared" ref="I1114:I1177" ca="1" si="110">DAY(E1114)-DAY(F1114)</f>
        <v>-12</v>
      </c>
      <c r="J1114" s="14">
        <f t="shared" ca="1" si="107"/>
        <v>68</v>
      </c>
      <c r="K1114" s="12" t="s">
        <v>40</v>
      </c>
      <c r="L1114" s="12">
        <v>87</v>
      </c>
      <c r="M1114" s="12" t="s">
        <v>40</v>
      </c>
      <c r="N1114" s="12">
        <v>237</v>
      </c>
      <c r="O1114" s="90" t="s">
        <v>2748</v>
      </c>
    </row>
    <row r="1115" spans="1:15">
      <c r="A1115" s="12">
        <f t="shared" si="105"/>
        <v>1112</v>
      </c>
      <c r="B1115" s="12" t="s">
        <v>11</v>
      </c>
      <c r="C1115" s="12" t="s">
        <v>798</v>
      </c>
      <c r="D1115" s="12" t="s">
        <v>797</v>
      </c>
      <c r="E1115" s="89">
        <f t="shared" ca="1" si="106"/>
        <v>40951</v>
      </c>
      <c r="F1115" s="11">
        <f>DATE(50,8,25)</f>
        <v>18500</v>
      </c>
      <c r="G1115" s="12">
        <f t="shared" ca="1" si="108"/>
        <v>62</v>
      </c>
      <c r="H1115" s="12">
        <f t="shared" ca="1" si="109"/>
        <v>-6</v>
      </c>
      <c r="I1115" s="13">
        <f t="shared" ca="1" si="110"/>
        <v>-13</v>
      </c>
      <c r="J1115" s="14">
        <f t="shared" ca="1" si="107"/>
        <v>61</v>
      </c>
      <c r="K1115" s="12" t="s">
        <v>41</v>
      </c>
      <c r="L1115" s="12">
        <v>87</v>
      </c>
      <c r="M1115" s="12" t="s">
        <v>40</v>
      </c>
      <c r="N1115" s="12">
        <v>237</v>
      </c>
    </row>
    <row r="1116" spans="1:15">
      <c r="A1116" s="12">
        <f t="shared" si="105"/>
        <v>1113</v>
      </c>
      <c r="B1116" s="12" t="s">
        <v>11</v>
      </c>
      <c r="C1116" s="12" t="s">
        <v>118</v>
      </c>
      <c r="D1116" s="12" t="s">
        <v>797</v>
      </c>
      <c r="E1116" s="89">
        <f t="shared" ca="1" si="106"/>
        <v>40951</v>
      </c>
      <c r="F1116" s="11">
        <f>DATE(75,2,26)</f>
        <v>27451</v>
      </c>
      <c r="G1116" s="12">
        <f t="shared" ca="1" si="108"/>
        <v>37</v>
      </c>
      <c r="H1116" s="12">
        <f t="shared" ca="1" si="109"/>
        <v>0</v>
      </c>
      <c r="I1116" s="13">
        <f t="shared" ca="1" si="110"/>
        <v>-14</v>
      </c>
      <c r="J1116" s="14">
        <f t="shared" ca="1" si="107"/>
        <v>36</v>
      </c>
      <c r="K1116" s="12" t="s">
        <v>40</v>
      </c>
      <c r="L1116" s="12">
        <v>87</v>
      </c>
      <c r="M1116" s="12" t="s">
        <v>40</v>
      </c>
      <c r="N1116" s="12">
        <v>237</v>
      </c>
    </row>
    <row r="1117" spans="1:15">
      <c r="A1117" s="12">
        <f t="shared" si="105"/>
        <v>1114</v>
      </c>
      <c r="B1117" s="12" t="s">
        <v>11</v>
      </c>
      <c r="C1117" s="12" t="s">
        <v>302</v>
      </c>
      <c r="D1117" s="12" t="s">
        <v>118</v>
      </c>
      <c r="E1117" s="89">
        <f t="shared" ca="1" si="106"/>
        <v>40951</v>
      </c>
      <c r="F1117" s="11">
        <f>DATE(79,6,6)</f>
        <v>29012</v>
      </c>
      <c r="G1117" s="12">
        <f t="shared" ca="1" si="108"/>
        <v>33</v>
      </c>
      <c r="H1117" s="12">
        <f t="shared" ca="1" si="109"/>
        <v>-4</v>
      </c>
      <c r="I1117" s="13">
        <f t="shared" ca="1" si="110"/>
        <v>6</v>
      </c>
      <c r="J1117" s="14">
        <f t="shared" ca="1" si="107"/>
        <v>32</v>
      </c>
      <c r="K1117" s="12" t="s">
        <v>41</v>
      </c>
      <c r="L1117" s="12">
        <v>87</v>
      </c>
      <c r="M1117" s="12" t="s">
        <v>40</v>
      </c>
      <c r="N1117" s="12">
        <v>237</v>
      </c>
    </row>
    <row r="1118" spans="1:15">
      <c r="A1118" s="12">
        <f t="shared" ref="A1118:A1181" si="111">A1117+1</f>
        <v>1115</v>
      </c>
      <c r="B1118" s="12" t="s">
        <v>11</v>
      </c>
      <c r="C1118" s="12" t="s">
        <v>799</v>
      </c>
      <c r="D1118" s="12" t="s">
        <v>118</v>
      </c>
      <c r="E1118" s="89">
        <f t="shared" ca="1" si="106"/>
        <v>40951</v>
      </c>
      <c r="F1118" s="11">
        <f>DATE(2004,10,27)</f>
        <v>38287</v>
      </c>
      <c r="G1118" s="12">
        <f t="shared" ca="1" si="108"/>
        <v>8</v>
      </c>
      <c r="H1118" s="12">
        <f t="shared" ca="1" si="109"/>
        <v>-8</v>
      </c>
      <c r="I1118" s="13">
        <f t="shared" ca="1" si="110"/>
        <v>-15</v>
      </c>
      <c r="J1118" s="14">
        <f t="shared" ca="1" si="107"/>
        <v>7</v>
      </c>
      <c r="K1118" s="12" t="s">
        <v>40</v>
      </c>
      <c r="L1118" s="12">
        <v>87</v>
      </c>
      <c r="M1118" s="12" t="s">
        <v>44</v>
      </c>
      <c r="N1118" s="12">
        <v>237</v>
      </c>
    </row>
    <row r="1119" spans="1:15">
      <c r="A1119" s="12">
        <f t="shared" si="111"/>
        <v>1116</v>
      </c>
      <c r="B1119" s="12" t="s">
        <v>11</v>
      </c>
      <c r="C1119" s="12" t="s">
        <v>414</v>
      </c>
      <c r="D1119" s="12" t="s">
        <v>758</v>
      </c>
      <c r="E1119" s="89">
        <f t="shared" ca="1" si="106"/>
        <v>40951</v>
      </c>
      <c r="F1119" s="11">
        <f>DATE(61,9,1)</f>
        <v>22525</v>
      </c>
      <c r="G1119" s="12">
        <f t="shared" ca="1" si="108"/>
        <v>51</v>
      </c>
      <c r="H1119" s="12">
        <f t="shared" ca="1" si="109"/>
        <v>-7</v>
      </c>
      <c r="I1119" s="13">
        <f t="shared" ca="1" si="110"/>
        <v>11</v>
      </c>
      <c r="J1119" s="14">
        <f t="shared" ca="1" si="107"/>
        <v>50</v>
      </c>
      <c r="K1119" s="12" t="s">
        <v>40</v>
      </c>
      <c r="L1119" s="12">
        <v>88</v>
      </c>
      <c r="M1119" s="12" t="s">
        <v>40</v>
      </c>
      <c r="N1119" s="12">
        <v>238</v>
      </c>
      <c r="O1119" s="90" t="s">
        <v>2748</v>
      </c>
    </row>
    <row r="1120" spans="1:15">
      <c r="A1120" s="12">
        <f t="shared" si="111"/>
        <v>1117</v>
      </c>
      <c r="B1120" s="12" t="s">
        <v>11</v>
      </c>
      <c r="C1120" s="12" t="s">
        <v>800</v>
      </c>
      <c r="D1120" s="12" t="s">
        <v>414</v>
      </c>
      <c r="E1120" s="89">
        <f t="shared" ca="1" si="106"/>
        <v>40951</v>
      </c>
      <c r="F1120" s="11">
        <f>DATE(66,1,3)</f>
        <v>24110</v>
      </c>
      <c r="G1120" s="12">
        <f t="shared" ca="1" si="108"/>
        <v>46</v>
      </c>
      <c r="H1120" s="12">
        <f t="shared" ca="1" si="109"/>
        <v>1</v>
      </c>
      <c r="I1120" s="13">
        <f t="shared" ca="1" si="110"/>
        <v>9</v>
      </c>
      <c r="J1120" s="14">
        <f t="shared" ca="1" si="107"/>
        <v>46</v>
      </c>
      <c r="K1120" s="12" t="s">
        <v>41</v>
      </c>
      <c r="L1120" s="12">
        <v>88</v>
      </c>
      <c r="M1120" s="12" t="s">
        <v>40</v>
      </c>
      <c r="N1120" s="12">
        <v>238</v>
      </c>
    </row>
    <row r="1121" spans="1:15">
      <c r="A1121" s="12">
        <f t="shared" si="111"/>
        <v>1118</v>
      </c>
      <c r="B1121" s="12" t="s">
        <v>11</v>
      </c>
      <c r="C1121" s="12" t="s">
        <v>801</v>
      </c>
      <c r="D1121" s="12" t="s">
        <v>414</v>
      </c>
      <c r="E1121" s="89">
        <f t="shared" ca="1" si="106"/>
        <v>40951</v>
      </c>
      <c r="F1121" s="11">
        <f>DATE(97,12,12)</f>
        <v>35776</v>
      </c>
      <c r="G1121" s="12">
        <f t="shared" ca="1" si="108"/>
        <v>15</v>
      </c>
      <c r="H1121" s="12">
        <f t="shared" ca="1" si="109"/>
        <v>-10</v>
      </c>
      <c r="I1121" s="13">
        <f t="shared" ca="1" si="110"/>
        <v>0</v>
      </c>
      <c r="J1121" s="14">
        <f t="shared" ca="1" si="107"/>
        <v>14</v>
      </c>
      <c r="K1121" s="12" t="s">
        <v>41</v>
      </c>
      <c r="L1121" s="12">
        <v>88</v>
      </c>
      <c r="M1121" s="12" t="s">
        <v>44</v>
      </c>
      <c r="N1121" s="12">
        <v>238</v>
      </c>
    </row>
    <row r="1122" spans="1:15">
      <c r="A1122" s="12">
        <f t="shared" si="111"/>
        <v>1119</v>
      </c>
      <c r="B1122" s="12" t="s">
        <v>11</v>
      </c>
      <c r="C1122" s="12" t="s">
        <v>802</v>
      </c>
      <c r="D1122" s="12" t="s">
        <v>414</v>
      </c>
      <c r="E1122" s="89">
        <f t="shared" ca="1" si="106"/>
        <v>40951</v>
      </c>
      <c r="F1122" s="11">
        <f>DATE(2000,10,7)</f>
        <v>36806</v>
      </c>
      <c r="G1122" s="12">
        <f t="shared" ca="1" si="108"/>
        <v>12</v>
      </c>
      <c r="H1122" s="12">
        <f t="shared" ca="1" si="109"/>
        <v>-8</v>
      </c>
      <c r="I1122" s="13">
        <f t="shared" ca="1" si="110"/>
        <v>5</v>
      </c>
      <c r="J1122" s="14">
        <f t="shared" ca="1" si="107"/>
        <v>11</v>
      </c>
      <c r="K1122" s="12" t="s">
        <v>40</v>
      </c>
      <c r="L1122" s="12">
        <v>88</v>
      </c>
      <c r="M1122" s="12" t="s">
        <v>44</v>
      </c>
      <c r="N1122" s="12">
        <v>238</v>
      </c>
    </row>
    <row r="1123" spans="1:15">
      <c r="A1123" s="12">
        <f t="shared" si="111"/>
        <v>1120</v>
      </c>
      <c r="B1123" s="12" t="s">
        <v>11</v>
      </c>
      <c r="C1123" s="12" t="s">
        <v>803</v>
      </c>
      <c r="D1123" s="12" t="s">
        <v>758</v>
      </c>
      <c r="E1123" s="89">
        <f t="shared" ca="1" si="106"/>
        <v>40951</v>
      </c>
      <c r="F1123" s="32"/>
      <c r="G1123" s="12">
        <f t="shared" ca="1" si="108"/>
        <v>112</v>
      </c>
      <c r="H1123" s="12">
        <f t="shared" ca="1" si="109"/>
        <v>1</v>
      </c>
      <c r="I1123" s="13">
        <f t="shared" ca="1" si="110"/>
        <v>12</v>
      </c>
      <c r="J1123" s="14">
        <f t="shared" ca="1" si="107"/>
        <v>112</v>
      </c>
      <c r="K1123" s="12" t="s">
        <v>41</v>
      </c>
      <c r="L1123" s="12">
        <v>88</v>
      </c>
      <c r="M1123" s="12" t="s">
        <v>40</v>
      </c>
      <c r="N1123" s="12">
        <v>238</v>
      </c>
    </row>
    <row r="1124" spans="1:15">
      <c r="A1124" s="12">
        <f t="shared" si="111"/>
        <v>1121</v>
      </c>
      <c r="B1124" s="12" t="s">
        <v>11</v>
      </c>
      <c r="C1124" s="12" t="s">
        <v>229</v>
      </c>
      <c r="D1124" s="12" t="s">
        <v>267</v>
      </c>
      <c r="E1124" s="89">
        <f t="shared" ref="E1124:E1187" ca="1" si="112">TODAY()</f>
        <v>40951</v>
      </c>
      <c r="F1124" s="11">
        <f>DATE(74,10,6)</f>
        <v>27308</v>
      </c>
      <c r="G1124" s="12">
        <f t="shared" ca="1" si="108"/>
        <v>38</v>
      </c>
      <c r="H1124" s="12">
        <f t="shared" ca="1" si="109"/>
        <v>-8</v>
      </c>
      <c r="I1124" s="13">
        <f t="shared" ca="1" si="110"/>
        <v>6</v>
      </c>
      <c r="J1124" s="14">
        <f t="shared" ca="1" si="107"/>
        <v>37</v>
      </c>
      <c r="K1124" s="12" t="s">
        <v>40</v>
      </c>
      <c r="L1124" s="12">
        <v>88</v>
      </c>
      <c r="M1124" s="12" t="s">
        <v>40</v>
      </c>
      <c r="N1124" s="12">
        <v>239</v>
      </c>
      <c r="O1124" s="90" t="s">
        <v>2748</v>
      </c>
    </row>
    <row r="1125" spans="1:15">
      <c r="A1125" s="12">
        <f t="shared" si="111"/>
        <v>1122</v>
      </c>
      <c r="B1125" s="12" t="s">
        <v>11</v>
      </c>
      <c r="C1125" s="12" t="s">
        <v>804</v>
      </c>
      <c r="D1125" s="12" t="s">
        <v>229</v>
      </c>
      <c r="E1125" s="89">
        <f t="shared" ca="1" si="112"/>
        <v>40951</v>
      </c>
      <c r="F1125" s="11">
        <f>DATE(79,10,18)</f>
        <v>29146</v>
      </c>
      <c r="G1125" s="12">
        <f t="shared" ca="1" si="108"/>
        <v>33</v>
      </c>
      <c r="H1125" s="12">
        <f t="shared" ca="1" si="109"/>
        <v>-8</v>
      </c>
      <c r="I1125" s="13">
        <f t="shared" ca="1" si="110"/>
        <v>-6</v>
      </c>
      <c r="J1125" s="14">
        <f t="shared" ca="1" si="107"/>
        <v>32</v>
      </c>
      <c r="K1125" s="12" t="s">
        <v>41</v>
      </c>
      <c r="L1125" s="12">
        <v>88</v>
      </c>
      <c r="M1125" s="12" t="s">
        <v>40</v>
      </c>
      <c r="N1125" s="12">
        <v>239</v>
      </c>
    </row>
    <row r="1126" spans="1:15">
      <c r="A1126" s="12">
        <f t="shared" si="111"/>
        <v>1123</v>
      </c>
      <c r="B1126" s="12" t="s">
        <v>11</v>
      </c>
      <c r="C1126" s="12" t="s">
        <v>541</v>
      </c>
      <c r="D1126" s="12" t="s">
        <v>267</v>
      </c>
      <c r="E1126" s="89">
        <f t="shared" ca="1" si="112"/>
        <v>40951</v>
      </c>
      <c r="F1126" s="11">
        <f>DATE(76,5,22)</f>
        <v>27902</v>
      </c>
      <c r="G1126" s="12">
        <f t="shared" ca="1" si="108"/>
        <v>36</v>
      </c>
      <c r="H1126" s="12">
        <f t="shared" ca="1" si="109"/>
        <v>-3</v>
      </c>
      <c r="I1126" s="13">
        <f t="shared" ca="1" si="110"/>
        <v>-10</v>
      </c>
      <c r="J1126" s="14">
        <f t="shared" ca="1" si="107"/>
        <v>35</v>
      </c>
      <c r="K1126" s="12" t="s">
        <v>40</v>
      </c>
      <c r="L1126" s="12">
        <v>88</v>
      </c>
      <c r="M1126" s="12" t="s">
        <v>40</v>
      </c>
      <c r="N1126" s="12">
        <v>239</v>
      </c>
    </row>
    <row r="1127" spans="1:15">
      <c r="A1127" s="12">
        <f t="shared" si="111"/>
        <v>1124</v>
      </c>
      <c r="B1127" s="12" t="s">
        <v>11</v>
      </c>
      <c r="C1127" s="12" t="s">
        <v>805</v>
      </c>
      <c r="D1127" s="12" t="s">
        <v>541</v>
      </c>
      <c r="E1127" s="89">
        <f t="shared" ca="1" si="112"/>
        <v>40951</v>
      </c>
      <c r="F1127" s="11">
        <f>DATE(76,12,27)</f>
        <v>28121</v>
      </c>
      <c r="G1127" s="12">
        <f t="shared" ca="1" si="108"/>
        <v>36</v>
      </c>
      <c r="H1127" s="12">
        <f t="shared" ca="1" si="109"/>
        <v>-10</v>
      </c>
      <c r="I1127" s="13">
        <f t="shared" ca="1" si="110"/>
        <v>-15</v>
      </c>
      <c r="J1127" s="14">
        <f t="shared" ca="1" si="107"/>
        <v>35</v>
      </c>
      <c r="K1127" s="12" t="s">
        <v>41</v>
      </c>
      <c r="L1127" s="12">
        <v>88</v>
      </c>
      <c r="M1127" s="12" t="s">
        <v>40</v>
      </c>
      <c r="N1127" s="12">
        <v>239</v>
      </c>
    </row>
    <row r="1128" spans="1:15">
      <c r="A1128" s="12">
        <f t="shared" si="111"/>
        <v>1125</v>
      </c>
      <c r="B1128" s="12" t="s">
        <v>11</v>
      </c>
      <c r="C1128" s="12" t="s">
        <v>806</v>
      </c>
      <c r="D1128" s="12" t="s">
        <v>541</v>
      </c>
      <c r="E1128" s="89">
        <f t="shared" ca="1" si="112"/>
        <v>40951</v>
      </c>
      <c r="F1128" s="11">
        <f>DATE(2003,11,16)</f>
        <v>37941</v>
      </c>
      <c r="G1128" s="12">
        <f t="shared" ca="1" si="108"/>
        <v>9</v>
      </c>
      <c r="H1128" s="12">
        <f t="shared" ca="1" si="109"/>
        <v>-9</v>
      </c>
      <c r="I1128" s="13">
        <f t="shared" ca="1" si="110"/>
        <v>-4</v>
      </c>
      <c r="J1128" s="14">
        <f t="shared" ca="1" si="107"/>
        <v>8</v>
      </c>
      <c r="K1128" s="12" t="s">
        <v>41</v>
      </c>
      <c r="L1128" s="12">
        <v>88</v>
      </c>
      <c r="M1128" s="12" t="s">
        <v>44</v>
      </c>
      <c r="N1128" s="12">
        <v>239</v>
      </c>
    </row>
    <row r="1129" spans="1:15">
      <c r="A1129" s="12">
        <f t="shared" si="111"/>
        <v>1126</v>
      </c>
      <c r="B1129" s="12" t="s">
        <v>12</v>
      </c>
      <c r="C1129" s="12" t="s">
        <v>807</v>
      </c>
      <c r="D1129" s="12" t="s">
        <v>716</v>
      </c>
      <c r="E1129" s="89">
        <f t="shared" ca="1" si="112"/>
        <v>40951</v>
      </c>
      <c r="F1129" s="11">
        <f>DATE(54,12,21)</f>
        <v>20079</v>
      </c>
      <c r="G1129" s="12">
        <f t="shared" ca="1" si="108"/>
        <v>58</v>
      </c>
      <c r="H1129" s="12">
        <f t="shared" ca="1" si="109"/>
        <v>-10</v>
      </c>
      <c r="I1129" s="13">
        <f t="shared" ca="1" si="110"/>
        <v>-9</v>
      </c>
      <c r="J1129" s="14">
        <f t="shared" ca="1" si="107"/>
        <v>57</v>
      </c>
      <c r="K1129" s="12" t="s">
        <v>40</v>
      </c>
      <c r="L1129" s="12">
        <v>89</v>
      </c>
      <c r="M1129" s="12" t="s">
        <v>40</v>
      </c>
      <c r="N1129" s="12">
        <v>240</v>
      </c>
      <c r="O1129" s="90" t="s">
        <v>2748</v>
      </c>
    </row>
    <row r="1130" spans="1:15">
      <c r="A1130" s="12">
        <f t="shared" si="111"/>
        <v>1127</v>
      </c>
      <c r="B1130" s="12" t="s">
        <v>12</v>
      </c>
      <c r="C1130" s="12" t="s">
        <v>155</v>
      </c>
      <c r="D1130" s="12" t="s">
        <v>807</v>
      </c>
      <c r="E1130" s="89">
        <f t="shared" ca="1" si="112"/>
        <v>40951</v>
      </c>
      <c r="F1130" s="32"/>
      <c r="G1130" s="12">
        <f t="shared" ca="1" si="108"/>
        <v>112</v>
      </c>
      <c r="H1130" s="12">
        <f t="shared" ca="1" si="109"/>
        <v>1</v>
      </c>
      <c r="I1130" s="13">
        <f t="shared" ca="1" si="110"/>
        <v>12</v>
      </c>
      <c r="J1130" s="14">
        <f t="shared" ca="1" si="107"/>
        <v>112</v>
      </c>
      <c r="K1130" s="12" t="s">
        <v>41</v>
      </c>
      <c r="L1130" s="12">
        <v>89</v>
      </c>
      <c r="M1130" s="12" t="s">
        <v>40</v>
      </c>
      <c r="N1130" s="12">
        <v>240</v>
      </c>
    </row>
    <row r="1131" spans="1:15">
      <c r="A1131" s="12">
        <f t="shared" si="111"/>
        <v>1128</v>
      </c>
      <c r="B1131" s="12" t="s">
        <v>12</v>
      </c>
      <c r="C1131" s="12" t="s">
        <v>808</v>
      </c>
      <c r="D1131" s="12" t="s">
        <v>807</v>
      </c>
      <c r="E1131" s="89">
        <f t="shared" ca="1" si="112"/>
        <v>40951</v>
      </c>
      <c r="F1131" s="11">
        <f>DATE(84,3,31)</f>
        <v>30772</v>
      </c>
      <c r="G1131" s="12">
        <f t="shared" ca="1" si="108"/>
        <v>28</v>
      </c>
      <c r="H1131" s="12">
        <f t="shared" ca="1" si="109"/>
        <v>-1</v>
      </c>
      <c r="I1131" s="13">
        <f t="shared" ca="1" si="110"/>
        <v>-19</v>
      </c>
      <c r="J1131" s="14">
        <f t="shared" ca="1" si="107"/>
        <v>27</v>
      </c>
      <c r="K1131" s="12" t="s">
        <v>40</v>
      </c>
      <c r="L1131" s="12">
        <v>89</v>
      </c>
      <c r="M1131" s="12" t="s">
        <v>44</v>
      </c>
      <c r="N1131" s="12">
        <v>240</v>
      </c>
    </row>
    <row r="1132" spans="1:15">
      <c r="A1132" s="12">
        <f t="shared" si="111"/>
        <v>1129</v>
      </c>
      <c r="B1132" s="12" t="s">
        <v>12</v>
      </c>
      <c r="C1132" s="12" t="s">
        <v>722</v>
      </c>
      <c r="D1132" s="12" t="s">
        <v>807</v>
      </c>
      <c r="E1132" s="89">
        <f t="shared" ca="1" si="112"/>
        <v>40951</v>
      </c>
      <c r="F1132" s="11">
        <f>DATE(96,3,28)</f>
        <v>35152</v>
      </c>
      <c r="G1132" s="12">
        <f t="shared" ca="1" si="108"/>
        <v>16</v>
      </c>
      <c r="H1132" s="12">
        <f t="shared" ca="1" si="109"/>
        <v>-1</v>
      </c>
      <c r="I1132" s="13">
        <f t="shared" ca="1" si="110"/>
        <v>-16</v>
      </c>
      <c r="J1132" s="14">
        <f t="shared" ca="1" si="107"/>
        <v>15</v>
      </c>
      <c r="K1132" s="12" t="s">
        <v>41</v>
      </c>
      <c r="L1132" s="12">
        <v>89</v>
      </c>
      <c r="M1132" s="12" t="s">
        <v>44</v>
      </c>
      <c r="N1132" s="12">
        <v>240</v>
      </c>
    </row>
    <row r="1133" spans="1:15">
      <c r="A1133" s="12">
        <f t="shared" si="111"/>
        <v>1130</v>
      </c>
      <c r="B1133" s="12" t="s">
        <v>12</v>
      </c>
      <c r="C1133" s="12" t="s">
        <v>809</v>
      </c>
      <c r="D1133" s="12" t="s">
        <v>70</v>
      </c>
      <c r="E1133" s="89">
        <f t="shared" ca="1" si="112"/>
        <v>40951</v>
      </c>
      <c r="F1133" s="11">
        <f>DATE(62,9,23)</f>
        <v>22912</v>
      </c>
      <c r="G1133" s="12">
        <f t="shared" ca="1" si="108"/>
        <v>50</v>
      </c>
      <c r="H1133" s="12">
        <f t="shared" ca="1" si="109"/>
        <v>-7</v>
      </c>
      <c r="I1133" s="13">
        <f t="shared" ca="1" si="110"/>
        <v>-11</v>
      </c>
      <c r="J1133" s="14">
        <f t="shared" ca="1" si="107"/>
        <v>49</v>
      </c>
      <c r="K1133" s="12" t="s">
        <v>40</v>
      </c>
      <c r="L1133" s="12">
        <v>89</v>
      </c>
      <c r="M1133" s="12" t="s">
        <v>40</v>
      </c>
      <c r="N1133" s="12">
        <v>241</v>
      </c>
      <c r="O1133" s="90" t="s">
        <v>2748</v>
      </c>
    </row>
    <row r="1134" spans="1:15">
      <c r="A1134" s="12">
        <f t="shared" si="111"/>
        <v>1131</v>
      </c>
      <c r="B1134" s="12" t="s">
        <v>12</v>
      </c>
      <c r="C1134" s="12" t="s">
        <v>810</v>
      </c>
      <c r="D1134" s="12" t="s">
        <v>809</v>
      </c>
      <c r="E1134" s="89">
        <f t="shared" ca="1" si="112"/>
        <v>40951</v>
      </c>
      <c r="F1134" s="11">
        <f>DATE(65,7,22)</f>
        <v>23945</v>
      </c>
      <c r="G1134" s="12">
        <f t="shared" ca="1" si="108"/>
        <v>47</v>
      </c>
      <c r="H1134" s="12">
        <f t="shared" ca="1" si="109"/>
        <v>-5</v>
      </c>
      <c r="I1134" s="13">
        <f t="shared" ca="1" si="110"/>
        <v>-10</v>
      </c>
      <c r="J1134" s="14">
        <f t="shared" ca="1" si="107"/>
        <v>46</v>
      </c>
      <c r="K1134" s="12" t="s">
        <v>41</v>
      </c>
      <c r="L1134" s="12">
        <v>89</v>
      </c>
      <c r="M1134" s="12" t="s">
        <v>40</v>
      </c>
      <c r="N1134" s="12">
        <v>241</v>
      </c>
    </row>
    <row r="1135" spans="1:15">
      <c r="A1135" s="12">
        <f t="shared" si="111"/>
        <v>1132</v>
      </c>
      <c r="B1135" s="12" t="s">
        <v>12</v>
      </c>
      <c r="C1135" s="12" t="s">
        <v>811</v>
      </c>
      <c r="D1135" s="12" t="s">
        <v>809</v>
      </c>
      <c r="E1135" s="89">
        <f t="shared" ca="1" si="112"/>
        <v>40951</v>
      </c>
      <c r="F1135" s="11">
        <f>DATE(90,10,31)</f>
        <v>33177</v>
      </c>
      <c r="G1135" s="12">
        <f t="shared" ca="1" si="108"/>
        <v>22</v>
      </c>
      <c r="H1135" s="12">
        <f t="shared" ca="1" si="109"/>
        <v>-8</v>
      </c>
      <c r="I1135" s="13">
        <f t="shared" ca="1" si="110"/>
        <v>-19</v>
      </c>
      <c r="J1135" s="14">
        <f t="shared" ca="1" si="107"/>
        <v>21</v>
      </c>
      <c r="K1135" s="12" t="s">
        <v>40</v>
      </c>
      <c r="L1135" s="12">
        <v>89</v>
      </c>
      <c r="M1135" s="12" t="s">
        <v>44</v>
      </c>
      <c r="N1135" s="12">
        <v>241</v>
      </c>
    </row>
    <row r="1136" spans="1:15">
      <c r="A1136" s="12">
        <f t="shared" si="111"/>
        <v>1133</v>
      </c>
      <c r="B1136" s="12" t="s">
        <v>12</v>
      </c>
      <c r="C1136" s="12" t="s">
        <v>812</v>
      </c>
      <c r="D1136" s="12" t="s">
        <v>809</v>
      </c>
      <c r="E1136" s="89">
        <f t="shared" ca="1" si="112"/>
        <v>40951</v>
      </c>
      <c r="F1136" s="11">
        <f>DATE(96,11,13)</f>
        <v>35382</v>
      </c>
      <c r="G1136" s="12">
        <f t="shared" ca="1" si="108"/>
        <v>16</v>
      </c>
      <c r="H1136" s="12">
        <f t="shared" ca="1" si="109"/>
        <v>-9</v>
      </c>
      <c r="I1136" s="13">
        <f t="shared" ca="1" si="110"/>
        <v>-1</v>
      </c>
      <c r="J1136" s="14">
        <f t="shared" ca="1" si="107"/>
        <v>15</v>
      </c>
      <c r="K1136" s="12" t="s">
        <v>40</v>
      </c>
      <c r="L1136" s="12">
        <v>89</v>
      </c>
      <c r="M1136" s="12" t="s">
        <v>44</v>
      </c>
      <c r="N1136" s="12">
        <v>241</v>
      </c>
    </row>
    <row r="1137" spans="1:15">
      <c r="A1137" s="12">
        <f t="shared" si="111"/>
        <v>1134</v>
      </c>
      <c r="B1137" s="12" t="s">
        <v>12</v>
      </c>
      <c r="C1137" s="12" t="s">
        <v>55</v>
      </c>
      <c r="D1137" s="12" t="s">
        <v>716</v>
      </c>
      <c r="E1137" s="89">
        <f t="shared" ca="1" si="112"/>
        <v>40951</v>
      </c>
      <c r="F1137" s="32"/>
      <c r="G1137" s="12">
        <f t="shared" ca="1" si="108"/>
        <v>112</v>
      </c>
      <c r="H1137" s="12">
        <f t="shared" ca="1" si="109"/>
        <v>1</v>
      </c>
      <c r="I1137" s="13">
        <f t="shared" ca="1" si="110"/>
        <v>12</v>
      </c>
      <c r="J1137" s="14">
        <f t="shared" ca="1" si="107"/>
        <v>112</v>
      </c>
      <c r="K1137" s="12" t="s">
        <v>40</v>
      </c>
      <c r="L1137" s="12">
        <v>89</v>
      </c>
      <c r="M1137" s="12" t="s">
        <v>40</v>
      </c>
      <c r="N1137" s="12">
        <v>242</v>
      </c>
      <c r="O1137" s="90" t="s">
        <v>2748</v>
      </c>
    </row>
    <row r="1138" spans="1:15">
      <c r="A1138" s="12">
        <f t="shared" si="111"/>
        <v>1135</v>
      </c>
      <c r="B1138" s="12" t="s">
        <v>12</v>
      </c>
      <c r="C1138" s="12" t="s">
        <v>813</v>
      </c>
      <c r="D1138" s="12" t="s">
        <v>55</v>
      </c>
      <c r="E1138" s="89">
        <f t="shared" ca="1" si="112"/>
        <v>40951</v>
      </c>
      <c r="F1138" s="32"/>
      <c r="G1138" s="12">
        <f t="shared" ca="1" si="108"/>
        <v>112</v>
      </c>
      <c r="H1138" s="12">
        <f t="shared" ca="1" si="109"/>
        <v>1</v>
      </c>
      <c r="I1138" s="13">
        <f t="shared" ca="1" si="110"/>
        <v>12</v>
      </c>
      <c r="J1138" s="14">
        <f t="shared" ca="1" si="107"/>
        <v>112</v>
      </c>
      <c r="K1138" s="12" t="s">
        <v>41</v>
      </c>
      <c r="L1138" s="12">
        <v>89</v>
      </c>
      <c r="M1138" s="12" t="s">
        <v>40</v>
      </c>
      <c r="N1138" s="12">
        <v>242</v>
      </c>
    </row>
    <row r="1139" spans="1:15">
      <c r="A1139" s="12">
        <f t="shared" si="111"/>
        <v>1136</v>
      </c>
      <c r="B1139" s="12" t="s">
        <v>12</v>
      </c>
      <c r="C1139" s="12" t="s">
        <v>652</v>
      </c>
      <c r="D1139" s="12" t="s">
        <v>55</v>
      </c>
      <c r="E1139" s="89">
        <f t="shared" ca="1" si="112"/>
        <v>40951</v>
      </c>
      <c r="F1139" s="11">
        <f>DATE(75,5,4)</f>
        <v>27518</v>
      </c>
      <c r="G1139" s="12">
        <f t="shared" ca="1" si="108"/>
        <v>37</v>
      </c>
      <c r="H1139" s="12">
        <f t="shared" ca="1" si="109"/>
        <v>-3</v>
      </c>
      <c r="I1139" s="13">
        <f t="shared" ca="1" si="110"/>
        <v>8</v>
      </c>
      <c r="J1139" s="14">
        <f t="shared" ca="1" si="107"/>
        <v>36</v>
      </c>
      <c r="K1139" s="12" t="s">
        <v>40</v>
      </c>
      <c r="L1139" s="12">
        <v>89</v>
      </c>
      <c r="M1139" s="12" t="s">
        <v>40</v>
      </c>
      <c r="N1139" s="12">
        <v>242</v>
      </c>
    </row>
    <row r="1140" spans="1:15">
      <c r="A1140" s="12">
        <f t="shared" si="111"/>
        <v>1137</v>
      </c>
      <c r="B1140" s="12" t="s">
        <v>12</v>
      </c>
      <c r="C1140" s="12" t="s">
        <v>565</v>
      </c>
      <c r="D1140" s="12" t="s">
        <v>652</v>
      </c>
      <c r="E1140" s="89">
        <f t="shared" ca="1" si="112"/>
        <v>40951</v>
      </c>
      <c r="F1140" s="11">
        <f>DATE(80,11,19)</f>
        <v>29544</v>
      </c>
      <c r="G1140" s="12">
        <f t="shared" ca="1" si="108"/>
        <v>32</v>
      </c>
      <c r="H1140" s="12">
        <f t="shared" ca="1" si="109"/>
        <v>-9</v>
      </c>
      <c r="I1140" s="13">
        <f t="shared" ca="1" si="110"/>
        <v>-7</v>
      </c>
      <c r="J1140" s="14">
        <f t="shared" ca="1" si="107"/>
        <v>31</v>
      </c>
      <c r="K1140" s="12" t="s">
        <v>41</v>
      </c>
      <c r="L1140" s="12">
        <v>89</v>
      </c>
      <c r="M1140" s="12" t="s">
        <v>40</v>
      </c>
      <c r="N1140" s="12">
        <v>242</v>
      </c>
    </row>
    <row r="1141" spans="1:15">
      <c r="A1141" s="12">
        <f t="shared" si="111"/>
        <v>1138</v>
      </c>
      <c r="B1141" s="12" t="s">
        <v>12</v>
      </c>
      <c r="C1141" s="12" t="s">
        <v>710</v>
      </c>
      <c r="D1141" s="12" t="s">
        <v>652</v>
      </c>
      <c r="E1141" s="89">
        <f t="shared" ca="1" si="112"/>
        <v>40951</v>
      </c>
      <c r="F1141" s="11">
        <f>DATE(2004,6,15)</f>
        <v>38153</v>
      </c>
      <c r="G1141" s="12">
        <f t="shared" ca="1" si="108"/>
        <v>8</v>
      </c>
      <c r="H1141" s="12">
        <f t="shared" ca="1" si="109"/>
        <v>-4</v>
      </c>
      <c r="I1141" s="13">
        <f t="shared" ca="1" si="110"/>
        <v>-3</v>
      </c>
      <c r="J1141" s="14">
        <f t="shared" ca="1" si="107"/>
        <v>7</v>
      </c>
      <c r="K1141" s="12" t="s">
        <v>41</v>
      </c>
      <c r="L1141" s="12">
        <v>89</v>
      </c>
      <c r="M1141" s="12" t="s">
        <v>44</v>
      </c>
      <c r="N1141" s="12">
        <v>242</v>
      </c>
    </row>
    <row r="1142" spans="1:15">
      <c r="A1142" s="12">
        <f t="shared" si="111"/>
        <v>1139</v>
      </c>
      <c r="B1142" s="12" t="s">
        <v>12</v>
      </c>
      <c r="C1142" s="12" t="s">
        <v>814</v>
      </c>
      <c r="D1142" s="12" t="s">
        <v>652</v>
      </c>
      <c r="E1142" s="89">
        <f t="shared" ca="1" si="112"/>
        <v>40951</v>
      </c>
      <c r="F1142" s="11">
        <f>DATE(2006,10,4)</f>
        <v>38994</v>
      </c>
      <c r="G1142" s="12">
        <f t="shared" ca="1" si="108"/>
        <v>6</v>
      </c>
      <c r="H1142" s="12">
        <f t="shared" ca="1" si="109"/>
        <v>-8</v>
      </c>
      <c r="I1142" s="13">
        <f t="shared" ca="1" si="110"/>
        <v>8</v>
      </c>
      <c r="J1142" s="14">
        <f t="shared" ca="1" si="107"/>
        <v>5</v>
      </c>
      <c r="K1142" s="12" t="s">
        <v>40</v>
      </c>
      <c r="L1142" s="12">
        <v>89</v>
      </c>
      <c r="M1142" s="12" t="s">
        <v>44</v>
      </c>
      <c r="N1142" s="12">
        <v>242</v>
      </c>
    </row>
    <row r="1143" spans="1:15">
      <c r="A1143" s="12">
        <f t="shared" si="111"/>
        <v>1140</v>
      </c>
      <c r="B1143" s="12" t="s">
        <v>12</v>
      </c>
      <c r="C1143" s="12" t="s">
        <v>815</v>
      </c>
      <c r="D1143" s="12" t="s">
        <v>816</v>
      </c>
      <c r="E1143" s="89">
        <f t="shared" ca="1" si="112"/>
        <v>40951</v>
      </c>
      <c r="F1143" s="32"/>
      <c r="G1143" s="12">
        <f t="shared" ca="1" si="108"/>
        <v>112</v>
      </c>
      <c r="H1143" s="12">
        <f t="shared" ca="1" si="109"/>
        <v>1</v>
      </c>
      <c r="I1143" s="13">
        <f t="shared" ca="1" si="110"/>
        <v>12</v>
      </c>
      <c r="J1143" s="14">
        <f t="shared" ca="1" si="107"/>
        <v>112</v>
      </c>
      <c r="K1143" s="12" t="s">
        <v>40</v>
      </c>
      <c r="L1143" s="12">
        <v>89</v>
      </c>
      <c r="M1143" s="12" t="s">
        <v>40</v>
      </c>
      <c r="N1143" s="12">
        <v>242</v>
      </c>
    </row>
    <row r="1144" spans="1:15">
      <c r="A1144" s="12">
        <f t="shared" si="111"/>
        <v>1141</v>
      </c>
      <c r="B1144" s="12" t="s">
        <v>12</v>
      </c>
      <c r="C1144" s="12" t="s">
        <v>817</v>
      </c>
      <c r="D1144" s="12" t="s">
        <v>716</v>
      </c>
      <c r="E1144" s="89">
        <f t="shared" ca="1" si="112"/>
        <v>40951</v>
      </c>
      <c r="F1144" s="11">
        <f>DATE(53,3,2)</f>
        <v>19420</v>
      </c>
      <c r="G1144" s="12">
        <f t="shared" ca="1" si="108"/>
        <v>59</v>
      </c>
      <c r="H1144" s="12">
        <f t="shared" ca="1" si="109"/>
        <v>-1</v>
      </c>
      <c r="I1144" s="13">
        <f t="shared" ca="1" si="110"/>
        <v>10</v>
      </c>
      <c r="J1144" s="14">
        <f t="shared" ca="1" si="107"/>
        <v>58</v>
      </c>
      <c r="K1144" s="12" t="s">
        <v>40</v>
      </c>
      <c r="L1144" s="12">
        <v>90</v>
      </c>
      <c r="M1144" s="12" t="s">
        <v>40</v>
      </c>
      <c r="N1144" s="12">
        <v>243</v>
      </c>
      <c r="O1144" s="90" t="s">
        <v>2748</v>
      </c>
    </row>
    <row r="1145" spans="1:15">
      <c r="A1145" s="12">
        <f t="shared" si="111"/>
        <v>1142</v>
      </c>
      <c r="B1145" s="12" t="s">
        <v>12</v>
      </c>
      <c r="C1145" s="12" t="s">
        <v>115</v>
      </c>
      <c r="D1145" s="12" t="s">
        <v>817</v>
      </c>
      <c r="E1145" s="89">
        <f t="shared" ca="1" si="112"/>
        <v>40951</v>
      </c>
      <c r="F1145" s="11">
        <f>DATE(58,9,9)</f>
        <v>21437</v>
      </c>
      <c r="G1145" s="12">
        <f t="shared" ca="1" si="108"/>
        <v>54</v>
      </c>
      <c r="H1145" s="12">
        <f t="shared" ca="1" si="109"/>
        <v>-7</v>
      </c>
      <c r="I1145" s="13">
        <f t="shared" ca="1" si="110"/>
        <v>3</v>
      </c>
      <c r="J1145" s="14">
        <f t="shared" ca="1" si="107"/>
        <v>53</v>
      </c>
      <c r="K1145" s="12" t="s">
        <v>41</v>
      </c>
      <c r="L1145" s="12">
        <v>90</v>
      </c>
      <c r="M1145" s="12" t="s">
        <v>40</v>
      </c>
      <c r="N1145" s="12">
        <v>243</v>
      </c>
    </row>
    <row r="1146" spans="1:15">
      <c r="A1146" s="12">
        <f t="shared" si="111"/>
        <v>1143</v>
      </c>
      <c r="B1146" s="12" t="s">
        <v>12</v>
      </c>
      <c r="C1146" s="12" t="s">
        <v>818</v>
      </c>
      <c r="D1146" s="12" t="s">
        <v>817</v>
      </c>
      <c r="E1146" s="89">
        <f t="shared" ca="1" si="112"/>
        <v>40951</v>
      </c>
      <c r="F1146" s="11">
        <f>DATE(84,5,8)</f>
        <v>30810</v>
      </c>
      <c r="G1146" s="12">
        <f t="shared" ca="1" si="108"/>
        <v>28</v>
      </c>
      <c r="H1146" s="12">
        <f t="shared" ca="1" si="109"/>
        <v>-3</v>
      </c>
      <c r="I1146" s="13">
        <f t="shared" ca="1" si="110"/>
        <v>4</v>
      </c>
      <c r="J1146" s="14">
        <f t="shared" ca="1" si="107"/>
        <v>27</v>
      </c>
      <c r="K1146" s="12" t="s">
        <v>41</v>
      </c>
      <c r="L1146" s="12">
        <v>90</v>
      </c>
      <c r="M1146" s="12" t="s">
        <v>44</v>
      </c>
      <c r="N1146" s="12">
        <v>243</v>
      </c>
    </row>
    <row r="1147" spans="1:15">
      <c r="A1147" s="12">
        <f t="shared" si="111"/>
        <v>1144</v>
      </c>
      <c r="B1147" s="12" t="s">
        <v>12</v>
      </c>
      <c r="C1147" s="12" t="s">
        <v>819</v>
      </c>
      <c r="D1147" s="12" t="s">
        <v>817</v>
      </c>
      <c r="E1147" s="89">
        <f t="shared" ca="1" si="112"/>
        <v>40951</v>
      </c>
      <c r="F1147" s="11">
        <f>DATE(81,2,27)</f>
        <v>29644</v>
      </c>
      <c r="G1147" s="12">
        <f t="shared" ca="1" si="108"/>
        <v>31</v>
      </c>
      <c r="H1147" s="12">
        <f t="shared" ca="1" si="109"/>
        <v>0</v>
      </c>
      <c r="I1147" s="13">
        <f t="shared" ca="1" si="110"/>
        <v>-15</v>
      </c>
      <c r="J1147" s="14">
        <f t="shared" ca="1" si="107"/>
        <v>30</v>
      </c>
      <c r="K1147" s="12" t="s">
        <v>40</v>
      </c>
      <c r="L1147" s="12">
        <v>90</v>
      </c>
      <c r="M1147" s="12" t="s">
        <v>40</v>
      </c>
      <c r="N1147" s="12">
        <v>243</v>
      </c>
    </row>
    <row r="1148" spans="1:15">
      <c r="A1148" s="12">
        <f t="shared" si="111"/>
        <v>1145</v>
      </c>
      <c r="B1148" s="12" t="s">
        <v>12</v>
      </c>
      <c r="C1148" s="12" t="s">
        <v>716</v>
      </c>
      <c r="E1148" s="89">
        <f t="shared" ca="1" si="112"/>
        <v>40951</v>
      </c>
      <c r="F1148" s="32"/>
      <c r="G1148" s="12">
        <f t="shared" ca="1" si="108"/>
        <v>112</v>
      </c>
      <c r="H1148" s="12">
        <f t="shared" ca="1" si="109"/>
        <v>1</v>
      </c>
      <c r="I1148" s="13">
        <f t="shared" ca="1" si="110"/>
        <v>12</v>
      </c>
      <c r="J1148" s="14">
        <f t="shared" ca="1" si="107"/>
        <v>112</v>
      </c>
      <c r="K1148" s="12" t="s">
        <v>40</v>
      </c>
      <c r="L1148" s="12">
        <v>90</v>
      </c>
      <c r="M1148" s="12" t="s">
        <v>40</v>
      </c>
      <c r="N1148" s="12">
        <v>243</v>
      </c>
    </row>
    <row r="1149" spans="1:15">
      <c r="A1149" s="12">
        <f t="shared" si="111"/>
        <v>1146</v>
      </c>
      <c r="B1149" s="12" t="s">
        <v>12</v>
      </c>
      <c r="C1149" s="12" t="s">
        <v>249</v>
      </c>
      <c r="D1149" s="12" t="s">
        <v>70</v>
      </c>
      <c r="E1149" s="89">
        <f t="shared" ca="1" si="112"/>
        <v>40951</v>
      </c>
      <c r="F1149" s="11">
        <f>DATE(49,11,23)</f>
        <v>18225</v>
      </c>
      <c r="G1149" s="12">
        <f t="shared" ca="1" si="108"/>
        <v>63</v>
      </c>
      <c r="H1149" s="12">
        <f t="shared" ca="1" si="109"/>
        <v>-9</v>
      </c>
      <c r="I1149" s="13">
        <f t="shared" ca="1" si="110"/>
        <v>-11</v>
      </c>
      <c r="J1149" s="14">
        <f t="shared" ca="1" si="107"/>
        <v>62</v>
      </c>
      <c r="K1149" s="12" t="s">
        <v>40</v>
      </c>
      <c r="L1149" s="12">
        <v>90</v>
      </c>
      <c r="M1149" s="12" t="s">
        <v>40</v>
      </c>
      <c r="N1149" s="12">
        <v>244</v>
      </c>
      <c r="O1149" s="90" t="s">
        <v>2748</v>
      </c>
    </row>
    <row r="1150" spans="1:15">
      <c r="A1150" s="12">
        <f t="shared" si="111"/>
        <v>1147</v>
      </c>
      <c r="B1150" s="12" t="s">
        <v>12</v>
      </c>
      <c r="C1150" s="12" t="s">
        <v>615</v>
      </c>
      <c r="D1150" s="12" t="s">
        <v>249</v>
      </c>
      <c r="E1150" s="89">
        <f t="shared" ca="1" si="112"/>
        <v>40951</v>
      </c>
      <c r="F1150" s="11">
        <f>DATE(54,11,6)</f>
        <v>20034</v>
      </c>
      <c r="G1150" s="12">
        <f t="shared" ca="1" si="108"/>
        <v>58</v>
      </c>
      <c r="H1150" s="12">
        <f t="shared" ca="1" si="109"/>
        <v>-9</v>
      </c>
      <c r="I1150" s="13">
        <f t="shared" ca="1" si="110"/>
        <v>6</v>
      </c>
      <c r="J1150" s="14">
        <f t="shared" ca="1" si="107"/>
        <v>57</v>
      </c>
      <c r="K1150" s="12" t="s">
        <v>41</v>
      </c>
      <c r="L1150" s="12">
        <v>90</v>
      </c>
      <c r="M1150" s="12" t="s">
        <v>40</v>
      </c>
      <c r="N1150" s="12">
        <v>244</v>
      </c>
    </row>
    <row r="1151" spans="1:15">
      <c r="A1151" s="12">
        <f t="shared" si="111"/>
        <v>1148</v>
      </c>
      <c r="B1151" s="12" t="s">
        <v>12</v>
      </c>
      <c r="C1151" s="12" t="s">
        <v>820</v>
      </c>
      <c r="D1151" s="12" t="s">
        <v>249</v>
      </c>
      <c r="E1151" s="89">
        <f t="shared" ca="1" si="112"/>
        <v>40951</v>
      </c>
      <c r="F1151" s="11">
        <f>DATE(89,9,26)</f>
        <v>32777</v>
      </c>
      <c r="G1151" s="12">
        <f t="shared" ca="1" si="108"/>
        <v>23</v>
      </c>
      <c r="H1151" s="12">
        <f t="shared" ca="1" si="109"/>
        <v>-7</v>
      </c>
      <c r="I1151" s="13">
        <f t="shared" ca="1" si="110"/>
        <v>-14</v>
      </c>
      <c r="J1151" s="14">
        <f t="shared" ca="1" si="107"/>
        <v>22</v>
      </c>
      <c r="K1151" s="12" t="s">
        <v>40</v>
      </c>
      <c r="L1151" s="12">
        <v>90</v>
      </c>
      <c r="M1151" s="12" t="s">
        <v>44</v>
      </c>
      <c r="N1151" s="12">
        <v>244</v>
      </c>
    </row>
    <row r="1152" spans="1:15">
      <c r="A1152" s="12">
        <f t="shared" si="111"/>
        <v>1149</v>
      </c>
      <c r="B1152" s="12" t="s">
        <v>12</v>
      </c>
      <c r="C1152" s="12" t="s">
        <v>821</v>
      </c>
      <c r="D1152" s="12" t="s">
        <v>716</v>
      </c>
      <c r="E1152" s="89">
        <f t="shared" ca="1" si="112"/>
        <v>40951</v>
      </c>
      <c r="F1152" s="11">
        <f>DATE(42,12,4)</f>
        <v>15679</v>
      </c>
      <c r="G1152" s="12">
        <f t="shared" ca="1" si="108"/>
        <v>70</v>
      </c>
      <c r="H1152" s="12">
        <f t="shared" ca="1" si="109"/>
        <v>-10</v>
      </c>
      <c r="I1152" s="13">
        <f t="shared" ca="1" si="110"/>
        <v>8</v>
      </c>
      <c r="J1152" s="14">
        <f t="shared" ca="1" si="107"/>
        <v>69</v>
      </c>
      <c r="K1152" s="81" t="s">
        <v>40</v>
      </c>
      <c r="L1152" s="12">
        <v>90</v>
      </c>
      <c r="M1152" s="12" t="s">
        <v>40</v>
      </c>
      <c r="N1152" s="12">
        <v>245</v>
      </c>
      <c r="O1152" s="90" t="s">
        <v>2748</v>
      </c>
    </row>
    <row r="1153" spans="1:15">
      <c r="A1153" s="12">
        <f t="shared" si="111"/>
        <v>1150</v>
      </c>
      <c r="B1153" s="12" t="s">
        <v>13</v>
      </c>
      <c r="C1153" s="12" t="s">
        <v>822</v>
      </c>
      <c r="D1153" s="12" t="s">
        <v>72</v>
      </c>
      <c r="E1153" s="89">
        <f t="shared" ca="1" si="112"/>
        <v>40951</v>
      </c>
      <c r="F1153" s="11">
        <f>DATE(68,11,20)</f>
        <v>25162</v>
      </c>
      <c r="G1153" s="12">
        <f t="shared" ca="1" si="108"/>
        <v>44</v>
      </c>
      <c r="H1153" s="12">
        <f t="shared" ca="1" si="109"/>
        <v>-9</v>
      </c>
      <c r="I1153" s="13">
        <f t="shared" ca="1" si="110"/>
        <v>-8</v>
      </c>
      <c r="J1153" s="14">
        <f t="shared" ca="1" si="107"/>
        <v>43</v>
      </c>
      <c r="K1153" s="12" t="s">
        <v>40</v>
      </c>
      <c r="L1153" s="12">
        <v>91</v>
      </c>
      <c r="M1153" s="12" t="s">
        <v>40</v>
      </c>
      <c r="N1153" s="12">
        <v>246</v>
      </c>
      <c r="O1153" s="90" t="s">
        <v>2748</v>
      </c>
    </row>
    <row r="1154" spans="1:15">
      <c r="A1154" s="12">
        <f t="shared" si="111"/>
        <v>1151</v>
      </c>
      <c r="B1154" s="12" t="s">
        <v>13</v>
      </c>
      <c r="C1154" s="12" t="s">
        <v>150</v>
      </c>
      <c r="D1154" s="12" t="s">
        <v>521</v>
      </c>
      <c r="E1154" s="89">
        <f t="shared" ca="1" si="112"/>
        <v>40951</v>
      </c>
      <c r="F1154" s="11">
        <f>DATE(70,10,29)</f>
        <v>25870</v>
      </c>
      <c r="G1154" s="12">
        <f t="shared" ca="1" si="108"/>
        <v>42</v>
      </c>
      <c r="H1154" s="12">
        <f t="shared" ca="1" si="109"/>
        <v>-8</v>
      </c>
      <c r="I1154" s="13">
        <f t="shared" ca="1" si="110"/>
        <v>-17</v>
      </c>
      <c r="J1154" s="14">
        <f t="shared" ca="1" si="107"/>
        <v>41</v>
      </c>
      <c r="K1154" s="12" t="s">
        <v>41</v>
      </c>
      <c r="L1154" s="12">
        <v>91</v>
      </c>
      <c r="M1154" s="12" t="s">
        <v>40</v>
      </c>
      <c r="N1154" s="12">
        <v>246</v>
      </c>
    </row>
    <row r="1155" spans="1:15">
      <c r="A1155" s="12">
        <f t="shared" si="111"/>
        <v>1152</v>
      </c>
      <c r="B1155" s="12" t="s">
        <v>13</v>
      </c>
      <c r="C1155" s="12" t="s">
        <v>392</v>
      </c>
      <c r="D1155" s="12" t="s">
        <v>521</v>
      </c>
      <c r="E1155" s="89">
        <f t="shared" ca="1" si="112"/>
        <v>40951</v>
      </c>
      <c r="F1155" s="11">
        <f>DATE(97,1,11)</f>
        <v>35441</v>
      </c>
      <c r="G1155" s="12">
        <f t="shared" ca="1" si="108"/>
        <v>15</v>
      </c>
      <c r="H1155" s="12">
        <f t="shared" ca="1" si="109"/>
        <v>1</v>
      </c>
      <c r="I1155" s="13">
        <f t="shared" ca="1" si="110"/>
        <v>1</v>
      </c>
      <c r="J1155" s="14">
        <f t="shared" ca="1" si="107"/>
        <v>15</v>
      </c>
      <c r="K1155" s="12" t="s">
        <v>40</v>
      </c>
      <c r="L1155" s="12">
        <v>91</v>
      </c>
      <c r="M1155" s="12" t="s">
        <v>44</v>
      </c>
      <c r="N1155" s="12">
        <v>246</v>
      </c>
    </row>
    <row r="1156" spans="1:15">
      <c r="A1156" s="12">
        <f t="shared" si="111"/>
        <v>1153</v>
      </c>
      <c r="B1156" s="12" t="s">
        <v>13</v>
      </c>
      <c r="C1156" s="12" t="s">
        <v>521</v>
      </c>
      <c r="D1156" s="12" t="s">
        <v>198</v>
      </c>
      <c r="E1156" s="89">
        <f t="shared" ca="1" si="112"/>
        <v>40951</v>
      </c>
      <c r="F1156" s="11">
        <f>DATE(41,12,9)</f>
        <v>15319</v>
      </c>
      <c r="G1156" s="12">
        <f t="shared" ca="1" si="108"/>
        <v>71</v>
      </c>
      <c r="H1156" s="12">
        <f t="shared" ca="1" si="109"/>
        <v>-10</v>
      </c>
      <c r="I1156" s="13">
        <f t="shared" ca="1" si="110"/>
        <v>3</v>
      </c>
      <c r="J1156" s="14">
        <f t="shared" ref="J1156:J1219" ca="1" si="113">IF(H1156&lt;0,G1156-1,IF(H1156&gt;0,G1156,IF(I1156&lt;0,G1156-1,G1156)))</f>
        <v>70</v>
      </c>
      <c r="K1156" s="12" t="s">
        <v>40</v>
      </c>
      <c r="L1156" s="12">
        <v>91</v>
      </c>
      <c r="M1156" s="12" t="s">
        <v>40</v>
      </c>
      <c r="N1156" s="12">
        <v>247</v>
      </c>
      <c r="O1156" s="90" t="s">
        <v>2748</v>
      </c>
    </row>
    <row r="1157" spans="1:15">
      <c r="A1157" s="12">
        <f t="shared" si="111"/>
        <v>1154</v>
      </c>
      <c r="B1157" s="12" t="s">
        <v>13</v>
      </c>
      <c r="C1157" s="12" t="s">
        <v>823</v>
      </c>
      <c r="D1157" s="12" t="s">
        <v>521</v>
      </c>
      <c r="E1157" s="89">
        <f t="shared" ca="1" si="112"/>
        <v>40951</v>
      </c>
      <c r="F1157" s="11">
        <f>DATE(48,8,31)</f>
        <v>17776</v>
      </c>
      <c r="G1157" s="12">
        <f t="shared" ca="1" si="108"/>
        <v>64</v>
      </c>
      <c r="H1157" s="12">
        <f t="shared" ca="1" si="109"/>
        <v>-6</v>
      </c>
      <c r="I1157" s="13">
        <f t="shared" ca="1" si="110"/>
        <v>-19</v>
      </c>
      <c r="J1157" s="14">
        <f t="shared" ca="1" si="113"/>
        <v>63</v>
      </c>
      <c r="K1157" s="12" t="s">
        <v>41</v>
      </c>
      <c r="L1157" s="12">
        <v>91</v>
      </c>
      <c r="M1157" s="12" t="s">
        <v>40</v>
      </c>
      <c r="N1157" s="12">
        <v>247</v>
      </c>
    </row>
    <row r="1158" spans="1:15">
      <c r="A1158" s="12">
        <f t="shared" si="111"/>
        <v>1155</v>
      </c>
      <c r="B1158" s="12" t="s">
        <v>13</v>
      </c>
      <c r="C1158" s="12" t="s">
        <v>824</v>
      </c>
      <c r="D1158" s="12" t="s">
        <v>521</v>
      </c>
      <c r="E1158" s="89">
        <f t="shared" ca="1" si="112"/>
        <v>40951</v>
      </c>
      <c r="F1158" s="11">
        <f>DATE(69,7,19)</f>
        <v>25403</v>
      </c>
      <c r="G1158" s="12">
        <f t="shared" ca="1" si="108"/>
        <v>43</v>
      </c>
      <c r="H1158" s="12">
        <f t="shared" ca="1" si="109"/>
        <v>-5</v>
      </c>
      <c r="I1158" s="13">
        <f t="shared" ca="1" si="110"/>
        <v>-7</v>
      </c>
      <c r="J1158" s="14">
        <f t="shared" ca="1" si="113"/>
        <v>42</v>
      </c>
      <c r="K1158" s="12" t="s">
        <v>40</v>
      </c>
      <c r="L1158" s="12">
        <v>91</v>
      </c>
      <c r="M1158" s="12" t="s">
        <v>40</v>
      </c>
      <c r="N1158" s="12">
        <v>247</v>
      </c>
    </row>
    <row r="1159" spans="1:15">
      <c r="A1159" s="12">
        <f t="shared" si="111"/>
        <v>1156</v>
      </c>
      <c r="B1159" s="12" t="s">
        <v>13</v>
      </c>
      <c r="C1159" s="12" t="s">
        <v>361</v>
      </c>
      <c r="D1159" s="12" t="s">
        <v>824</v>
      </c>
      <c r="E1159" s="89">
        <f t="shared" ca="1" si="112"/>
        <v>40951</v>
      </c>
      <c r="F1159" s="11">
        <f>DATE(78,1,24)</f>
        <v>28514</v>
      </c>
      <c r="G1159" s="12">
        <f t="shared" ca="1" si="108"/>
        <v>34</v>
      </c>
      <c r="H1159" s="12">
        <f t="shared" ca="1" si="109"/>
        <v>1</v>
      </c>
      <c r="I1159" s="13">
        <f t="shared" ca="1" si="110"/>
        <v>-12</v>
      </c>
      <c r="J1159" s="14">
        <f t="shared" ca="1" si="113"/>
        <v>34</v>
      </c>
      <c r="K1159" s="12" t="s">
        <v>41</v>
      </c>
      <c r="L1159" s="12">
        <v>91</v>
      </c>
      <c r="M1159" s="12" t="s">
        <v>40</v>
      </c>
      <c r="N1159" s="12">
        <v>247</v>
      </c>
    </row>
    <row r="1160" spans="1:15">
      <c r="A1160" s="12">
        <f t="shared" si="111"/>
        <v>1157</v>
      </c>
      <c r="B1160" s="12" t="s">
        <v>13</v>
      </c>
      <c r="C1160" s="12" t="s">
        <v>668</v>
      </c>
      <c r="D1160" s="12" t="s">
        <v>824</v>
      </c>
      <c r="E1160" s="89">
        <f t="shared" ca="1" si="112"/>
        <v>40951</v>
      </c>
      <c r="F1160" s="11">
        <f>DATE(2000,7,13)</f>
        <v>36720</v>
      </c>
      <c r="G1160" s="12">
        <f t="shared" ca="1" si="108"/>
        <v>12</v>
      </c>
      <c r="H1160" s="12">
        <f t="shared" ca="1" si="109"/>
        <v>-5</v>
      </c>
      <c r="I1160" s="13">
        <f t="shared" ca="1" si="110"/>
        <v>-1</v>
      </c>
      <c r="J1160" s="14">
        <f t="shared" ca="1" si="113"/>
        <v>11</v>
      </c>
      <c r="K1160" s="12" t="s">
        <v>41</v>
      </c>
      <c r="L1160" s="12">
        <v>91</v>
      </c>
      <c r="M1160" s="12" t="s">
        <v>44</v>
      </c>
      <c r="N1160" s="12">
        <v>247</v>
      </c>
    </row>
    <row r="1161" spans="1:15">
      <c r="A1161" s="12">
        <f t="shared" si="111"/>
        <v>1158</v>
      </c>
      <c r="B1161" s="12" t="s">
        <v>13</v>
      </c>
      <c r="C1161" s="12" t="s">
        <v>542</v>
      </c>
      <c r="D1161" s="12" t="s">
        <v>824</v>
      </c>
      <c r="E1161" s="89">
        <f t="shared" ca="1" si="112"/>
        <v>40951</v>
      </c>
      <c r="F1161" s="11">
        <f>DATE(2003,5,4)</f>
        <v>37745</v>
      </c>
      <c r="G1161" s="12">
        <f t="shared" ca="1" si="108"/>
        <v>9</v>
      </c>
      <c r="H1161" s="12">
        <f t="shared" ca="1" si="109"/>
        <v>-3</v>
      </c>
      <c r="I1161" s="13">
        <f t="shared" ca="1" si="110"/>
        <v>8</v>
      </c>
      <c r="J1161" s="14">
        <f t="shared" ca="1" si="113"/>
        <v>8</v>
      </c>
      <c r="K1161" s="12" t="s">
        <v>41</v>
      </c>
      <c r="L1161" s="12">
        <v>91</v>
      </c>
      <c r="M1161" s="12" t="s">
        <v>44</v>
      </c>
      <c r="N1161" s="12">
        <v>247</v>
      </c>
    </row>
    <row r="1162" spans="1:15">
      <c r="A1162" s="12">
        <f t="shared" si="111"/>
        <v>1159</v>
      </c>
      <c r="B1162" s="12" t="s">
        <v>13</v>
      </c>
      <c r="C1162" s="12" t="s">
        <v>825</v>
      </c>
      <c r="D1162" s="12" t="s">
        <v>521</v>
      </c>
      <c r="E1162" s="89">
        <f t="shared" ca="1" si="112"/>
        <v>40951</v>
      </c>
      <c r="F1162" s="11">
        <f>DATE(73,8,24)</f>
        <v>26900</v>
      </c>
      <c r="G1162" s="12">
        <f t="shared" ca="1" si="108"/>
        <v>39</v>
      </c>
      <c r="H1162" s="12">
        <f t="shared" ca="1" si="109"/>
        <v>-6</v>
      </c>
      <c r="I1162" s="13">
        <f t="shared" ca="1" si="110"/>
        <v>-12</v>
      </c>
      <c r="J1162" s="14">
        <f t="shared" ca="1" si="113"/>
        <v>38</v>
      </c>
      <c r="K1162" s="12" t="s">
        <v>40</v>
      </c>
      <c r="L1162" s="12">
        <v>91</v>
      </c>
      <c r="M1162" s="12" t="s">
        <v>40</v>
      </c>
      <c r="N1162" s="12">
        <v>247</v>
      </c>
    </row>
    <row r="1163" spans="1:15">
      <c r="A1163" s="12">
        <f t="shared" si="111"/>
        <v>1160</v>
      </c>
      <c r="B1163" s="12" t="s">
        <v>13</v>
      </c>
      <c r="C1163" s="12" t="s">
        <v>826</v>
      </c>
      <c r="D1163" s="12" t="s">
        <v>825</v>
      </c>
      <c r="E1163" s="89">
        <f t="shared" ca="1" si="112"/>
        <v>40951</v>
      </c>
      <c r="F1163" s="11">
        <f>DATE(76,11,2)</f>
        <v>28066</v>
      </c>
      <c r="G1163" s="12">
        <f t="shared" ca="1" si="108"/>
        <v>36</v>
      </c>
      <c r="H1163" s="12">
        <f t="shared" ca="1" si="109"/>
        <v>-9</v>
      </c>
      <c r="I1163" s="13">
        <f t="shared" ca="1" si="110"/>
        <v>10</v>
      </c>
      <c r="J1163" s="14">
        <f t="shared" ca="1" si="113"/>
        <v>35</v>
      </c>
      <c r="K1163" s="12" t="s">
        <v>41</v>
      </c>
      <c r="L1163" s="12">
        <v>91</v>
      </c>
      <c r="M1163" s="12" t="s">
        <v>40</v>
      </c>
      <c r="N1163" s="12">
        <v>247</v>
      </c>
    </row>
    <row r="1164" spans="1:15">
      <c r="A1164" s="12">
        <f t="shared" si="111"/>
        <v>1161</v>
      </c>
      <c r="B1164" s="12" t="s">
        <v>13</v>
      </c>
      <c r="C1164" s="12" t="s">
        <v>101</v>
      </c>
      <c r="D1164" s="12" t="s">
        <v>825</v>
      </c>
      <c r="E1164" s="89">
        <f t="shared" ca="1" si="112"/>
        <v>40951</v>
      </c>
      <c r="F1164" s="11">
        <f>DATE(2005,9,5)</f>
        <v>38600</v>
      </c>
      <c r="G1164" s="12">
        <f t="shared" ca="1" si="108"/>
        <v>7</v>
      </c>
      <c r="H1164" s="12">
        <f t="shared" ca="1" si="109"/>
        <v>-7</v>
      </c>
      <c r="I1164" s="13">
        <f t="shared" ca="1" si="110"/>
        <v>7</v>
      </c>
      <c r="J1164" s="14">
        <f t="shared" ca="1" si="113"/>
        <v>6</v>
      </c>
      <c r="K1164" s="12" t="s">
        <v>40</v>
      </c>
      <c r="L1164" s="12">
        <v>91</v>
      </c>
      <c r="M1164" s="12" t="s">
        <v>44</v>
      </c>
      <c r="N1164" s="12">
        <v>247</v>
      </c>
    </row>
    <row r="1165" spans="1:15">
      <c r="A1165" s="12">
        <f t="shared" si="111"/>
        <v>1162</v>
      </c>
      <c r="B1165" s="12" t="s">
        <v>13</v>
      </c>
      <c r="C1165" s="12" t="s">
        <v>827</v>
      </c>
      <c r="D1165" s="12" t="s">
        <v>521</v>
      </c>
      <c r="E1165" s="89">
        <f t="shared" ca="1" si="112"/>
        <v>40951</v>
      </c>
      <c r="F1165" s="11">
        <f>DATE(75,2,23)</f>
        <v>27448</v>
      </c>
      <c r="G1165" s="12">
        <f t="shared" ca="1" si="108"/>
        <v>37</v>
      </c>
      <c r="H1165" s="12">
        <f t="shared" ca="1" si="109"/>
        <v>0</v>
      </c>
      <c r="I1165" s="13">
        <f t="shared" ca="1" si="110"/>
        <v>-11</v>
      </c>
      <c r="J1165" s="14">
        <f t="shared" ca="1" si="113"/>
        <v>36</v>
      </c>
      <c r="K1165" s="12" t="s">
        <v>40</v>
      </c>
      <c r="L1165" s="12">
        <v>91</v>
      </c>
      <c r="M1165" s="12" t="s">
        <v>40</v>
      </c>
      <c r="N1165" s="12">
        <v>247</v>
      </c>
    </row>
    <row r="1166" spans="1:15">
      <c r="A1166" s="12">
        <f t="shared" si="111"/>
        <v>1163</v>
      </c>
      <c r="B1166" s="12" t="s">
        <v>13</v>
      </c>
      <c r="C1166" s="12" t="s">
        <v>350</v>
      </c>
      <c r="D1166" s="12" t="s">
        <v>827</v>
      </c>
      <c r="E1166" s="89">
        <f t="shared" ca="1" si="112"/>
        <v>40951</v>
      </c>
      <c r="F1166" s="11">
        <f>DATE(80,12,4)</f>
        <v>29559</v>
      </c>
      <c r="G1166" s="12">
        <f t="shared" ca="1" si="108"/>
        <v>32</v>
      </c>
      <c r="H1166" s="12">
        <f t="shared" ca="1" si="109"/>
        <v>-10</v>
      </c>
      <c r="I1166" s="13">
        <f t="shared" ca="1" si="110"/>
        <v>8</v>
      </c>
      <c r="J1166" s="14">
        <f t="shared" ca="1" si="113"/>
        <v>31</v>
      </c>
      <c r="K1166" s="12" t="s">
        <v>41</v>
      </c>
      <c r="L1166" s="12">
        <v>91</v>
      </c>
      <c r="M1166" s="12" t="s">
        <v>40</v>
      </c>
      <c r="N1166" s="12">
        <v>247</v>
      </c>
    </row>
    <row r="1167" spans="1:15">
      <c r="A1167" s="12">
        <f t="shared" si="111"/>
        <v>1164</v>
      </c>
      <c r="B1167" s="12" t="s">
        <v>13</v>
      </c>
      <c r="C1167" s="12" t="s">
        <v>828</v>
      </c>
      <c r="D1167" s="12" t="s">
        <v>827</v>
      </c>
      <c r="E1167" s="89">
        <f t="shared" ca="1" si="112"/>
        <v>40951</v>
      </c>
      <c r="F1167" s="11">
        <f>DATE(2006,9,26)</f>
        <v>38986</v>
      </c>
      <c r="G1167" s="12">
        <f t="shared" ca="1" si="108"/>
        <v>6</v>
      </c>
      <c r="H1167" s="12">
        <f t="shared" ca="1" si="109"/>
        <v>-7</v>
      </c>
      <c r="I1167" s="13">
        <f t="shared" ca="1" si="110"/>
        <v>-14</v>
      </c>
      <c r="J1167" s="14">
        <f t="shared" ca="1" si="113"/>
        <v>5</v>
      </c>
      <c r="K1167" s="12" t="s">
        <v>41</v>
      </c>
      <c r="L1167" s="12">
        <v>91</v>
      </c>
      <c r="M1167" s="12" t="s">
        <v>44</v>
      </c>
      <c r="N1167" s="12">
        <v>247</v>
      </c>
    </row>
    <row r="1168" spans="1:15">
      <c r="A1168" s="12">
        <f t="shared" si="111"/>
        <v>1165</v>
      </c>
      <c r="B1168" s="12" t="s">
        <v>13</v>
      </c>
      <c r="C1168" s="12" t="s">
        <v>829</v>
      </c>
      <c r="D1168" s="12" t="s">
        <v>830</v>
      </c>
      <c r="E1168" s="89">
        <f t="shared" ca="1" si="112"/>
        <v>40951</v>
      </c>
      <c r="F1168" s="32"/>
      <c r="G1168" s="12">
        <f t="shared" ca="1" si="108"/>
        <v>112</v>
      </c>
      <c r="H1168" s="12">
        <f t="shared" ca="1" si="109"/>
        <v>1</v>
      </c>
      <c r="I1168" s="13">
        <f t="shared" ca="1" si="110"/>
        <v>12</v>
      </c>
      <c r="J1168" s="14">
        <f t="shared" ca="1" si="113"/>
        <v>112</v>
      </c>
      <c r="K1168" s="12" t="s">
        <v>40</v>
      </c>
      <c r="L1168" s="12">
        <v>92</v>
      </c>
      <c r="M1168" s="12" t="s">
        <v>40</v>
      </c>
      <c r="N1168" s="12">
        <v>248</v>
      </c>
      <c r="O1168" s="90" t="s">
        <v>2748</v>
      </c>
    </row>
    <row r="1169" spans="1:15">
      <c r="A1169" s="12">
        <f t="shared" si="111"/>
        <v>1166</v>
      </c>
      <c r="B1169" s="12" t="s">
        <v>13</v>
      </c>
      <c r="C1169" s="12" t="s">
        <v>831</v>
      </c>
      <c r="D1169" s="12" t="s">
        <v>832</v>
      </c>
      <c r="E1169" s="89">
        <f t="shared" ca="1" si="112"/>
        <v>40951</v>
      </c>
      <c r="F1169" s="32"/>
      <c r="G1169" s="12">
        <f t="shared" ca="1" si="108"/>
        <v>112</v>
      </c>
      <c r="H1169" s="12">
        <f t="shared" ca="1" si="109"/>
        <v>1</v>
      </c>
      <c r="I1169" s="13">
        <f t="shared" ca="1" si="110"/>
        <v>12</v>
      </c>
      <c r="J1169" s="14">
        <f t="shared" ca="1" si="113"/>
        <v>112</v>
      </c>
      <c r="K1169" s="12" t="s">
        <v>41</v>
      </c>
      <c r="L1169" s="12">
        <v>92</v>
      </c>
      <c r="M1169" s="12" t="s">
        <v>40</v>
      </c>
      <c r="N1169" s="12">
        <v>248</v>
      </c>
    </row>
    <row r="1170" spans="1:15">
      <c r="A1170" s="12">
        <f t="shared" si="111"/>
        <v>1167</v>
      </c>
      <c r="B1170" s="12" t="s">
        <v>13</v>
      </c>
      <c r="C1170" s="12" t="s">
        <v>315</v>
      </c>
      <c r="D1170" s="12" t="s">
        <v>832</v>
      </c>
      <c r="E1170" s="89">
        <f t="shared" ca="1" si="112"/>
        <v>40951</v>
      </c>
      <c r="F1170" s="11">
        <f>DATE(54,12,12)</f>
        <v>20070</v>
      </c>
      <c r="G1170" s="12">
        <f t="shared" ca="1" si="108"/>
        <v>58</v>
      </c>
      <c r="H1170" s="12">
        <f t="shared" ca="1" si="109"/>
        <v>-10</v>
      </c>
      <c r="I1170" s="13">
        <f t="shared" ca="1" si="110"/>
        <v>0</v>
      </c>
      <c r="J1170" s="14">
        <f t="shared" ca="1" si="113"/>
        <v>57</v>
      </c>
      <c r="K1170" s="12" t="s">
        <v>40</v>
      </c>
      <c r="L1170" s="12">
        <v>92</v>
      </c>
      <c r="M1170" s="12" t="s">
        <v>40</v>
      </c>
      <c r="N1170" s="12">
        <v>248</v>
      </c>
    </row>
    <row r="1171" spans="1:15">
      <c r="A1171" s="12">
        <f t="shared" si="111"/>
        <v>1168</v>
      </c>
      <c r="B1171" s="12" t="s">
        <v>13</v>
      </c>
      <c r="C1171" s="12" t="s">
        <v>400</v>
      </c>
      <c r="D1171" s="12" t="s">
        <v>833</v>
      </c>
      <c r="E1171" s="89">
        <f t="shared" ca="1" si="112"/>
        <v>40951</v>
      </c>
      <c r="F1171" s="11">
        <f>DATE(62,11,22)</f>
        <v>22972</v>
      </c>
      <c r="G1171" s="12">
        <f t="shared" ca="1" si="108"/>
        <v>50</v>
      </c>
      <c r="H1171" s="12">
        <f t="shared" ca="1" si="109"/>
        <v>-9</v>
      </c>
      <c r="I1171" s="13">
        <f t="shared" ca="1" si="110"/>
        <v>-10</v>
      </c>
      <c r="J1171" s="14">
        <f t="shared" ca="1" si="113"/>
        <v>49</v>
      </c>
      <c r="K1171" s="12" t="s">
        <v>41</v>
      </c>
      <c r="L1171" s="12">
        <v>92</v>
      </c>
      <c r="M1171" s="12" t="s">
        <v>40</v>
      </c>
      <c r="N1171" s="12">
        <v>248</v>
      </c>
    </row>
    <row r="1172" spans="1:15">
      <c r="A1172" s="12">
        <f t="shared" si="111"/>
        <v>1169</v>
      </c>
      <c r="B1172" s="12" t="s">
        <v>13</v>
      </c>
      <c r="C1172" s="12" t="s">
        <v>422</v>
      </c>
      <c r="D1172" s="12" t="s">
        <v>833</v>
      </c>
      <c r="E1172" s="89">
        <f t="shared" ca="1" si="112"/>
        <v>40951</v>
      </c>
      <c r="F1172" s="11">
        <f>DATE(85,9,19)</f>
        <v>31309</v>
      </c>
      <c r="G1172" s="12">
        <f t="shared" ca="1" si="108"/>
        <v>27</v>
      </c>
      <c r="H1172" s="12">
        <f t="shared" ca="1" si="109"/>
        <v>-7</v>
      </c>
      <c r="I1172" s="13">
        <f t="shared" ca="1" si="110"/>
        <v>-7</v>
      </c>
      <c r="J1172" s="14">
        <f t="shared" ca="1" si="113"/>
        <v>26</v>
      </c>
      <c r="K1172" s="12" t="s">
        <v>41</v>
      </c>
      <c r="L1172" s="12">
        <v>92</v>
      </c>
      <c r="M1172" s="12" t="s">
        <v>44</v>
      </c>
      <c r="N1172" s="12">
        <v>248</v>
      </c>
    </row>
    <row r="1173" spans="1:15">
      <c r="A1173" s="12">
        <f t="shared" si="111"/>
        <v>1170</v>
      </c>
      <c r="B1173" s="12" t="s">
        <v>13</v>
      </c>
      <c r="C1173" s="12" t="s">
        <v>834</v>
      </c>
      <c r="D1173" s="12" t="s">
        <v>833</v>
      </c>
      <c r="E1173" s="89">
        <f t="shared" ca="1" si="112"/>
        <v>40951</v>
      </c>
      <c r="F1173" s="11">
        <f>DATE(91,4,22)</f>
        <v>33350</v>
      </c>
      <c r="G1173" s="12">
        <f t="shared" ca="1" si="108"/>
        <v>21</v>
      </c>
      <c r="H1173" s="12">
        <f t="shared" ca="1" si="109"/>
        <v>-2</v>
      </c>
      <c r="I1173" s="13">
        <f t="shared" ca="1" si="110"/>
        <v>-10</v>
      </c>
      <c r="J1173" s="14">
        <f t="shared" ca="1" si="113"/>
        <v>20</v>
      </c>
      <c r="K1173" s="12" t="s">
        <v>40</v>
      </c>
      <c r="L1173" s="12">
        <v>92</v>
      </c>
      <c r="M1173" s="12" t="s">
        <v>44</v>
      </c>
      <c r="N1173" s="12">
        <v>248</v>
      </c>
    </row>
    <row r="1174" spans="1:15">
      <c r="A1174" s="12">
        <f t="shared" si="111"/>
        <v>1171</v>
      </c>
      <c r="B1174" s="12" t="s">
        <v>13</v>
      </c>
      <c r="C1174" s="12" t="s">
        <v>835</v>
      </c>
      <c r="D1174" s="12" t="s">
        <v>573</v>
      </c>
      <c r="E1174" s="89">
        <f t="shared" ca="1" si="112"/>
        <v>40951</v>
      </c>
      <c r="F1174" s="32"/>
      <c r="G1174" s="12">
        <f t="shared" ca="1" si="108"/>
        <v>112</v>
      </c>
      <c r="H1174" s="12">
        <f t="shared" ca="1" si="109"/>
        <v>1</v>
      </c>
      <c r="I1174" s="13">
        <f t="shared" ca="1" si="110"/>
        <v>12</v>
      </c>
      <c r="J1174" s="14">
        <f t="shared" ca="1" si="113"/>
        <v>112</v>
      </c>
      <c r="K1174" s="12" t="s">
        <v>40</v>
      </c>
      <c r="L1174" s="12">
        <v>92</v>
      </c>
      <c r="M1174" s="12" t="s">
        <v>40</v>
      </c>
      <c r="N1174" s="12">
        <v>249</v>
      </c>
      <c r="O1174" s="90" t="s">
        <v>2748</v>
      </c>
    </row>
    <row r="1175" spans="1:15">
      <c r="A1175" s="12">
        <f t="shared" si="111"/>
        <v>1172</v>
      </c>
      <c r="B1175" s="12" t="s">
        <v>13</v>
      </c>
      <c r="C1175" s="12" t="s">
        <v>105</v>
      </c>
      <c r="D1175" s="12" t="s">
        <v>835</v>
      </c>
      <c r="E1175" s="89">
        <f t="shared" ca="1" si="112"/>
        <v>40951</v>
      </c>
      <c r="F1175" s="32"/>
      <c r="G1175" s="12">
        <f t="shared" ca="1" si="108"/>
        <v>112</v>
      </c>
      <c r="H1175" s="12">
        <f t="shared" ca="1" si="109"/>
        <v>1</v>
      </c>
      <c r="I1175" s="13">
        <f t="shared" ca="1" si="110"/>
        <v>12</v>
      </c>
      <c r="J1175" s="14">
        <f t="shared" ca="1" si="113"/>
        <v>112</v>
      </c>
      <c r="K1175" s="12" t="s">
        <v>41</v>
      </c>
      <c r="L1175" s="12">
        <v>92</v>
      </c>
      <c r="M1175" s="12" t="s">
        <v>40</v>
      </c>
      <c r="N1175" s="12">
        <v>249</v>
      </c>
    </row>
    <row r="1176" spans="1:15">
      <c r="A1176" s="12">
        <f t="shared" si="111"/>
        <v>1173</v>
      </c>
      <c r="B1176" s="12" t="s">
        <v>13</v>
      </c>
      <c r="C1176" s="12" t="s">
        <v>801</v>
      </c>
      <c r="D1176" s="12" t="s">
        <v>835</v>
      </c>
      <c r="E1176" s="89">
        <f t="shared" ca="1" si="112"/>
        <v>40951</v>
      </c>
      <c r="F1176" s="32"/>
      <c r="G1176" s="12">
        <f t="shared" ca="1" si="108"/>
        <v>112</v>
      </c>
      <c r="H1176" s="12">
        <f t="shared" ca="1" si="109"/>
        <v>1</v>
      </c>
      <c r="I1176" s="13">
        <f t="shared" ca="1" si="110"/>
        <v>12</v>
      </c>
      <c r="J1176" s="14">
        <f t="shared" ca="1" si="113"/>
        <v>112</v>
      </c>
      <c r="K1176" s="12" t="s">
        <v>41</v>
      </c>
      <c r="L1176" s="12">
        <v>92</v>
      </c>
      <c r="M1176" s="12" t="s">
        <v>44</v>
      </c>
      <c r="N1176" s="12">
        <v>249</v>
      </c>
    </row>
    <row r="1177" spans="1:15">
      <c r="A1177" s="12">
        <f t="shared" si="111"/>
        <v>1174</v>
      </c>
      <c r="B1177" s="12" t="s">
        <v>13</v>
      </c>
      <c r="C1177" s="12" t="s">
        <v>376</v>
      </c>
      <c r="D1177" s="12" t="s">
        <v>835</v>
      </c>
      <c r="E1177" s="89">
        <f t="shared" ca="1" si="112"/>
        <v>40951</v>
      </c>
      <c r="F1177" s="32"/>
      <c r="G1177" s="12">
        <f t="shared" ca="1" si="108"/>
        <v>112</v>
      </c>
      <c r="H1177" s="12">
        <f t="shared" ca="1" si="109"/>
        <v>1</v>
      </c>
      <c r="I1177" s="13">
        <f t="shared" ca="1" si="110"/>
        <v>12</v>
      </c>
      <c r="J1177" s="14">
        <f t="shared" ca="1" si="113"/>
        <v>112</v>
      </c>
      <c r="K1177" s="12" t="s">
        <v>40</v>
      </c>
      <c r="L1177" s="12">
        <v>92</v>
      </c>
      <c r="M1177" s="12" t="s">
        <v>44</v>
      </c>
      <c r="N1177" s="12">
        <v>249</v>
      </c>
    </row>
    <row r="1178" spans="1:15">
      <c r="A1178" s="12">
        <f t="shared" si="111"/>
        <v>1175</v>
      </c>
      <c r="B1178" s="12" t="s">
        <v>13</v>
      </c>
      <c r="C1178" s="12" t="s">
        <v>333</v>
      </c>
      <c r="D1178" s="12" t="s">
        <v>832</v>
      </c>
      <c r="E1178" s="89">
        <f t="shared" ca="1" si="112"/>
        <v>40951</v>
      </c>
      <c r="F1178" s="11">
        <f>DATE(52,7,1)</f>
        <v>19176</v>
      </c>
      <c r="G1178" s="12">
        <f t="shared" ref="G1178:G1241" ca="1" si="114">YEAR(E1178)-YEAR(F1178)</f>
        <v>60</v>
      </c>
      <c r="H1178" s="12">
        <f t="shared" ref="H1178:H1241" ca="1" si="115">MONTH(E1178)-MONTH(F1178)</f>
        <v>-5</v>
      </c>
      <c r="I1178" s="13">
        <f t="shared" ref="I1178:I1241" ca="1" si="116">DAY(E1178)-DAY(F1178)</f>
        <v>11</v>
      </c>
      <c r="J1178" s="14">
        <f t="shared" ca="1" si="113"/>
        <v>59</v>
      </c>
      <c r="K1178" s="12" t="s">
        <v>40</v>
      </c>
      <c r="L1178" s="12">
        <v>92</v>
      </c>
      <c r="M1178" s="12" t="s">
        <v>40</v>
      </c>
      <c r="N1178" s="12">
        <v>250</v>
      </c>
      <c r="O1178" s="90" t="s">
        <v>2748</v>
      </c>
    </row>
    <row r="1179" spans="1:15">
      <c r="A1179" s="12">
        <f t="shared" si="111"/>
        <v>1176</v>
      </c>
      <c r="B1179" s="12" t="s">
        <v>13</v>
      </c>
      <c r="C1179" s="12" t="s">
        <v>836</v>
      </c>
      <c r="D1179" s="12" t="s">
        <v>333</v>
      </c>
      <c r="E1179" s="89">
        <f t="shared" ca="1" si="112"/>
        <v>40951</v>
      </c>
      <c r="F1179" s="11">
        <f>DATE(57,4,2)</f>
        <v>20912</v>
      </c>
      <c r="G1179" s="12">
        <f t="shared" ca="1" si="114"/>
        <v>55</v>
      </c>
      <c r="H1179" s="12">
        <f t="shared" ca="1" si="115"/>
        <v>-2</v>
      </c>
      <c r="I1179" s="13">
        <f t="shared" ca="1" si="116"/>
        <v>10</v>
      </c>
      <c r="J1179" s="14">
        <f t="shared" ca="1" si="113"/>
        <v>54</v>
      </c>
      <c r="K1179" s="12" t="s">
        <v>41</v>
      </c>
      <c r="L1179" s="12">
        <v>92</v>
      </c>
      <c r="M1179" s="12" t="s">
        <v>40</v>
      </c>
      <c r="N1179" s="12">
        <v>250</v>
      </c>
    </row>
    <row r="1180" spans="1:15">
      <c r="A1180" s="12">
        <f t="shared" si="111"/>
        <v>1177</v>
      </c>
      <c r="B1180" s="12" t="s">
        <v>13</v>
      </c>
      <c r="C1180" s="12" t="s">
        <v>542</v>
      </c>
      <c r="D1180" s="12" t="s">
        <v>333</v>
      </c>
      <c r="E1180" s="89">
        <f t="shared" ca="1" si="112"/>
        <v>40951</v>
      </c>
      <c r="F1180" s="11">
        <f>DATE(85,1,3)</f>
        <v>31050</v>
      </c>
      <c r="G1180" s="12">
        <f t="shared" ca="1" si="114"/>
        <v>27</v>
      </c>
      <c r="H1180" s="12">
        <f t="shared" ca="1" si="115"/>
        <v>1</v>
      </c>
      <c r="I1180" s="13">
        <f t="shared" ca="1" si="116"/>
        <v>9</v>
      </c>
      <c r="J1180" s="14">
        <f t="shared" ca="1" si="113"/>
        <v>27</v>
      </c>
      <c r="K1180" s="12" t="s">
        <v>40</v>
      </c>
      <c r="L1180" s="12">
        <v>92</v>
      </c>
      <c r="M1180" s="12" t="s">
        <v>44</v>
      </c>
      <c r="N1180" s="12">
        <v>250</v>
      </c>
    </row>
    <row r="1181" spans="1:15">
      <c r="A1181" s="12">
        <f t="shared" si="111"/>
        <v>1178</v>
      </c>
      <c r="B1181" s="12" t="s">
        <v>13</v>
      </c>
      <c r="C1181" s="12" t="s">
        <v>647</v>
      </c>
      <c r="D1181" s="12" t="s">
        <v>837</v>
      </c>
      <c r="E1181" s="89">
        <f t="shared" ca="1" si="112"/>
        <v>40951</v>
      </c>
      <c r="F1181" s="32"/>
      <c r="G1181" s="12">
        <f t="shared" ca="1" si="114"/>
        <v>112</v>
      </c>
      <c r="H1181" s="12">
        <f t="shared" ca="1" si="115"/>
        <v>1</v>
      </c>
      <c r="I1181" s="13">
        <f t="shared" ca="1" si="116"/>
        <v>12</v>
      </c>
      <c r="J1181" s="14">
        <f t="shared" ca="1" si="113"/>
        <v>112</v>
      </c>
      <c r="K1181" s="12" t="s">
        <v>41</v>
      </c>
      <c r="L1181" s="12">
        <v>93</v>
      </c>
      <c r="M1181" s="12" t="s">
        <v>40</v>
      </c>
      <c r="N1181" s="12">
        <v>251</v>
      </c>
      <c r="O1181" s="90" t="s">
        <v>2748</v>
      </c>
    </row>
    <row r="1182" spans="1:15">
      <c r="A1182" s="12">
        <f t="shared" ref="A1182:A1245" si="117">A1181+1</f>
        <v>1179</v>
      </c>
      <c r="B1182" s="12" t="s">
        <v>13</v>
      </c>
      <c r="C1182" s="12" t="s">
        <v>838</v>
      </c>
      <c r="D1182" s="12" t="s">
        <v>837</v>
      </c>
      <c r="E1182" s="89">
        <f t="shared" ca="1" si="112"/>
        <v>40951</v>
      </c>
      <c r="F1182" s="11">
        <f>DATE(63,4,27)</f>
        <v>23128</v>
      </c>
      <c r="G1182" s="12">
        <f t="shared" ca="1" si="114"/>
        <v>49</v>
      </c>
      <c r="H1182" s="12">
        <f t="shared" ca="1" si="115"/>
        <v>-2</v>
      </c>
      <c r="I1182" s="13">
        <f t="shared" ca="1" si="116"/>
        <v>-15</v>
      </c>
      <c r="J1182" s="14">
        <f t="shared" ca="1" si="113"/>
        <v>48</v>
      </c>
      <c r="K1182" s="12" t="s">
        <v>40</v>
      </c>
      <c r="L1182" s="12">
        <v>93</v>
      </c>
      <c r="M1182" s="12" t="s">
        <v>40</v>
      </c>
      <c r="N1182" s="12">
        <v>251</v>
      </c>
    </row>
    <row r="1183" spans="1:15">
      <c r="A1183" s="12">
        <f t="shared" si="117"/>
        <v>1180</v>
      </c>
      <c r="B1183" s="12" t="s">
        <v>13</v>
      </c>
      <c r="C1183" s="12" t="s">
        <v>73</v>
      </c>
      <c r="D1183" s="12" t="s">
        <v>838</v>
      </c>
      <c r="E1183" s="89">
        <f t="shared" ca="1" si="112"/>
        <v>40951</v>
      </c>
      <c r="F1183" s="11">
        <f>DATE(69,3,19)</f>
        <v>25281</v>
      </c>
      <c r="G1183" s="12">
        <f t="shared" ca="1" si="114"/>
        <v>43</v>
      </c>
      <c r="H1183" s="12">
        <f t="shared" ca="1" si="115"/>
        <v>-1</v>
      </c>
      <c r="I1183" s="13">
        <f t="shared" ca="1" si="116"/>
        <v>-7</v>
      </c>
      <c r="J1183" s="14">
        <f t="shared" ca="1" si="113"/>
        <v>42</v>
      </c>
      <c r="K1183" s="12" t="s">
        <v>41</v>
      </c>
      <c r="L1183" s="12">
        <v>93</v>
      </c>
      <c r="M1183" s="12" t="s">
        <v>40</v>
      </c>
      <c r="N1183" s="12">
        <v>251</v>
      </c>
    </row>
    <row r="1184" spans="1:15">
      <c r="A1184" s="12">
        <f t="shared" si="117"/>
        <v>1181</v>
      </c>
      <c r="B1184" s="12" t="s">
        <v>13</v>
      </c>
      <c r="C1184" s="12" t="s">
        <v>344</v>
      </c>
      <c r="D1184" s="12" t="s">
        <v>838</v>
      </c>
      <c r="E1184" s="89">
        <f t="shared" ca="1" si="112"/>
        <v>40951</v>
      </c>
      <c r="F1184" s="11">
        <f>DATE(91,4,12)</f>
        <v>33340</v>
      </c>
      <c r="G1184" s="12">
        <f t="shared" ca="1" si="114"/>
        <v>21</v>
      </c>
      <c r="H1184" s="12">
        <f t="shared" ca="1" si="115"/>
        <v>-2</v>
      </c>
      <c r="I1184" s="13">
        <f t="shared" ca="1" si="116"/>
        <v>0</v>
      </c>
      <c r="J1184" s="14">
        <f t="shared" ca="1" si="113"/>
        <v>20</v>
      </c>
      <c r="K1184" s="12" t="s">
        <v>41</v>
      </c>
      <c r="L1184" s="12">
        <v>93</v>
      </c>
      <c r="M1184" s="12" t="s">
        <v>44</v>
      </c>
      <c r="N1184" s="12">
        <v>251</v>
      </c>
    </row>
    <row r="1185" spans="1:15">
      <c r="A1185" s="12">
        <f t="shared" si="117"/>
        <v>1182</v>
      </c>
      <c r="B1185" s="12" t="s">
        <v>13</v>
      </c>
      <c r="C1185" s="12" t="s">
        <v>839</v>
      </c>
      <c r="D1185" s="12" t="s">
        <v>838</v>
      </c>
      <c r="E1185" s="89">
        <f t="shared" ca="1" si="112"/>
        <v>40951</v>
      </c>
      <c r="F1185" s="11">
        <f>DATE(92,6,17)</f>
        <v>33772</v>
      </c>
      <c r="G1185" s="12">
        <f t="shared" ca="1" si="114"/>
        <v>20</v>
      </c>
      <c r="H1185" s="12">
        <f t="shared" ca="1" si="115"/>
        <v>-4</v>
      </c>
      <c r="I1185" s="13">
        <f t="shared" ca="1" si="116"/>
        <v>-5</v>
      </c>
      <c r="J1185" s="14">
        <f t="shared" ca="1" si="113"/>
        <v>19</v>
      </c>
      <c r="K1185" s="12" t="s">
        <v>40</v>
      </c>
      <c r="L1185" s="12">
        <v>93</v>
      </c>
      <c r="M1185" s="12" t="s">
        <v>44</v>
      </c>
      <c r="N1185" s="12">
        <v>251</v>
      </c>
    </row>
    <row r="1186" spans="1:15">
      <c r="A1186" s="12">
        <f t="shared" si="117"/>
        <v>1183</v>
      </c>
      <c r="B1186" s="12" t="s">
        <v>13</v>
      </c>
      <c r="C1186" s="12" t="s">
        <v>840</v>
      </c>
      <c r="D1186" s="12" t="s">
        <v>573</v>
      </c>
      <c r="E1186" s="89">
        <f t="shared" ca="1" si="112"/>
        <v>40951</v>
      </c>
      <c r="F1186" s="11">
        <f>DATE(55,9,28)</f>
        <v>20360</v>
      </c>
      <c r="G1186" s="12">
        <f t="shared" ca="1" si="114"/>
        <v>57</v>
      </c>
      <c r="H1186" s="12">
        <f t="shared" ca="1" si="115"/>
        <v>-7</v>
      </c>
      <c r="I1186" s="13">
        <f t="shared" ca="1" si="116"/>
        <v>-16</v>
      </c>
      <c r="J1186" s="14">
        <f t="shared" ca="1" si="113"/>
        <v>56</v>
      </c>
      <c r="K1186" s="12" t="s">
        <v>40</v>
      </c>
      <c r="L1186" s="12">
        <v>93</v>
      </c>
      <c r="M1186" s="12" t="s">
        <v>40</v>
      </c>
      <c r="N1186" s="12">
        <v>252</v>
      </c>
      <c r="O1186" s="90" t="s">
        <v>2748</v>
      </c>
    </row>
    <row r="1187" spans="1:15">
      <c r="A1187" s="12">
        <f t="shared" si="117"/>
        <v>1184</v>
      </c>
      <c r="B1187" s="12" t="s">
        <v>13</v>
      </c>
      <c r="C1187" s="12" t="s">
        <v>841</v>
      </c>
      <c r="D1187" s="12" t="s">
        <v>840</v>
      </c>
      <c r="E1187" s="89">
        <f t="shared" ca="1" si="112"/>
        <v>40951</v>
      </c>
      <c r="F1187" s="32"/>
      <c r="G1187" s="12">
        <f t="shared" ca="1" si="114"/>
        <v>112</v>
      </c>
      <c r="H1187" s="12">
        <f t="shared" ca="1" si="115"/>
        <v>1</v>
      </c>
      <c r="I1187" s="13">
        <f t="shared" ca="1" si="116"/>
        <v>12</v>
      </c>
      <c r="J1187" s="14">
        <f t="shared" ca="1" si="113"/>
        <v>112</v>
      </c>
      <c r="K1187" s="12" t="s">
        <v>41</v>
      </c>
      <c r="L1187" s="12">
        <v>93</v>
      </c>
      <c r="M1187" s="12" t="s">
        <v>40</v>
      </c>
      <c r="N1187" s="12">
        <v>252</v>
      </c>
    </row>
    <row r="1188" spans="1:15">
      <c r="A1188" s="12">
        <f t="shared" si="117"/>
        <v>1185</v>
      </c>
      <c r="B1188" s="12" t="s">
        <v>13</v>
      </c>
      <c r="C1188" s="12" t="s">
        <v>183</v>
      </c>
      <c r="D1188" s="12" t="s">
        <v>840</v>
      </c>
      <c r="E1188" s="89">
        <f t="shared" ref="E1188:E1251" ca="1" si="118">TODAY()</f>
        <v>40951</v>
      </c>
      <c r="F1188" s="11">
        <f>DATE(87,4,18)</f>
        <v>31885</v>
      </c>
      <c r="G1188" s="12">
        <f t="shared" ca="1" si="114"/>
        <v>25</v>
      </c>
      <c r="H1188" s="12">
        <f t="shared" ca="1" si="115"/>
        <v>-2</v>
      </c>
      <c r="I1188" s="13">
        <f t="shared" ca="1" si="116"/>
        <v>-6</v>
      </c>
      <c r="J1188" s="14">
        <f t="shared" ca="1" si="113"/>
        <v>24</v>
      </c>
      <c r="K1188" s="12" t="s">
        <v>40</v>
      </c>
      <c r="L1188" s="12">
        <v>93</v>
      </c>
      <c r="M1188" s="12" t="s">
        <v>44</v>
      </c>
      <c r="N1188" s="12">
        <v>252</v>
      </c>
    </row>
    <row r="1189" spans="1:15">
      <c r="A1189" s="12">
        <f t="shared" si="117"/>
        <v>1186</v>
      </c>
      <c r="B1189" s="12" t="s">
        <v>13</v>
      </c>
      <c r="C1189" s="12" t="s">
        <v>430</v>
      </c>
      <c r="D1189" s="12" t="s">
        <v>840</v>
      </c>
      <c r="E1189" s="89">
        <f t="shared" ca="1" si="118"/>
        <v>40951</v>
      </c>
      <c r="F1189" s="11">
        <f>DATE(91,12,20)</f>
        <v>33592</v>
      </c>
      <c r="G1189" s="12">
        <f t="shared" ca="1" si="114"/>
        <v>21</v>
      </c>
      <c r="H1189" s="12">
        <f t="shared" ca="1" si="115"/>
        <v>-10</v>
      </c>
      <c r="I1189" s="13">
        <f t="shared" ca="1" si="116"/>
        <v>-8</v>
      </c>
      <c r="J1189" s="14">
        <f t="shared" ca="1" si="113"/>
        <v>20</v>
      </c>
      <c r="K1189" s="12" t="s">
        <v>41</v>
      </c>
      <c r="L1189" s="12">
        <v>93</v>
      </c>
      <c r="M1189" s="12" t="s">
        <v>44</v>
      </c>
      <c r="N1189" s="12">
        <v>252</v>
      </c>
    </row>
    <row r="1190" spans="1:15">
      <c r="A1190" s="12">
        <f t="shared" si="117"/>
        <v>1187</v>
      </c>
      <c r="B1190" s="12" t="s">
        <v>13</v>
      </c>
      <c r="C1190" s="12" t="s">
        <v>842</v>
      </c>
      <c r="D1190" s="12" t="s">
        <v>573</v>
      </c>
      <c r="E1190" s="89">
        <f t="shared" ca="1" si="118"/>
        <v>40951</v>
      </c>
      <c r="F1190" s="32"/>
      <c r="G1190" s="12">
        <f t="shared" ca="1" si="114"/>
        <v>112</v>
      </c>
      <c r="H1190" s="12">
        <f t="shared" ca="1" si="115"/>
        <v>1</v>
      </c>
      <c r="I1190" s="13">
        <f t="shared" ca="1" si="116"/>
        <v>12</v>
      </c>
      <c r="J1190" s="14">
        <f t="shared" ca="1" si="113"/>
        <v>112</v>
      </c>
      <c r="K1190" s="12" t="s">
        <v>41</v>
      </c>
      <c r="L1190" s="12">
        <v>93</v>
      </c>
      <c r="M1190" s="12" t="s">
        <v>40</v>
      </c>
      <c r="N1190" s="12">
        <v>252</v>
      </c>
    </row>
    <row r="1191" spans="1:15">
      <c r="A1191" s="12">
        <f t="shared" si="117"/>
        <v>1188</v>
      </c>
      <c r="B1191" s="12" t="s">
        <v>13</v>
      </c>
      <c r="C1191" s="12" t="s">
        <v>843</v>
      </c>
      <c r="D1191" s="12" t="s">
        <v>573</v>
      </c>
      <c r="E1191" s="89">
        <f t="shared" ca="1" si="118"/>
        <v>40951</v>
      </c>
      <c r="F1191" s="32"/>
      <c r="G1191" s="12">
        <f t="shared" ca="1" si="114"/>
        <v>112</v>
      </c>
      <c r="H1191" s="12">
        <f t="shared" ca="1" si="115"/>
        <v>1</v>
      </c>
      <c r="I1191" s="13">
        <f t="shared" ca="1" si="116"/>
        <v>12</v>
      </c>
      <c r="J1191" s="14">
        <f t="shared" ca="1" si="113"/>
        <v>112</v>
      </c>
      <c r="K1191" s="12" t="s">
        <v>41</v>
      </c>
      <c r="L1191" s="12">
        <v>93</v>
      </c>
      <c r="M1191" s="12" t="s">
        <v>40</v>
      </c>
      <c r="N1191" s="12">
        <v>253</v>
      </c>
      <c r="O1191" s="90" t="s">
        <v>2748</v>
      </c>
    </row>
    <row r="1192" spans="1:15">
      <c r="A1192" s="12">
        <f t="shared" si="117"/>
        <v>1189</v>
      </c>
      <c r="B1192" s="12" t="s">
        <v>13</v>
      </c>
      <c r="C1192" s="12" t="s">
        <v>844</v>
      </c>
      <c r="D1192" s="12" t="s">
        <v>573</v>
      </c>
      <c r="E1192" s="89">
        <f t="shared" ca="1" si="118"/>
        <v>40951</v>
      </c>
      <c r="F1192" s="11">
        <f>DATE(46,6,9)</f>
        <v>16962</v>
      </c>
      <c r="G1192" s="12">
        <f t="shared" ca="1" si="114"/>
        <v>66</v>
      </c>
      <c r="H1192" s="12">
        <f t="shared" ca="1" si="115"/>
        <v>-4</v>
      </c>
      <c r="I1192" s="13">
        <f t="shared" ca="1" si="116"/>
        <v>3</v>
      </c>
      <c r="J1192" s="14">
        <f t="shared" ca="1" si="113"/>
        <v>65</v>
      </c>
      <c r="K1192" s="12" t="s">
        <v>40</v>
      </c>
      <c r="L1192" s="12">
        <v>94</v>
      </c>
      <c r="M1192" s="12" t="s">
        <v>40</v>
      </c>
      <c r="N1192" s="12">
        <v>254</v>
      </c>
      <c r="O1192" s="90" t="s">
        <v>2748</v>
      </c>
    </row>
    <row r="1193" spans="1:15">
      <c r="A1193" s="12">
        <f t="shared" si="117"/>
        <v>1190</v>
      </c>
      <c r="B1193" s="12" t="s">
        <v>13</v>
      </c>
      <c r="C1193" s="12" t="s">
        <v>732</v>
      </c>
      <c r="D1193" s="12" t="s">
        <v>844</v>
      </c>
      <c r="E1193" s="89">
        <f t="shared" ca="1" si="118"/>
        <v>40951</v>
      </c>
      <c r="F1193" s="11">
        <f>DATE(52,99,9)</f>
        <v>21984</v>
      </c>
      <c r="G1193" s="12">
        <f t="shared" ca="1" si="114"/>
        <v>52</v>
      </c>
      <c r="H1193" s="12">
        <f t="shared" ca="1" si="115"/>
        <v>-1</v>
      </c>
      <c r="I1193" s="13">
        <f t="shared" ca="1" si="116"/>
        <v>3</v>
      </c>
      <c r="J1193" s="14">
        <f t="shared" ca="1" si="113"/>
        <v>51</v>
      </c>
      <c r="K1193" s="12" t="s">
        <v>41</v>
      </c>
      <c r="L1193" s="12">
        <v>94</v>
      </c>
      <c r="M1193" s="12" t="s">
        <v>40</v>
      </c>
      <c r="N1193" s="12">
        <v>254</v>
      </c>
    </row>
    <row r="1194" spans="1:15">
      <c r="A1194" s="12">
        <f t="shared" si="117"/>
        <v>1191</v>
      </c>
      <c r="B1194" s="12" t="s">
        <v>13</v>
      </c>
      <c r="C1194" s="12" t="s">
        <v>845</v>
      </c>
      <c r="D1194" s="12" t="s">
        <v>844</v>
      </c>
      <c r="E1194" s="89">
        <f t="shared" ca="1" si="118"/>
        <v>40951</v>
      </c>
      <c r="F1194" s="11">
        <f>DATE(76,4,2)</f>
        <v>27852</v>
      </c>
      <c r="G1194" s="12">
        <f t="shared" ca="1" si="114"/>
        <v>36</v>
      </c>
      <c r="H1194" s="12">
        <f t="shared" ca="1" si="115"/>
        <v>-2</v>
      </c>
      <c r="I1194" s="13">
        <f t="shared" ca="1" si="116"/>
        <v>10</v>
      </c>
      <c r="J1194" s="14">
        <f t="shared" ca="1" si="113"/>
        <v>35</v>
      </c>
      <c r="K1194" s="12" t="s">
        <v>40</v>
      </c>
      <c r="L1194" s="12">
        <v>94</v>
      </c>
      <c r="M1194" s="12" t="s">
        <v>40</v>
      </c>
      <c r="N1194" s="12">
        <v>254</v>
      </c>
    </row>
    <row r="1195" spans="1:15">
      <c r="A1195" s="12">
        <f t="shared" si="117"/>
        <v>1192</v>
      </c>
      <c r="B1195" s="12" t="s">
        <v>13</v>
      </c>
      <c r="C1195" s="12" t="s">
        <v>122</v>
      </c>
      <c r="D1195" s="12" t="s">
        <v>844</v>
      </c>
      <c r="E1195" s="89">
        <f t="shared" ca="1" si="118"/>
        <v>40951</v>
      </c>
      <c r="F1195" s="11">
        <f>DATE(78,11,18)</f>
        <v>28812</v>
      </c>
      <c r="G1195" s="12">
        <f t="shared" ca="1" si="114"/>
        <v>34</v>
      </c>
      <c r="H1195" s="12">
        <f t="shared" ca="1" si="115"/>
        <v>-9</v>
      </c>
      <c r="I1195" s="13">
        <f t="shared" ca="1" si="116"/>
        <v>-6</v>
      </c>
      <c r="J1195" s="14">
        <f t="shared" ca="1" si="113"/>
        <v>33</v>
      </c>
      <c r="K1195" s="12" t="s">
        <v>41</v>
      </c>
      <c r="L1195" s="12">
        <v>94</v>
      </c>
      <c r="M1195" s="12" t="s">
        <v>40</v>
      </c>
      <c r="N1195" s="12">
        <v>254</v>
      </c>
    </row>
    <row r="1196" spans="1:15">
      <c r="A1196" s="12">
        <f t="shared" si="117"/>
        <v>1193</v>
      </c>
      <c r="B1196" s="12" t="s">
        <v>13</v>
      </c>
      <c r="C1196" s="12" t="s">
        <v>846</v>
      </c>
      <c r="D1196" s="12" t="s">
        <v>844</v>
      </c>
      <c r="E1196" s="89">
        <f t="shared" ca="1" si="118"/>
        <v>40951</v>
      </c>
      <c r="F1196" s="11">
        <f>DATE(2002,10,31)</f>
        <v>37560</v>
      </c>
      <c r="G1196" s="12">
        <f t="shared" ca="1" si="114"/>
        <v>10</v>
      </c>
      <c r="H1196" s="12">
        <f t="shared" ca="1" si="115"/>
        <v>-8</v>
      </c>
      <c r="I1196" s="13">
        <f t="shared" ca="1" si="116"/>
        <v>-19</v>
      </c>
      <c r="J1196" s="14">
        <f t="shared" ca="1" si="113"/>
        <v>9</v>
      </c>
      <c r="K1196" s="12" t="s">
        <v>40</v>
      </c>
      <c r="L1196" s="12">
        <v>94</v>
      </c>
      <c r="M1196" s="12" t="s">
        <v>44</v>
      </c>
      <c r="N1196" s="12">
        <v>254</v>
      </c>
    </row>
    <row r="1197" spans="1:15">
      <c r="A1197" s="12">
        <f t="shared" si="117"/>
        <v>1194</v>
      </c>
      <c r="B1197" s="12" t="s">
        <v>13</v>
      </c>
      <c r="C1197" s="12" t="s">
        <v>847</v>
      </c>
      <c r="D1197" s="12" t="s">
        <v>844</v>
      </c>
      <c r="E1197" s="89">
        <f t="shared" ca="1" si="118"/>
        <v>40951</v>
      </c>
      <c r="F1197" s="11">
        <f>DATE(2004,9,25)</f>
        <v>38255</v>
      </c>
      <c r="G1197" s="12">
        <f t="shared" ca="1" si="114"/>
        <v>8</v>
      </c>
      <c r="H1197" s="12">
        <f t="shared" ca="1" si="115"/>
        <v>-7</v>
      </c>
      <c r="I1197" s="13">
        <f t="shared" ca="1" si="116"/>
        <v>-13</v>
      </c>
      <c r="J1197" s="14">
        <f t="shared" ca="1" si="113"/>
        <v>7</v>
      </c>
      <c r="K1197" s="12" t="s">
        <v>41</v>
      </c>
      <c r="L1197" s="12">
        <v>94</v>
      </c>
      <c r="M1197" s="12" t="s">
        <v>44</v>
      </c>
      <c r="N1197" s="12">
        <v>254</v>
      </c>
    </row>
    <row r="1198" spans="1:15">
      <c r="A1198" s="12">
        <f t="shared" si="117"/>
        <v>1195</v>
      </c>
      <c r="B1198" s="12" t="s">
        <v>13</v>
      </c>
      <c r="C1198" s="12" t="s">
        <v>96</v>
      </c>
      <c r="D1198" s="12" t="s">
        <v>521</v>
      </c>
      <c r="E1198" s="89">
        <f t="shared" ca="1" si="118"/>
        <v>40951</v>
      </c>
      <c r="F1198" s="11">
        <f>DATE(73,12,15)</f>
        <v>27013</v>
      </c>
      <c r="G1198" s="12">
        <f t="shared" ca="1" si="114"/>
        <v>39</v>
      </c>
      <c r="H1198" s="12">
        <f t="shared" ca="1" si="115"/>
        <v>-10</v>
      </c>
      <c r="I1198" s="13">
        <f t="shared" ca="1" si="116"/>
        <v>-3</v>
      </c>
      <c r="J1198" s="14">
        <f t="shared" ca="1" si="113"/>
        <v>38</v>
      </c>
      <c r="K1198" s="12" t="s">
        <v>40</v>
      </c>
      <c r="L1198" s="12">
        <v>94</v>
      </c>
      <c r="M1198" s="12" t="s">
        <v>40</v>
      </c>
      <c r="N1198" s="12">
        <v>255</v>
      </c>
      <c r="O1198" s="90" t="s">
        <v>2748</v>
      </c>
    </row>
    <row r="1199" spans="1:15">
      <c r="A1199" s="12">
        <f t="shared" si="117"/>
        <v>1196</v>
      </c>
      <c r="B1199" s="12" t="s">
        <v>13</v>
      </c>
      <c r="C1199" s="12" t="s">
        <v>848</v>
      </c>
      <c r="D1199" s="12" t="s">
        <v>96</v>
      </c>
      <c r="E1199" s="89">
        <f t="shared" ca="1" si="118"/>
        <v>40951</v>
      </c>
      <c r="F1199" s="11">
        <f>DATE(76,11,2)</f>
        <v>28066</v>
      </c>
      <c r="G1199" s="12">
        <f t="shared" ca="1" si="114"/>
        <v>36</v>
      </c>
      <c r="H1199" s="12">
        <f t="shared" ca="1" si="115"/>
        <v>-9</v>
      </c>
      <c r="I1199" s="13">
        <f t="shared" ca="1" si="116"/>
        <v>10</v>
      </c>
      <c r="J1199" s="14">
        <f t="shared" ca="1" si="113"/>
        <v>35</v>
      </c>
      <c r="K1199" s="12" t="s">
        <v>41</v>
      </c>
      <c r="L1199" s="12">
        <v>94</v>
      </c>
      <c r="M1199" s="12" t="s">
        <v>40</v>
      </c>
      <c r="N1199" s="12">
        <v>255</v>
      </c>
    </row>
    <row r="1200" spans="1:15">
      <c r="A1200" s="12">
        <f t="shared" si="117"/>
        <v>1197</v>
      </c>
      <c r="B1200" s="12" t="s">
        <v>13</v>
      </c>
      <c r="C1200" s="12" t="s">
        <v>590</v>
      </c>
      <c r="D1200" s="12" t="s">
        <v>96</v>
      </c>
      <c r="E1200" s="89">
        <f t="shared" ca="1" si="118"/>
        <v>40951</v>
      </c>
      <c r="F1200" s="11">
        <f>DATE(2001,7,5)</f>
        <v>37077</v>
      </c>
      <c r="G1200" s="12">
        <f t="shared" ca="1" si="114"/>
        <v>11</v>
      </c>
      <c r="H1200" s="12">
        <f t="shared" ca="1" si="115"/>
        <v>-5</v>
      </c>
      <c r="I1200" s="13">
        <f t="shared" ca="1" si="116"/>
        <v>7</v>
      </c>
      <c r="J1200" s="14">
        <f t="shared" ca="1" si="113"/>
        <v>10</v>
      </c>
      <c r="K1200" s="12" t="s">
        <v>41</v>
      </c>
      <c r="L1200" s="12">
        <v>94</v>
      </c>
      <c r="M1200" s="12" t="s">
        <v>44</v>
      </c>
      <c r="N1200" s="12">
        <v>255</v>
      </c>
    </row>
    <row r="1201" spans="1:15">
      <c r="A1201" s="12">
        <f t="shared" si="117"/>
        <v>1198</v>
      </c>
      <c r="B1201" s="12" t="s">
        <v>13</v>
      </c>
      <c r="C1201" s="12" t="s">
        <v>802</v>
      </c>
      <c r="D1201" s="12" t="s">
        <v>96</v>
      </c>
      <c r="E1201" s="89">
        <f t="shared" ca="1" si="118"/>
        <v>40951</v>
      </c>
      <c r="F1201" s="11">
        <f>DATE(2006,7,7)</f>
        <v>38905</v>
      </c>
      <c r="G1201" s="12">
        <f t="shared" ca="1" si="114"/>
        <v>6</v>
      </c>
      <c r="H1201" s="12">
        <f t="shared" ca="1" si="115"/>
        <v>-5</v>
      </c>
      <c r="I1201" s="13">
        <f t="shared" ca="1" si="116"/>
        <v>5</v>
      </c>
      <c r="J1201" s="14">
        <f t="shared" ca="1" si="113"/>
        <v>5</v>
      </c>
      <c r="K1201" s="12" t="s">
        <v>40</v>
      </c>
      <c r="L1201" s="12">
        <v>94</v>
      </c>
      <c r="M1201" s="12" t="s">
        <v>44</v>
      </c>
      <c r="N1201" s="12">
        <v>255</v>
      </c>
    </row>
    <row r="1202" spans="1:15">
      <c r="A1202" s="12">
        <f t="shared" si="117"/>
        <v>1199</v>
      </c>
      <c r="B1202" s="12" t="s">
        <v>13</v>
      </c>
      <c r="C1202" s="12" t="s">
        <v>123</v>
      </c>
      <c r="D1202" s="12" t="s">
        <v>849</v>
      </c>
      <c r="E1202" s="89">
        <f t="shared" ca="1" si="118"/>
        <v>40951</v>
      </c>
      <c r="F1202" s="11">
        <f>DATE(67,88,15)</f>
        <v>27134</v>
      </c>
      <c r="G1202" s="12">
        <f t="shared" ca="1" si="114"/>
        <v>38</v>
      </c>
      <c r="H1202" s="12">
        <f t="shared" ca="1" si="115"/>
        <v>-2</v>
      </c>
      <c r="I1202" s="13">
        <f t="shared" ca="1" si="116"/>
        <v>-3</v>
      </c>
      <c r="J1202" s="14">
        <f t="shared" ca="1" si="113"/>
        <v>37</v>
      </c>
      <c r="K1202" s="12" t="s">
        <v>40</v>
      </c>
      <c r="L1202" s="12">
        <v>94</v>
      </c>
      <c r="M1202" s="12" t="s">
        <v>40</v>
      </c>
      <c r="N1202" s="12">
        <v>256</v>
      </c>
      <c r="O1202" s="90" t="s">
        <v>2748</v>
      </c>
    </row>
    <row r="1203" spans="1:15">
      <c r="A1203" s="12">
        <f t="shared" si="117"/>
        <v>1200</v>
      </c>
      <c r="B1203" s="12" t="s">
        <v>13</v>
      </c>
      <c r="C1203" s="12" t="s">
        <v>238</v>
      </c>
      <c r="D1203" s="12" t="s">
        <v>123</v>
      </c>
      <c r="E1203" s="89">
        <f t="shared" ca="1" si="118"/>
        <v>40951</v>
      </c>
      <c r="F1203" s="11">
        <f>DATE(72,3,10)</f>
        <v>26368</v>
      </c>
      <c r="G1203" s="12">
        <f t="shared" ca="1" si="114"/>
        <v>40</v>
      </c>
      <c r="H1203" s="12">
        <f t="shared" ca="1" si="115"/>
        <v>-1</v>
      </c>
      <c r="I1203" s="13">
        <f t="shared" ca="1" si="116"/>
        <v>2</v>
      </c>
      <c r="J1203" s="14">
        <f t="shared" ca="1" si="113"/>
        <v>39</v>
      </c>
      <c r="K1203" s="12" t="s">
        <v>41</v>
      </c>
      <c r="L1203" s="12">
        <v>94</v>
      </c>
      <c r="M1203" s="12" t="s">
        <v>40</v>
      </c>
      <c r="N1203" s="12">
        <v>256</v>
      </c>
    </row>
    <row r="1204" spans="1:15">
      <c r="A1204" s="12">
        <f t="shared" si="117"/>
        <v>1201</v>
      </c>
      <c r="B1204" s="12" t="s">
        <v>13</v>
      </c>
      <c r="C1204" s="12" t="s">
        <v>850</v>
      </c>
      <c r="D1204" s="12" t="s">
        <v>123</v>
      </c>
      <c r="E1204" s="89">
        <f t="shared" ca="1" si="118"/>
        <v>40951</v>
      </c>
      <c r="F1204" s="11">
        <f>DATE(97,7,23)</f>
        <v>35634</v>
      </c>
      <c r="G1204" s="12">
        <f t="shared" ca="1" si="114"/>
        <v>15</v>
      </c>
      <c r="H1204" s="12">
        <f t="shared" ca="1" si="115"/>
        <v>-5</v>
      </c>
      <c r="I1204" s="13">
        <f t="shared" ca="1" si="116"/>
        <v>-11</v>
      </c>
      <c r="J1204" s="14">
        <f t="shared" ca="1" si="113"/>
        <v>14</v>
      </c>
      <c r="K1204" s="12" t="s">
        <v>40</v>
      </c>
      <c r="L1204" s="12">
        <v>94</v>
      </c>
      <c r="M1204" s="12" t="s">
        <v>44</v>
      </c>
      <c r="N1204" s="12">
        <v>256</v>
      </c>
    </row>
    <row r="1205" spans="1:15">
      <c r="A1205" s="12">
        <f t="shared" si="117"/>
        <v>1202</v>
      </c>
      <c r="B1205" s="12" t="s">
        <v>13</v>
      </c>
      <c r="C1205" s="12" t="s">
        <v>851</v>
      </c>
      <c r="D1205" s="12" t="s">
        <v>837</v>
      </c>
      <c r="E1205" s="89">
        <f t="shared" ca="1" si="118"/>
        <v>40951</v>
      </c>
      <c r="F1205" s="32"/>
      <c r="G1205" s="12">
        <f t="shared" ca="1" si="114"/>
        <v>112</v>
      </c>
      <c r="H1205" s="12">
        <f t="shared" ca="1" si="115"/>
        <v>1</v>
      </c>
      <c r="I1205" s="13">
        <f t="shared" ca="1" si="116"/>
        <v>12</v>
      </c>
      <c r="J1205" s="14">
        <f t="shared" ca="1" si="113"/>
        <v>112</v>
      </c>
      <c r="K1205" s="12" t="s">
        <v>41</v>
      </c>
      <c r="L1205" s="12">
        <v>95</v>
      </c>
      <c r="M1205" s="12" t="s">
        <v>40</v>
      </c>
      <c r="N1205" s="12">
        <v>257</v>
      </c>
      <c r="O1205" s="90" t="s">
        <v>2748</v>
      </c>
    </row>
    <row r="1206" spans="1:15">
      <c r="A1206" s="12">
        <f t="shared" si="117"/>
        <v>1203</v>
      </c>
      <c r="B1206" s="12" t="s">
        <v>13</v>
      </c>
      <c r="C1206" s="12" t="s">
        <v>852</v>
      </c>
      <c r="D1206" s="12" t="s">
        <v>837</v>
      </c>
      <c r="E1206" s="89">
        <f t="shared" ca="1" si="118"/>
        <v>40951</v>
      </c>
      <c r="F1206" s="11">
        <f>DATE(72,3,9)</f>
        <v>26367</v>
      </c>
      <c r="G1206" s="12">
        <f t="shared" ca="1" si="114"/>
        <v>40</v>
      </c>
      <c r="H1206" s="12">
        <f t="shared" ca="1" si="115"/>
        <v>-1</v>
      </c>
      <c r="I1206" s="13">
        <f t="shared" ca="1" si="116"/>
        <v>3</v>
      </c>
      <c r="J1206" s="14">
        <f t="shared" ca="1" si="113"/>
        <v>39</v>
      </c>
      <c r="K1206" s="12" t="s">
        <v>40</v>
      </c>
      <c r="L1206" s="12">
        <v>95</v>
      </c>
      <c r="M1206" s="12" t="s">
        <v>40</v>
      </c>
      <c r="N1206" s="12">
        <v>257</v>
      </c>
    </row>
    <row r="1207" spans="1:15">
      <c r="A1207" s="12">
        <f t="shared" si="117"/>
        <v>1204</v>
      </c>
      <c r="B1207" s="12" t="s">
        <v>13</v>
      </c>
      <c r="C1207" s="12" t="s">
        <v>288</v>
      </c>
      <c r="D1207" s="12" t="s">
        <v>852</v>
      </c>
      <c r="E1207" s="89">
        <f t="shared" ca="1" si="118"/>
        <v>40951</v>
      </c>
      <c r="F1207" s="11">
        <f>DATE(75,7,14)</f>
        <v>27589</v>
      </c>
      <c r="G1207" s="12">
        <f t="shared" ca="1" si="114"/>
        <v>37</v>
      </c>
      <c r="H1207" s="12">
        <f t="shared" ca="1" si="115"/>
        <v>-5</v>
      </c>
      <c r="I1207" s="13">
        <f t="shared" ca="1" si="116"/>
        <v>-2</v>
      </c>
      <c r="J1207" s="14">
        <f t="shared" ca="1" si="113"/>
        <v>36</v>
      </c>
      <c r="K1207" s="12" t="s">
        <v>41</v>
      </c>
      <c r="L1207" s="12">
        <v>95</v>
      </c>
      <c r="M1207" s="12" t="s">
        <v>40</v>
      </c>
      <c r="N1207" s="12">
        <v>257</v>
      </c>
    </row>
    <row r="1208" spans="1:15">
      <c r="A1208" s="12">
        <f t="shared" si="117"/>
        <v>1205</v>
      </c>
      <c r="B1208" s="12" t="s">
        <v>13</v>
      </c>
      <c r="C1208" s="12" t="s">
        <v>853</v>
      </c>
      <c r="D1208" s="12" t="s">
        <v>852</v>
      </c>
      <c r="E1208" s="89">
        <f t="shared" ca="1" si="118"/>
        <v>40951</v>
      </c>
      <c r="F1208" s="11">
        <f>DATE(2000,7,24)</f>
        <v>36731</v>
      </c>
      <c r="G1208" s="12">
        <f t="shared" ca="1" si="114"/>
        <v>12</v>
      </c>
      <c r="H1208" s="12">
        <f t="shared" ca="1" si="115"/>
        <v>-5</v>
      </c>
      <c r="I1208" s="13">
        <f t="shared" ca="1" si="116"/>
        <v>-12</v>
      </c>
      <c r="J1208" s="14">
        <f t="shared" ca="1" si="113"/>
        <v>11</v>
      </c>
      <c r="K1208" s="12" t="s">
        <v>40</v>
      </c>
      <c r="L1208" s="12">
        <v>95</v>
      </c>
      <c r="M1208" s="12" t="s">
        <v>44</v>
      </c>
      <c r="N1208" s="12">
        <v>257</v>
      </c>
    </row>
    <row r="1209" spans="1:15">
      <c r="A1209" s="12">
        <f t="shared" si="117"/>
        <v>1206</v>
      </c>
      <c r="B1209" s="12" t="s">
        <v>13</v>
      </c>
      <c r="C1209" s="12" t="s">
        <v>854</v>
      </c>
      <c r="D1209" s="12" t="s">
        <v>852</v>
      </c>
      <c r="E1209" s="89">
        <f t="shared" ca="1" si="118"/>
        <v>40951</v>
      </c>
      <c r="F1209" s="11">
        <f>DATE(2003,10,5)</f>
        <v>37899</v>
      </c>
      <c r="G1209" s="12">
        <f t="shared" ca="1" si="114"/>
        <v>9</v>
      </c>
      <c r="H1209" s="12">
        <f t="shared" ca="1" si="115"/>
        <v>-8</v>
      </c>
      <c r="I1209" s="13">
        <f t="shared" ca="1" si="116"/>
        <v>7</v>
      </c>
      <c r="J1209" s="14">
        <f t="shared" ca="1" si="113"/>
        <v>8</v>
      </c>
      <c r="K1209" s="12" t="s">
        <v>40</v>
      </c>
      <c r="L1209" s="12">
        <v>95</v>
      </c>
      <c r="M1209" s="12" t="s">
        <v>44</v>
      </c>
      <c r="N1209" s="12">
        <v>257</v>
      </c>
    </row>
    <row r="1210" spans="1:15">
      <c r="A1210" s="12">
        <f t="shared" si="117"/>
        <v>1207</v>
      </c>
      <c r="B1210" s="12" t="s">
        <v>13</v>
      </c>
      <c r="C1210" s="12" t="s">
        <v>855</v>
      </c>
      <c r="D1210" s="12" t="s">
        <v>832</v>
      </c>
      <c r="E1210" s="89">
        <f t="shared" ca="1" si="118"/>
        <v>40951</v>
      </c>
      <c r="F1210" s="11">
        <f>DATE(64,7,3)</f>
        <v>23561</v>
      </c>
      <c r="G1210" s="12">
        <f t="shared" ca="1" si="114"/>
        <v>48</v>
      </c>
      <c r="H1210" s="12">
        <f t="shared" ca="1" si="115"/>
        <v>-5</v>
      </c>
      <c r="I1210" s="13">
        <f t="shared" ca="1" si="116"/>
        <v>9</v>
      </c>
      <c r="J1210" s="14">
        <f t="shared" ca="1" si="113"/>
        <v>47</v>
      </c>
      <c r="K1210" s="12" t="s">
        <v>40</v>
      </c>
      <c r="L1210" s="12">
        <v>95</v>
      </c>
      <c r="M1210" s="12" t="s">
        <v>40</v>
      </c>
      <c r="N1210" s="12">
        <v>258</v>
      </c>
      <c r="O1210" s="90" t="s">
        <v>2748</v>
      </c>
    </row>
    <row r="1211" spans="1:15">
      <c r="A1211" s="12">
        <f t="shared" si="117"/>
        <v>1208</v>
      </c>
      <c r="B1211" s="12" t="s">
        <v>13</v>
      </c>
      <c r="C1211" s="12" t="s">
        <v>662</v>
      </c>
      <c r="D1211" s="12" t="s">
        <v>855</v>
      </c>
      <c r="E1211" s="89">
        <f t="shared" ca="1" si="118"/>
        <v>40951</v>
      </c>
      <c r="F1211" s="11">
        <f>DATE(71,6,23)</f>
        <v>26107</v>
      </c>
      <c r="G1211" s="12">
        <f t="shared" ca="1" si="114"/>
        <v>41</v>
      </c>
      <c r="H1211" s="12">
        <f t="shared" ca="1" si="115"/>
        <v>-4</v>
      </c>
      <c r="I1211" s="13">
        <f t="shared" ca="1" si="116"/>
        <v>-11</v>
      </c>
      <c r="J1211" s="14">
        <f t="shared" ca="1" si="113"/>
        <v>40</v>
      </c>
      <c r="K1211" s="12" t="s">
        <v>41</v>
      </c>
      <c r="L1211" s="12">
        <v>95</v>
      </c>
      <c r="M1211" s="12" t="s">
        <v>40</v>
      </c>
      <c r="N1211" s="12">
        <v>258</v>
      </c>
    </row>
    <row r="1212" spans="1:15">
      <c r="A1212" s="12">
        <f t="shared" si="117"/>
        <v>1209</v>
      </c>
      <c r="B1212" s="12" t="s">
        <v>13</v>
      </c>
      <c r="C1212" s="12" t="s">
        <v>856</v>
      </c>
      <c r="D1212" s="12" t="s">
        <v>855</v>
      </c>
      <c r="E1212" s="89">
        <f t="shared" ca="1" si="118"/>
        <v>40951</v>
      </c>
      <c r="F1212" s="11">
        <f>DATE(92,7,10)</f>
        <v>33795</v>
      </c>
      <c r="G1212" s="12">
        <f t="shared" ca="1" si="114"/>
        <v>20</v>
      </c>
      <c r="H1212" s="12">
        <f t="shared" ca="1" si="115"/>
        <v>-5</v>
      </c>
      <c r="I1212" s="13">
        <f t="shared" ca="1" si="116"/>
        <v>2</v>
      </c>
      <c r="J1212" s="14">
        <f t="shared" ca="1" si="113"/>
        <v>19</v>
      </c>
      <c r="K1212" s="12" t="s">
        <v>41</v>
      </c>
      <c r="L1212" s="12">
        <v>95</v>
      </c>
      <c r="M1212" s="12" t="s">
        <v>44</v>
      </c>
      <c r="N1212" s="12">
        <v>258</v>
      </c>
    </row>
    <row r="1213" spans="1:15">
      <c r="A1213" s="12">
        <f t="shared" si="117"/>
        <v>1210</v>
      </c>
      <c r="B1213" s="12" t="s">
        <v>13</v>
      </c>
      <c r="C1213" s="12" t="s">
        <v>857</v>
      </c>
      <c r="D1213" s="12" t="s">
        <v>855</v>
      </c>
      <c r="E1213" s="89">
        <f t="shared" ca="1" si="118"/>
        <v>40951</v>
      </c>
      <c r="F1213" s="11">
        <f>DATE(98,9,13)</f>
        <v>36051</v>
      </c>
      <c r="G1213" s="12">
        <f t="shared" ca="1" si="114"/>
        <v>14</v>
      </c>
      <c r="H1213" s="12">
        <f t="shared" ca="1" si="115"/>
        <v>-7</v>
      </c>
      <c r="I1213" s="13">
        <f t="shared" ca="1" si="116"/>
        <v>-1</v>
      </c>
      <c r="J1213" s="14">
        <f t="shared" ca="1" si="113"/>
        <v>13</v>
      </c>
      <c r="K1213" s="12" t="s">
        <v>40</v>
      </c>
      <c r="L1213" s="12">
        <v>95</v>
      </c>
      <c r="M1213" s="12" t="s">
        <v>44</v>
      </c>
      <c r="N1213" s="12">
        <v>258</v>
      </c>
    </row>
    <row r="1214" spans="1:15">
      <c r="A1214" s="12">
        <f t="shared" si="117"/>
        <v>1211</v>
      </c>
      <c r="B1214" s="12" t="s">
        <v>13</v>
      </c>
      <c r="C1214" s="12" t="s">
        <v>665</v>
      </c>
      <c r="D1214" s="12" t="s">
        <v>832</v>
      </c>
      <c r="E1214" s="89">
        <f t="shared" ca="1" si="118"/>
        <v>40951</v>
      </c>
      <c r="F1214" s="11">
        <f>DATE(68,9,3)</f>
        <v>25084</v>
      </c>
      <c r="G1214" s="12">
        <f t="shared" ca="1" si="114"/>
        <v>44</v>
      </c>
      <c r="H1214" s="12">
        <f t="shared" ca="1" si="115"/>
        <v>-7</v>
      </c>
      <c r="I1214" s="13">
        <f t="shared" ca="1" si="116"/>
        <v>9</v>
      </c>
      <c r="J1214" s="14">
        <f t="shared" ca="1" si="113"/>
        <v>43</v>
      </c>
      <c r="K1214" s="12" t="s">
        <v>40</v>
      </c>
      <c r="L1214" s="12">
        <v>95</v>
      </c>
      <c r="M1214" s="12" t="s">
        <v>40</v>
      </c>
      <c r="N1214" s="12">
        <v>259</v>
      </c>
      <c r="O1214" s="90" t="s">
        <v>2748</v>
      </c>
    </row>
    <row r="1215" spans="1:15">
      <c r="A1215" s="12">
        <f t="shared" si="117"/>
        <v>1212</v>
      </c>
      <c r="B1215" s="12" t="s">
        <v>13</v>
      </c>
      <c r="C1215" s="12" t="s">
        <v>858</v>
      </c>
      <c r="D1215" s="12" t="s">
        <v>665</v>
      </c>
      <c r="E1215" s="89">
        <f t="shared" ca="1" si="118"/>
        <v>40951</v>
      </c>
      <c r="F1215" s="11">
        <f>DATE(73,6,18)</f>
        <v>26833</v>
      </c>
      <c r="G1215" s="12">
        <f t="shared" ca="1" si="114"/>
        <v>39</v>
      </c>
      <c r="H1215" s="12">
        <f t="shared" ca="1" si="115"/>
        <v>-4</v>
      </c>
      <c r="I1215" s="13">
        <f t="shared" ca="1" si="116"/>
        <v>-6</v>
      </c>
      <c r="J1215" s="14">
        <f t="shared" ca="1" si="113"/>
        <v>38</v>
      </c>
      <c r="K1215" s="12" t="s">
        <v>41</v>
      </c>
      <c r="L1215" s="12">
        <v>95</v>
      </c>
      <c r="M1215" s="12" t="s">
        <v>40</v>
      </c>
      <c r="N1215" s="12">
        <v>259</v>
      </c>
    </row>
    <row r="1216" spans="1:15">
      <c r="A1216" s="12">
        <f t="shared" si="117"/>
        <v>1213</v>
      </c>
      <c r="B1216" s="12" t="s">
        <v>13</v>
      </c>
      <c r="C1216" s="12" t="s">
        <v>859</v>
      </c>
      <c r="D1216" s="12" t="s">
        <v>665</v>
      </c>
      <c r="E1216" s="89">
        <f t="shared" ca="1" si="118"/>
        <v>40951</v>
      </c>
      <c r="F1216" s="11">
        <f>DATE(97,1,30)</f>
        <v>35460</v>
      </c>
      <c r="G1216" s="12">
        <f t="shared" ca="1" si="114"/>
        <v>15</v>
      </c>
      <c r="H1216" s="12">
        <f t="shared" ca="1" si="115"/>
        <v>1</v>
      </c>
      <c r="I1216" s="13">
        <f t="shared" ca="1" si="116"/>
        <v>-18</v>
      </c>
      <c r="J1216" s="14">
        <f t="shared" ca="1" si="113"/>
        <v>15</v>
      </c>
      <c r="K1216" s="12" t="s">
        <v>40</v>
      </c>
      <c r="L1216" s="12">
        <v>95</v>
      </c>
      <c r="M1216" s="12" t="s">
        <v>44</v>
      </c>
      <c r="N1216" s="12">
        <v>259</v>
      </c>
    </row>
    <row r="1217" spans="1:15">
      <c r="A1217" s="12">
        <f t="shared" si="117"/>
        <v>1214</v>
      </c>
      <c r="B1217" s="12" t="s">
        <v>13</v>
      </c>
      <c r="C1217" s="12" t="s">
        <v>851</v>
      </c>
      <c r="D1217" s="12" t="s">
        <v>837</v>
      </c>
      <c r="E1217" s="89">
        <f t="shared" ca="1" si="118"/>
        <v>40951</v>
      </c>
      <c r="F1217" s="32"/>
      <c r="G1217" s="12">
        <f t="shared" ca="1" si="114"/>
        <v>112</v>
      </c>
      <c r="H1217" s="12">
        <f t="shared" ca="1" si="115"/>
        <v>1</v>
      </c>
      <c r="I1217" s="13">
        <f t="shared" ca="1" si="116"/>
        <v>12</v>
      </c>
      <c r="J1217" s="14">
        <f t="shared" ca="1" si="113"/>
        <v>112</v>
      </c>
      <c r="K1217" s="12" t="s">
        <v>41</v>
      </c>
      <c r="L1217" s="12">
        <v>96</v>
      </c>
      <c r="M1217" s="12" t="s">
        <v>40</v>
      </c>
      <c r="N1217" s="12">
        <v>260</v>
      </c>
      <c r="O1217" s="90" t="s">
        <v>2748</v>
      </c>
    </row>
    <row r="1218" spans="1:15">
      <c r="A1218" s="12">
        <f t="shared" si="117"/>
        <v>1215</v>
      </c>
      <c r="B1218" s="12" t="s">
        <v>13</v>
      </c>
      <c r="C1218" s="12" t="s">
        <v>860</v>
      </c>
      <c r="D1218" s="12" t="s">
        <v>837</v>
      </c>
      <c r="E1218" s="89">
        <f t="shared" ca="1" si="118"/>
        <v>40951</v>
      </c>
      <c r="F1218" s="11">
        <f>DATE(66,4,25)</f>
        <v>24222</v>
      </c>
      <c r="G1218" s="12">
        <f t="shared" ca="1" si="114"/>
        <v>46</v>
      </c>
      <c r="H1218" s="12">
        <f t="shared" ca="1" si="115"/>
        <v>-2</v>
      </c>
      <c r="I1218" s="13">
        <f t="shared" ca="1" si="116"/>
        <v>-13</v>
      </c>
      <c r="J1218" s="14">
        <f t="shared" ca="1" si="113"/>
        <v>45</v>
      </c>
      <c r="K1218" s="12" t="s">
        <v>40</v>
      </c>
      <c r="L1218" s="12">
        <v>96</v>
      </c>
      <c r="M1218" s="12" t="s">
        <v>40</v>
      </c>
      <c r="N1218" s="12">
        <v>260</v>
      </c>
    </row>
    <row r="1219" spans="1:15">
      <c r="A1219" s="12">
        <f t="shared" si="117"/>
        <v>1216</v>
      </c>
      <c r="B1219" s="12" t="s">
        <v>13</v>
      </c>
      <c r="C1219" s="12" t="s">
        <v>129</v>
      </c>
      <c r="D1219" s="12" t="s">
        <v>860</v>
      </c>
      <c r="E1219" s="89">
        <f t="shared" ca="1" si="118"/>
        <v>40951</v>
      </c>
      <c r="F1219" s="11">
        <f>DATE(71,2,18)</f>
        <v>25982</v>
      </c>
      <c r="G1219" s="12">
        <f t="shared" ca="1" si="114"/>
        <v>41</v>
      </c>
      <c r="H1219" s="12">
        <f t="shared" ca="1" si="115"/>
        <v>0</v>
      </c>
      <c r="I1219" s="13">
        <f t="shared" ca="1" si="116"/>
        <v>-6</v>
      </c>
      <c r="J1219" s="14">
        <f t="shared" ca="1" si="113"/>
        <v>40</v>
      </c>
      <c r="K1219" s="12" t="s">
        <v>41</v>
      </c>
      <c r="L1219" s="12">
        <v>96</v>
      </c>
      <c r="M1219" s="12" t="s">
        <v>40</v>
      </c>
      <c r="N1219" s="12">
        <v>260</v>
      </c>
    </row>
    <row r="1220" spans="1:15">
      <c r="A1220" s="12">
        <f t="shared" si="117"/>
        <v>1217</v>
      </c>
      <c r="B1220" s="12" t="s">
        <v>13</v>
      </c>
      <c r="C1220" s="12" t="s">
        <v>776</v>
      </c>
      <c r="D1220" s="12" t="s">
        <v>860</v>
      </c>
      <c r="E1220" s="89">
        <f t="shared" ca="1" si="118"/>
        <v>40951</v>
      </c>
      <c r="F1220" s="11">
        <f>DATE(92,10,28)</f>
        <v>33905</v>
      </c>
      <c r="G1220" s="12">
        <f t="shared" ca="1" si="114"/>
        <v>20</v>
      </c>
      <c r="H1220" s="12">
        <f t="shared" ca="1" si="115"/>
        <v>-8</v>
      </c>
      <c r="I1220" s="13">
        <f t="shared" ca="1" si="116"/>
        <v>-16</v>
      </c>
      <c r="J1220" s="14">
        <f t="shared" ref="J1220:J1283" ca="1" si="119">IF(H1220&lt;0,G1220-1,IF(H1220&gt;0,G1220,IF(I1220&lt;0,G1220-1,G1220)))</f>
        <v>19</v>
      </c>
      <c r="K1220" s="12" t="s">
        <v>41</v>
      </c>
      <c r="L1220" s="12">
        <v>96</v>
      </c>
      <c r="M1220" s="12" t="s">
        <v>44</v>
      </c>
      <c r="N1220" s="12">
        <v>260</v>
      </c>
    </row>
    <row r="1221" spans="1:15">
      <c r="A1221" s="12">
        <f t="shared" si="117"/>
        <v>1218</v>
      </c>
      <c r="B1221" s="12" t="s">
        <v>13</v>
      </c>
      <c r="C1221" s="12" t="s">
        <v>861</v>
      </c>
      <c r="D1221" s="12" t="s">
        <v>860</v>
      </c>
      <c r="E1221" s="89">
        <f t="shared" ca="1" si="118"/>
        <v>40951</v>
      </c>
      <c r="F1221" s="11">
        <f>DATE(96,1,11)</f>
        <v>35075</v>
      </c>
      <c r="G1221" s="12">
        <f t="shared" ca="1" si="114"/>
        <v>16</v>
      </c>
      <c r="H1221" s="12">
        <f t="shared" ca="1" si="115"/>
        <v>1</v>
      </c>
      <c r="I1221" s="13">
        <f t="shared" ca="1" si="116"/>
        <v>1</v>
      </c>
      <c r="J1221" s="14">
        <f t="shared" ca="1" si="119"/>
        <v>16</v>
      </c>
      <c r="K1221" s="12" t="s">
        <v>41</v>
      </c>
      <c r="L1221" s="12">
        <v>96</v>
      </c>
      <c r="M1221" s="12" t="s">
        <v>44</v>
      </c>
      <c r="N1221" s="12">
        <v>260</v>
      </c>
    </row>
    <row r="1222" spans="1:15">
      <c r="A1222" s="12">
        <f t="shared" si="117"/>
        <v>1219</v>
      </c>
      <c r="B1222" s="12" t="s">
        <v>13</v>
      </c>
      <c r="C1222" s="12" t="s">
        <v>862</v>
      </c>
      <c r="D1222" s="12" t="s">
        <v>860</v>
      </c>
      <c r="E1222" s="89">
        <f t="shared" ca="1" si="118"/>
        <v>40951</v>
      </c>
      <c r="F1222" s="11">
        <f>DATE(2002,5,28)</f>
        <v>37404</v>
      </c>
      <c r="G1222" s="12">
        <f t="shared" ca="1" si="114"/>
        <v>10</v>
      </c>
      <c r="H1222" s="12">
        <f t="shared" ca="1" si="115"/>
        <v>-3</v>
      </c>
      <c r="I1222" s="13">
        <f t="shared" ca="1" si="116"/>
        <v>-16</v>
      </c>
      <c r="J1222" s="14">
        <f t="shared" ca="1" si="119"/>
        <v>9</v>
      </c>
      <c r="K1222" s="12" t="s">
        <v>40</v>
      </c>
      <c r="L1222" s="12">
        <v>96</v>
      </c>
      <c r="M1222" s="12" t="s">
        <v>44</v>
      </c>
      <c r="N1222" s="12">
        <v>260</v>
      </c>
    </row>
    <row r="1223" spans="1:15">
      <c r="A1223" s="12">
        <f t="shared" si="117"/>
        <v>1220</v>
      </c>
      <c r="B1223" s="12" t="s">
        <v>13</v>
      </c>
      <c r="C1223" s="12" t="s">
        <v>863</v>
      </c>
      <c r="D1223" s="12" t="s">
        <v>423</v>
      </c>
      <c r="E1223" s="89">
        <f t="shared" ca="1" si="118"/>
        <v>40951</v>
      </c>
      <c r="F1223" s="11">
        <f>DATE(73,5,1)</f>
        <v>26785</v>
      </c>
      <c r="G1223" s="12">
        <f t="shared" ca="1" si="114"/>
        <v>39</v>
      </c>
      <c r="H1223" s="12">
        <f t="shared" ca="1" si="115"/>
        <v>-3</v>
      </c>
      <c r="I1223" s="13">
        <f t="shared" ca="1" si="116"/>
        <v>11</v>
      </c>
      <c r="J1223" s="14">
        <f t="shared" ca="1" si="119"/>
        <v>38</v>
      </c>
      <c r="K1223" s="12" t="s">
        <v>40</v>
      </c>
      <c r="L1223" s="12">
        <v>96</v>
      </c>
      <c r="M1223" s="12" t="s">
        <v>40</v>
      </c>
      <c r="N1223" s="12">
        <v>261</v>
      </c>
      <c r="O1223" s="90" t="s">
        <v>2748</v>
      </c>
    </row>
    <row r="1224" spans="1:15">
      <c r="A1224" s="12">
        <f t="shared" si="117"/>
        <v>1221</v>
      </c>
      <c r="B1224" s="12" t="s">
        <v>13</v>
      </c>
      <c r="C1224" s="12" t="s">
        <v>231</v>
      </c>
      <c r="D1224" s="12" t="s">
        <v>863</v>
      </c>
      <c r="E1224" s="89">
        <f t="shared" ca="1" si="118"/>
        <v>40951</v>
      </c>
      <c r="F1224" s="11">
        <f>DATE(79,12,29)</f>
        <v>29218</v>
      </c>
      <c r="G1224" s="12">
        <f t="shared" ca="1" si="114"/>
        <v>33</v>
      </c>
      <c r="H1224" s="12">
        <f t="shared" ca="1" si="115"/>
        <v>-10</v>
      </c>
      <c r="I1224" s="13">
        <f t="shared" ca="1" si="116"/>
        <v>-17</v>
      </c>
      <c r="J1224" s="14">
        <f t="shared" ca="1" si="119"/>
        <v>32</v>
      </c>
      <c r="K1224" s="12" t="s">
        <v>41</v>
      </c>
      <c r="L1224" s="12">
        <v>96</v>
      </c>
      <c r="M1224" s="12" t="s">
        <v>40</v>
      </c>
      <c r="N1224" s="12">
        <v>261</v>
      </c>
    </row>
    <row r="1225" spans="1:15">
      <c r="A1225" s="12">
        <f t="shared" si="117"/>
        <v>1222</v>
      </c>
      <c r="B1225" s="12" t="s">
        <v>13</v>
      </c>
      <c r="C1225" s="12" t="s">
        <v>97</v>
      </c>
      <c r="D1225" s="12" t="s">
        <v>863</v>
      </c>
      <c r="E1225" s="89">
        <f t="shared" ca="1" si="118"/>
        <v>40951</v>
      </c>
      <c r="F1225" s="11">
        <f>DATE(2000,9,3)</f>
        <v>36772</v>
      </c>
      <c r="G1225" s="12">
        <f t="shared" ca="1" si="114"/>
        <v>12</v>
      </c>
      <c r="H1225" s="12">
        <f t="shared" ca="1" si="115"/>
        <v>-7</v>
      </c>
      <c r="I1225" s="13">
        <f t="shared" ca="1" si="116"/>
        <v>9</v>
      </c>
      <c r="J1225" s="14">
        <f t="shared" ca="1" si="119"/>
        <v>11</v>
      </c>
      <c r="K1225" s="12" t="s">
        <v>41</v>
      </c>
      <c r="L1225" s="12">
        <v>96</v>
      </c>
      <c r="M1225" s="12" t="s">
        <v>44</v>
      </c>
      <c r="N1225" s="12">
        <v>261</v>
      </c>
    </row>
    <row r="1226" spans="1:15">
      <c r="A1226" s="12">
        <f t="shared" si="117"/>
        <v>1223</v>
      </c>
      <c r="B1226" s="12" t="s">
        <v>13</v>
      </c>
      <c r="C1226" s="12" t="s">
        <v>864</v>
      </c>
      <c r="D1226" s="12" t="s">
        <v>863</v>
      </c>
      <c r="E1226" s="89">
        <f t="shared" ca="1" si="118"/>
        <v>40951</v>
      </c>
      <c r="F1226" s="11">
        <f>DATE(2002,8,2)</f>
        <v>37470</v>
      </c>
      <c r="G1226" s="12">
        <f t="shared" ca="1" si="114"/>
        <v>10</v>
      </c>
      <c r="H1226" s="12">
        <f t="shared" ca="1" si="115"/>
        <v>-6</v>
      </c>
      <c r="I1226" s="13">
        <f t="shared" ca="1" si="116"/>
        <v>10</v>
      </c>
      <c r="J1226" s="14">
        <f t="shared" ca="1" si="119"/>
        <v>9</v>
      </c>
      <c r="K1226" s="12" t="s">
        <v>41</v>
      </c>
      <c r="L1226" s="12">
        <v>96</v>
      </c>
      <c r="M1226" s="12" t="s">
        <v>44</v>
      </c>
      <c r="N1226" s="12">
        <v>261</v>
      </c>
    </row>
    <row r="1227" spans="1:15">
      <c r="A1227" s="12">
        <f t="shared" si="117"/>
        <v>1224</v>
      </c>
      <c r="B1227" s="12" t="s">
        <v>13</v>
      </c>
      <c r="C1227" s="12" t="s">
        <v>266</v>
      </c>
      <c r="D1227" s="12" t="s">
        <v>94</v>
      </c>
      <c r="E1227" s="89">
        <f t="shared" ca="1" si="118"/>
        <v>40951</v>
      </c>
      <c r="F1227" s="11">
        <f>DATE(47,7,15)</f>
        <v>17363</v>
      </c>
      <c r="G1227" s="12">
        <f t="shared" ca="1" si="114"/>
        <v>65</v>
      </c>
      <c r="H1227" s="12">
        <f t="shared" ca="1" si="115"/>
        <v>-5</v>
      </c>
      <c r="I1227" s="13">
        <f t="shared" ca="1" si="116"/>
        <v>-3</v>
      </c>
      <c r="J1227" s="14">
        <f t="shared" ca="1" si="119"/>
        <v>64</v>
      </c>
      <c r="K1227" s="12" t="s">
        <v>40</v>
      </c>
      <c r="L1227" s="12">
        <v>96</v>
      </c>
      <c r="M1227" s="12" t="s">
        <v>40</v>
      </c>
      <c r="N1227" s="12">
        <v>262</v>
      </c>
      <c r="O1227" s="90" t="s">
        <v>2748</v>
      </c>
    </row>
    <row r="1228" spans="1:15">
      <c r="A1228" s="12">
        <f t="shared" si="117"/>
        <v>1225</v>
      </c>
      <c r="B1228" s="12" t="s">
        <v>13</v>
      </c>
      <c r="C1228" s="12" t="s">
        <v>865</v>
      </c>
      <c r="D1228" s="12" t="s">
        <v>266</v>
      </c>
      <c r="E1228" s="89">
        <f t="shared" ca="1" si="118"/>
        <v>40951</v>
      </c>
      <c r="F1228" s="11">
        <f>DATE(54,10,16)</f>
        <v>20013</v>
      </c>
      <c r="G1228" s="12">
        <f t="shared" ca="1" si="114"/>
        <v>58</v>
      </c>
      <c r="H1228" s="12">
        <f t="shared" ca="1" si="115"/>
        <v>-8</v>
      </c>
      <c r="I1228" s="13">
        <f t="shared" ca="1" si="116"/>
        <v>-4</v>
      </c>
      <c r="J1228" s="14">
        <f t="shared" ca="1" si="119"/>
        <v>57</v>
      </c>
      <c r="K1228" s="12" t="s">
        <v>41</v>
      </c>
      <c r="L1228" s="12">
        <v>96</v>
      </c>
      <c r="M1228" s="12" t="s">
        <v>40</v>
      </c>
      <c r="N1228" s="12">
        <v>262</v>
      </c>
    </row>
    <row r="1229" spans="1:15">
      <c r="A1229" s="12">
        <f t="shared" si="117"/>
        <v>1226</v>
      </c>
      <c r="B1229" s="12" t="s">
        <v>13</v>
      </c>
      <c r="C1229" s="12" t="s">
        <v>866</v>
      </c>
      <c r="D1229" s="12" t="s">
        <v>94</v>
      </c>
      <c r="E1229" s="89">
        <f t="shared" ca="1" si="118"/>
        <v>40951</v>
      </c>
      <c r="F1229" s="32"/>
      <c r="G1229" s="12">
        <f t="shared" ca="1" si="114"/>
        <v>112</v>
      </c>
      <c r="H1229" s="12">
        <f t="shared" ca="1" si="115"/>
        <v>1</v>
      </c>
      <c r="I1229" s="13">
        <f t="shared" ca="1" si="116"/>
        <v>12</v>
      </c>
      <c r="J1229" s="14">
        <f t="shared" ca="1" si="119"/>
        <v>112</v>
      </c>
      <c r="K1229" s="12" t="s">
        <v>41</v>
      </c>
      <c r="L1229" s="12">
        <v>96</v>
      </c>
      <c r="M1229" s="12" t="s">
        <v>40</v>
      </c>
      <c r="N1229" s="12">
        <v>262</v>
      </c>
    </row>
    <row r="1230" spans="1:15">
      <c r="A1230" s="12">
        <f t="shared" si="117"/>
        <v>1227</v>
      </c>
      <c r="B1230" s="12" t="s">
        <v>13</v>
      </c>
      <c r="C1230" s="12" t="s">
        <v>867</v>
      </c>
      <c r="D1230" s="12" t="s">
        <v>266</v>
      </c>
      <c r="E1230" s="89">
        <f t="shared" ca="1" si="118"/>
        <v>40951</v>
      </c>
      <c r="F1230" s="11">
        <f>DATE(82,7,26)</f>
        <v>30158</v>
      </c>
      <c r="G1230" s="12">
        <f t="shared" ca="1" si="114"/>
        <v>30</v>
      </c>
      <c r="H1230" s="12">
        <f t="shared" ca="1" si="115"/>
        <v>-5</v>
      </c>
      <c r="I1230" s="13">
        <f t="shared" ca="1" si="116"/>
        <v>-14</v>
      </c>
      <c r="J1230" s="14">
        <f t="shared" ca="1" si="119"/>
        <v>29</v>
      </c>
      <c r="K1230" s="12" t="s">
        <v>41</v>
      </c>
      <c r="L1230" s="12">
        <v>96</v>
      </c>
      <c r="M1230" s="12" t="s">
        <v>44</v>
      </c>
      <c r="N1230" s="12">
        <v>262</v>
      </c>
    </row>
    <row r="1231" spans="1:15">
      <c r="A1231" s="12">
        <f t="shared" si="117"/>
        <v>1228</v>
      </c>
      <c r="B1231" s="12" t="s">
        <v>13</v>
      </c>
      <c r="C1231" s="12" t="s">
        <v>474</v>
      </c>
      <c r="D1231" s="12" t="s">
        <v>266</v>
      </c>
      <c r="E1231" s="89">
        <f t="shared" ca="1" si="118"/>
        <v>40951</v>
      </c>
      <c r="F1231" s="11">
        <f>DATE(85,7,5)</f>
        <v>31233</v>
      </c>
      <c r="G1231" s="12">
        <f t="shared" ca="1" si="114"/>
        <v>27</v>
      </c>
      <c r="H1231" s="12">
        <f t="shared" ca="1" si="115"/>
        <v>-5</v>
      </c>
      <c r="I1231" s="13">
        <f t="shared" ca="1" si="116"/>
        <v>7</v>
      </c>
      <c r="J1231" s="14">
        <f t="shared" ca="1" si="119"/>
        <v>26</v>
      </c>
      <c r="K1231" s="12" t="s">
        <v>41</v>
      </c>
      <c r="L1231" s="12">
        <v>96</v>
      </c>
      <c r="M1231" s="12" t="s">
        <v>44</v>
      </c>
      <c r="N1231" s="12">
        <v>262</v>
      </c>
    </row>
    <row r="1232" spans="1:15">
      <c r="A1232" s="12">
        <f t="shared" si="117"/>
        <v>1229</v>
      </c>
      <c r="B1232" s="12" t="s">
        <v>13</v>
      </c>
      <c r="C1232" s="12" t="s">
        <v>463</v>
      </c>
      <c r="D1232" s="12" t="s">
        <v>94</v>
      </c>
      <c r="E1232" s="89">
        <f t="shared" ca="1" si="118"/>
        <v>40951</v>
      </c>
      <c r="F1232" s="11">
        <f>DATE(55,8,4)</f>
        <v>20305</v>
      </c>
      <c r="G1232" s="12">
        <f t="shared" ca="1" si="114"/>
        <v>57</v>
      </c>
      <c r="H1232" s="12">
        <f t="shared" ca="1" si="115"/>
        <v>-6</v>
      </c>
      <c r="I1232" s="13">
        <f t="shared" ca="1" si="116"/>
        <v>8</v>
      </c>
      <c r="J1232" s="14">
        <f t="shared" ca="1" si="119"/>
        <v>56</v>
      </c>
      <c r="K1232" s="12" t="s">
        <v>40</v>
      </c>
      <c r="L1232" s="12">
        <v>96</v>
      </c>
      <c r="M1232" s="12" t="s">
        <v>40</v>
      </c>
      <c r="N1232" s="12">
        <v>262</v>
      </c>
    </row>
    <row r="1233" spans="1:15">
      <c r="A1233" s="12">
        <f t="shared" si="117"/>
        <v>1230</v>
      </c>
      <c r="B1233" s="12" t="s">
        <v>14</v>
      </c>
      <c r="C1233" s="12" t="s">
        <v>868</v>
      </c>
      <c r="D1233" s="12" t="s">
        <v>298</v>
      </c>
      <c r="E1233" s="89">
        <f t="shared" ca="1" si="118"/>
        <v>40951</v>
      </c>
      <c r="F1233" s="11">
        <f>DATE(52,10,3)</f>
        <v>19270</v>
      </c>
      <c r="G1233" s="12">
        <f t="shared" ca="1" si="114"/>
        <v>60</v>
      </c>
      <c r="H1233" s="12">
        <f t="shared" ca="1" si="115"/>
        <v>-8</v>
      </c>
      <c r="I1233" s="13">
        <f t="shared" ca="1" si="116"/>
        <v>9</v>
      </c>
      <c r="J1233" s="14">
        <f t="shared" ca="1" si="119"/>
        <v>59</v>
      </c>
      <c r="K1233" s="12" t="s">
        <v>41</v>
      </c>
      <c r="L1233" s="12">
        <v>97</v>
      </c>
      <c r="M1233" s="12" t="s">
        <v>40</v>
      </c>
      <c r="N1233" s="12">
        <v>263</v>
      </c>
      <c r="O1233" s="90" t="s">
        <v>2748</v>
      </c>
    </row>
    <row r="1234" spans="1:15">
      <c r="A1234" s="12">
        <f t="shared" si="117"/>
        <v>1231</v>
      </c>
      <c r="B1234" s="12" t="s">
        <v>14</v>
      </c>
      <c r="C1234" s="12" t="s">
        <v>308</v>
      </c>
      <c r="D1234" s="12" t="s">
        <v>298</v>
      </c>
      <c r="E1234" s="89">
        <f t="shared" ca="1" si="118"/>
        <v>40951</v>
      </c>
      <c r="F1234" s="11">
        <f>DATE(73,1,60)</f>
        <v>26724</v>
      </c>
      <c r="G1234" s="12">
        <f t="shared" ca="1" si="114"/>
        <v>39</v>
      </c>
      <c r="H1234" s="12">
        <f t="shared" ca="1" si="115"/>
        <v>-1</v>
      </c>
      <c r="I1234" s="13">
        <f t="shared" ca="1" si="116"/>
        <v>11</v>
      </c>
      <c r="J1234" s="14">
        <f t="shared" ca="1" si="119"/>
        <v>38</v>
      </c>
      <c r="K1234" s="12" t="s">
        <v>40</v>
      </c>
      <c r="L1234" s="12">
        <v>97</v>
      </c>
      <c r="M1234" s="12" t="s">
        <v>40</v>
      </c>
      <c r="N1234" s="12">
        <v>263</v>
      </c>
    </row>
    <row r="1235" spans="1:15">
      <c r="A1235" s="12">
        <f t="shared" si="117"/>
        <v>1232</v>
      </c>
      <c r="B1235" s="12" t="s">
        <v>14</v>
      </c>
      <c r="C1235" s="12" t="s">
        <v>105</v>
      </c>
      <c r="D1235" s="12" t="s">
        <v>308</v>
      </c>
      <c r="E1235" s="89">
        <f t="shared" ca="1" si="118"/>
        <v>40951</v>
      </c>
      <c r="F1235" s="11">
        <f>DATE(75,11,26)</f>
        <v>27724</v>
      </c>
      <c r="G1235" s="12">
        <f t="shared" ca="1" si="114"/>
        <v>37</v>
      </c>
      <c r="H1235" s="12">
        <f t="shared" ca="1" si="115"/>
        <v>-9</v>
      </c>
      <c r="I1235" s="13">
        <f t="shared" ca="1" si="116"/>
        <v>-14</v>
      </c>
      <c r="J1235" s="14">
        <f t="shared" ca="1" si="119"/>
        <v>36</v>
      </c>
      <c r="K1235" s="12" t="s">
        <v>41</v>
      </c>
      <c r="L1235" s="12">
        <v>97</v>
      </c>
      <c r="M1235" s="12" t="s">
        <v>40</v>
      </c>
      <c r="N1235" s="12">
        <v>263</v>
      </c>
    </row>
    <row r="1236" spans="1:15">
      <c r="A1236" s="12">
        <f t="shared" si="117"/>
        <v>1233</v>
      </c>
      <c r="B1236" s="12" t="s">
        <v>14</v>
      </c>
      <c r="C1236" s="12" t="s">
        <v>736</v>
      </c>
      <c r="D1236" s="12" t="s">
        <v>308</v>
      </c>
      <c r="E1236" s="89">
        <f t="shared" ca="1" si="118"/>
        <v>40951</v>
      </c>
      <c r="F1236" s="11">
        <f>DATE(2003,4,21)</f>
        <v>37732</v>
      </c>
      <c r="G1236" s="12">
        <f t="shared" ca="1" si="114"/>
        <v>9</v>
      </c>
      <c r="H1236" s="12">
        <f t="shared" ca="1" si="115"/>
        <v>-2</v>
      </c>
      <c r="I1236" s="13">
        <f t="shared" ca="1" si="116"/>
        <v>-9</v>
      </c>
      <c r="J1236" s="14">
        <f t="shared" ca="1" si="119"/>
        <v>8</v>
      </c>
      <c r="K1236" s="12" t="s">
        <v>41</v>
      </c>
      <c r="L1236" s="12">
        <v>97</v>
      </c>
      <c r="M1236" s="12" t="s">
        <v>44</v>
      </c>
      <c r="N1236" s="12">
        <v>263</v>
      </c>
    </row>
    <row r="1237" spans="1:15">
      <c r="A1237" s="12">
        <f t="shared" si="117"/>
        <v>1234</v>
      </c>
      <c r="B1237" s="12" t="s">
        <v>14</v>
      </c>
      <c r="C1237" s="12" t="s">
        <v>869</v>
      </c>
      <c r="D1237" s="12" t="s">
        <v>308</v>
      </c>
      <c r="E1237" s="89">
        <f t="shared" ca="1" si="118"/>
        <v>40951</v>
      </c>
      <c r="F1237" s="11">
        <f>DATE(2005,9,21)</f>
        <v>38616</v>
      </c>
      <c r="G1237" s="12">
        <f t="shared" ca="1" si="114"/>
        <v>7</v>
      </c>
      <c r="H1237" s="12">
        <f t="shared" ca="1" si="115"/>
        <v>-7</v>
      </c>
      <c r="I1237" s="13">
        <f t="shared" ca="1" si="116"/>
        <v>-9</v>
      </c>
      <c r="J1237" s="14">
        <f t="shared" ca="1" si="119"/>
        <v>6</v>
      </c>
      <c r="K1237" s="12" t="s">
        <v>40</v>
      </c>
      <c r="L1237" s="12">
        <v>97</v>
      </c>
      <c r="M1237" s="12" t="s">
        <v>44</v>
      </c>
      <c r="N1237" s="12">
        <v>263</v>
      </c>
    </row>
    <row r="1238" spans="1:15">
      <c r="A1238" s="12">
        <f t="shared" si="117"/>
        <v>1235</v>
      </c>
      <c r="B1238" s="12" t="s">
        <v>14</v>
      </c>
      <c r="E1238" s="89"/>
      <c r="F1238" s="11"/>
      <c r="I1238" s="13"/>
      <c r="N1238" s="12">
        <v>264</v>
      </c>
      <c r="O1238" s="90" t="s">
        <v>2748</v>
      </c>
    </row>
    <row r="1239" spans="1:15">
      <c r="A1239" s="12">
        <f t="shared" si="117"/>
        <v>1236</v>
      </c>
      <c r="B1239" s="12" t="s">
        <v>14</v>
      </c>
      <c r="C1239" s="12" t="s">
        <v>181</v>
      </c>
      <c r="D1239" s="12" t="s">
        <v>870</v>
      </c>
      <c r="E1239" s="89">
        <f t="shared" ca="1" si="118"/>
        <v>40951</v>
      </c>
      <c r="F1239" s="11">
        <f>DATE(65,3,15)</f>
        <v>23816</v>
      </c>
      <c r="G1239" s="12">
        <f t="shared" ca="1" si="114"/>
        <v>47</v>
      </c>
      <c r="H1239" s="12">
        <f t="shared" ca="1" si="115"/>
        <v>-1</v>
      </c>
      <c r="I1239" s="13">
        <f t="shared" ca="1" si="116"/>
        <v>-3</v>
      </c>
      <c r="J1239" s="14">
        <f t="shared" ca="1" si="119"/>
        <v>46</v>
      </c>
      <c r="K1239" s="12" t="s">
        <v>40</v>
      </c>
      <c r="L1239" s="12">
        <v>97</v>
      </c>
      <c r="M1239" s="12" t="s">
        <v>40</v>
      </c>
      <c r="N1239" s="12">
        <v>264</v>
      </c>
    </row>
    <row r="1240" spans="1:15">
      <c r="A1240" s="12">
        <f t="shared" si="117"/>
        <v>1237</v>
      </c>
      <c r="B1240" s="12" t="s">
        <v>14</v>
      </c>
      <c r="C1240" s="12" t="s">
        <v>265</v>
      </c>
      <c r="D1240" s="12" t="s">
        <v>181</v>
      </c>
      <c r="E1240" s="89">
        <f t="shared" ca="1" si="118"/>
        <v>40951</v>
      </c>
      <c r="F1240" s="11">
        <f>DATE(70,6,17)</f>
        <v>25736</v>
      </c>
      <c r="G1240" s="12">
        <f t="shared" ca="1" si="114"/>
        <v>42</v>
      </c>
      <c r="H1240" s="12">
        <f t="shared" ca="1" si="115"/>
        <v>-4</v>
      </c>
      <c r="I1240" s="13">
        <f t="shared" ca="1" si="116"/>
        <v>-5</v>
      </c>
      <c r="J1240" s="14">
        <f t="shared" ca="1" si="119"/>
        <v>41</v>
      </c>
      <c r="K1240" s="12" t="s">
        <v>41</v>
      </c>
      <c r="L1240" s="12">
        <v>97</v>
      </c>
      <c r="M1240" s="12" t="s">
        <v>40</v>
      </c>
      <c r="N1240" s="12">
        <v>264</v>
      </c>
    </row>
    <row r="1241" spans="1:15">
      <c r="A1241" s="12">
        <f t="shared" si="117"/>
        <v>1238</v>
      </c>
      <c r="B1241" s="12" t="s">
        <v>14</v>
      </c>
      <c r="C1241" s="12" t="s">
        <v>590</v>
      </c>
      <c r="D1241" s="12" t="s">
        <v>181</v>
      </c>
      <c r="E1241" s="89">
        <f t="shared" ca="1" si="118"/>
        <v>40951</v>
      </c>
      <c r="F1241" s="11">
        <f>DATE(94,11,20)</f>
        <v>34658</v>
      </c>
      <c r="G1241" s="12">
        <f t="shared" ca="1" si="114"/>
        <v>18</v>
      </c>
      <c r="H1241" s="12">
        <f t="shared" ca="1" si="115"/>
        <v>-9</v>
      </c>
      <c r="I1241" s="13">
        <f t="shared" ca="1" si="116"/>
        <v>-8</v>
      </c>
      <c r="J1241" s="14">
        <f t="shared" ca="1" si="119"/>
        <v>17</v>
      </c>
      <c r="K1241" s="12" t="s">
        <v>41</v>
      </c>
      <c r="L1241" s="12">
        <v>97</v>
      </c>
      <c r="M1241" s="12" t="s">
        <v>44</v>
      </c>
      <c r="N1241" s="12">
        <v>264</v>
      </c>
    </row>
    <row r="1242" spans="1:15">
      <c r="A1242" s="12">
        <f t="shared" si="117"/>
        <v>1239</v>
      </c>
      <c r="B1242" s="12" t="s">
        <v>14</v>
      </c>
      <c r="C1242" s="12" t="s">
        <v>871</v>
      </c>
      <c r="D1242" s="12" t="s">
        <v>181</v>
      </c>
      <c r="E1242" s="89">
        <f t="shared" ca="1" si="118"/>
        <v>40951</v>
      </c>
      <c r="F1242" s="11">
        <f>DATE(98,8,4)</f>
        <v>36011</v>
      </c>
      <c r="G1242" s="12">
        <f t="shared" ref="G1242:G1305" ca="1" si="120">YEAR(E1242)-YEAR(F1242)</f>
        <v>14</v>
      </c>
      <c r="H1242" s="12">
        <f t="shared" ref="H1242:H1305" ca="1" si="121">MONTH(E1242)-MONTH(F1242)</f>
        <v>-6</v>
      </c>
      <c r="I1242" s="13">
        <f t="shared" ref="I1242:I1305" ca="1" si="122">DAY(E1242)-DAY(F1242)</f>
        <v>8</v>
      </c>
      <c r="J1242" s="14">
        <f t="shared" ca="1" si="119"/>
        <v>13</v>
      </c>
      <c r="K1242" s="12" t="s">
        <v>41</v>
      </c>
      <c r="L1242" s="12">
        <v>97</v>
      </c>
      <c r="M1242" s="12" t="s">
        <v>44</v>
      </c>
      <c r="N1242" s="12">
        <v>264</v>
      </c>
    </row>
    <row r="1243" spans="1:15">
      <c r="A1243" s="12">
        <f t="shared" si="117"/>
        <v>1240</v>
      </c>
      <c r="B1243" s="12" t="s">
        <v>14</v>
      </c>
      <c r="C1243" s="12" t="s">
        <v>537</v>
      </c>
      <c r="D1243" s="12" t="s">
        <v>519</v>
      </c>
      <c r="E1243" s="89">
        <f t="shared" ca="1" si="118"/>
        <v>40951</v>
      </c>
      <c r="F1243" s="11">
        <f>DATE(60,3,2)</f>
        <v>21977</v>
      </c>
      <c r="G1243" s="12">
        <f t="shared" ca="1" si="120"/>
        <v>52</v>
      </c>
      <c r="H1243" s="12">
        <f t="shared" ca="1" si="121"/>
        <v>-1</v>
      </c>
      <c r="I1243" s="13">
        <f t="shared" ca="1" si="122"/>
        <v>10</v>
      </c>
      <c r="J1243" s="14">
        <f t="shared" ca="1" si="119"/>
        <v>51</v>
      </c>
      <c r="K1243" s="12" t="s">
        <v>40</v>
      </c>
      <c r="L1243" s="12">
        <v>97</v>
      </c>
      <c r="M1243" s="12" t="s">
        <v>40</v>
      </c>
      <c r="N1243" s="12">
        <v>265</v>
      </c>
      <c r="O1243" s="90" t="s">
        <v>2748</v>
      </c>
    </row>
    <row r="1244" spans="1:15">
      <c r="A1244" s="12">
        <f t="shared" si="117"/>
        <v>1241</v>
      </c>
      <c r="B1244" s="12" t="s">
        <v>14</v>
      </c>
      <c r="C1244" s="12" t="s">
        <v>872</v>
      </c>
      <c r="D1244" s="12" t="s">
        <v>537</v>
      </c>
      <c r="E1244" s="89">
        <f t="shared" ca="1" si="118"/>
        <v>40951</v>
      </c>
      <c r="F1244" s="11">
        <f>DATE(68,7,9)</f>
        <v>25028</v>
      </c>
      <c r="G1244" s="12">
        <f t="shared" ca="1" si="120"/>
        <v>44</v>
      </c>
      <c r="H1244" s="12">
        <f t="shared" ca="1" si="121"/>
        <v>-5</v>
      </c>
      <c r="I1244" s="13">
        <f t="shared" ca="1" si="122"/>
        <v>3</v>
      </c>
      <c r="J1244" s="14">
        <f t="shared" ca="1" si="119"/>
        <v>43</v>
      </c>
      <c r="K1244" s="12" t="s">
        <v>41</v>
      </c>
      <c r="L1244" s="12">
        <v>97</v>
      </c>
      <c r="M1244" s="12" t="s">
        <v>40</v>
      </c>
      <c r="N1244" s="12">
        <v>265</v>
      </c>
    </row>
    <row r="1245" spans="1:15">
      <c r="A1245" s="12">
        <f t="shared" si="117"/>
        <v>1242</v>
      </c>
      <c r="B1245" s="12" t="s">
        <v>14</v>
      </c>
      <c r="C1245" s="12" t="s">
        <v>653</v>
      </c>
      <c r="D1245" s="12" t="s">
        <v>537</v>
      </c>
      <c r="E1245" s="89">
        <f t="shared" ca="1" si="118"/>
        <v>40951</v>
      </c>
      <c r="F1245" s="11">
        <f>DATE(90,8,26)</f>
        <v>33111</v>
      </c>
      <c r="G1245" s="12">
        <f t="shared" ca="1" si="120"/>
        <v>22</v>
      </c>
      <c r="H1245" s="12">
        <f t="shared" ca="1" si="121"/>
        <v>-6</v>
      </c>
      <c r="I1245" s="13">
        <f t="shared" ca="1" si="122"/>
        <v>-14</v>
      </c>
      <c r="J1245" s="14">
        <f t="shared" ca="1" si="119"/>
        <v>21</v>
      </c>
      <c r="K1245" s="12" t="s">
        <v>41</v>
      </c>
      <c r="L1245" s="12">
        <v>97</v>
      </c>
      <c r="M1245" s="12" t="s">
        <v>44</v>
      </c>
      <c r="N1245" s="12">
        <v>265</v>
      </c>
    </row>
    <row r="1246" spans="1:15">
      <c r="A1246" s="12">
        <f t="shared" ref="A1246:A1309" si="123">A1245+1</f>
        <v>1243</v>
      </c>
      <c r="B1246" s="12" t="s">
        <v>14</v>
      </c>
      <c r="C1246" s="12" t="s">
        <v>873</v>
      </c>
      <c r="D1246" s="12" t="s">
        <v>537</v>
      </c>
      <c r="E1246" s="89">
        <f t="shared" ca="1" si="118"/>
        <v>40951</v>
      </c>
      <c r="F1246" s="11">
        <f>DATE(92,2,10)</f>
        <v>33644</v>
      </c>
      <c r="G1246" s="12">
        <f t="shared" ca="1" si="120"/>
        <v>20</v>
      </c>
      <c r="H1246" s="12">
        <f t="shared" ca="1" si="121"/>
        <v>0</v>
      </c>
      <c r="I1246" s="13">
        <f t="shared" ca="1" si="122"/>
        <v>2</v>
      </c>
      <c r="J1246" s="14">
        <f t="shared" ca="1" si="119"/>
        <v>20</v>
      </c>
      <c r="K1246" s="12" t="s">
        <v>40</v>
      </c>
      <c r="L1246" s="12">
        <v>97</v>
      </c>
      <c r="M1246" s="12" t="s">
        <v>44</v>
      </c>
      <c r="N1246" s="12">
        <v>265</v>
      </c>
    </row>
    <row r="1247" spans="1:15">
      <c r="A1247" s="12">
        <f t="shared" si="123"/>
        <v>1244</v>
      </c>
      <c r="B1247" s="12" t="s">
        <v>14</v>
      </c>
      <c r="C1247" s="12" t="s">
        <v>199</v>
      </c>
      <c r="D1247" s="12" t="s">
        <v>624</v>
      </c>
      <c r="E1247" s="89">
        <f t="shared" ca="1" si="118"/>
        <v>40951</v>
      </c>
      <c r="F1247" s="11">
        <f>DATE(44,11,21)</f>
        <v>16397</v>
      </c>
      <c r="G1247" s="12">
        <f t="shared" ca="1" si="120"/>
        <v>68</v>
      </c>
      <c r="H1247" s="12">
        <f t="shared" ca="1" si="121"/>
        <v>-9</v>
      </c>
      <c r="I1247" s="13">
        <f t="shared" ca="1" si="122"/>
        <v>-9</v>
      </c>
      <c r="J1247" s="14">
        <f t="shared" ca="1" si="119"/>
        <v>67</v>
      </c>
      <c r="K1247" s="12" t="s">
        <v>40</v>
      </c>
      <c r="L1247" s="12">
        <v>98</v>
      </c>
      <c r="M1247" s="12" t="s">
        <v>40</v>
      </c>
      <c r="N1247" s="12">
        <v>266</v>
      </c>
      <c r="O1247" s="90" t="s">
        <v>2748</v>
      </c>
    </row>
    <row r="1248" spans="1:15">
      <c r="A1248" s="12">
        <f t="shared" si="123"/>
        <v>1245</v>
      </c>
      <c r="B1248" s="12" t="s">
        <v>14</v>
      </c>
      <c r="C1248" s="12" t="s">
        <v>548</v>
      </c>
      <c r="D1248" s="12" t="s">
        <v>199</v>
      </c>
      <c r="E1248" s="89">
        <f t="shared" ca="1" si="118"/>
        <v>40951</v>
      </c>
      <c r="F1248" s="11">
        <f>DATE(50,9,27)</f>
        <v>18533</v>
      </c>
      <c r="G1248" s="12">
        <f t="shared" ca="1" si="120"/>
        <v>62</v>
      </c>
      <c r="H1248" s="12">
        <f t="shared" ca="1" si="121"/>
        <v>-7</v>
      </c>
      <c r="I1248" s="13">
        <f t="shared" ca="1" si="122"/>
        <v>-15</v>
      </c>
      <c r="J1248" s="14">
        <f t="shared" ca="1" si="119"/>
        <v>61</v>
      </c>
      <c r="K1248" s="12" t="s">
        <v>41</v>
      </c>
      <c r="L1248" s="12">
        <v>98</v>
      </c>
      <c r="M1248" s="12" t="s">
        <v>40</v>
      </c>
      <c r="N1248" s="12">
        <v>266</v>
      </c>
    </row>
    <row r="1249" spans="1:15">
      <c r="A1249" s="12">
        <f t="shared" si="123"/>
        <v>1246</v>
      </c>
      <c r="B1249" s="12" t="s">
        <v>14</v>
      </c>
      <c r="C1249" s="12" t="s">
        <v>874</v>
      </c>
      <c r="D1249" s="12" t="s">
        <v>199</v>
      </c>
      <c r="E1249" s="89">
        <f t="shared" ca="1" si="118"/>
        <v>40951</v>
      </c>
      <c r="F1249" s="11">
        <f>DATE(81,4,11)</f>
        <v>29687</v>
      </c>
      <c r="G1249" s="12">
        <f t="shared" ca="1" si="120"/>
        <v>31</v>
      </c>
      <c r="H1249" s="12">
        <f t="shared" ca="1" si="121"/>
        <v>-2</v>
      </c>
      <c r="I1249" s="13">
        <f t="shared" ca="1" si="122"/>
        <v>1</v>
      </c>
      <c r="J1249" s="14">
        <f t="shared" ca="1" si="119"/>
        <v>30</v>
      </c>
      <c r="K1249" s="12" t="s">
        <v>40</v>
      </c>
      <c r="L1249" s="12">
        <v>98</v>
      </c>
      <c r="M1249" s="12" t="s">
        <v>44</v>
      </c>
      <c r="N1249" s="12">
        <v>266</v>
      </c>
    </row>
    <row r="1250" spans="1:15">
      <c r="A1250" s="12">
        <f t="shared" si="123"/>
        <v>1247</v>
      </c>
      <c r="B1250" s="12" t="s">
        <v>14</v>
      </c>
      <c r="C1250" s="12" t="s">
        <v>49</v>
      </c>
      <c r="D1250" s="12" t="s">
        <v>519</v>
      </c>
      <c r="E1250" s="89">
        <f t="shared" ca="1" si="118"/>
        <v>40951</v>
      </c>
      <c r="F1250" s="32"/>
      <c r="G1250" s="12">
        <f t="shared" ca="1" si="120"/>
        <v>112</v>
      </c>
      <c r="H1250" s="12">
        <f t="shared" ca="1" si="121"/>
        <v>1</v>
      </c>
      <c r="I1250" s="13">
        <f t="shared" ca="1" si="122"/>
        <v>12</v>
      </c>
      <c r="J1250" s="14">
        <f t="shared" ca="1" si="119"/>
        <v>112</v>
      </c>
      <c r="K1250" s="12" t="s">
        <v>40</v>
      </c>
      <c r="L1250" s="12">
        <v>98</v>
      </c>
      <c r="M1250" s="12" t="s">
        <v>40</v>
      </c>
      <c r="N1250" s="12">
        <v>267</v>
      </c>
      <c r="O1250" s="90" t="s">
        <v>2748</v>
      </c>
    </row>
    <row r="1251" spans="1:15">
      <c r="A1251" s="12">
        <f t="shared" si="123"/>
        <v>1248</v>
      </c>
      <c r="B1251" s="12" t="s">
        <v>14</v>
      </c>
      <c r="C1251" s="12" t="s">
        <v>115</v>
      </c>
      <c r="D1251" s="12" t="s">
        <v>49</v>
      </c>
      <c r="E1251" s="89">
        <f t="shared" ca="1" si="118"/>
        <v>40951</v>
      </c>
      <c r="F1251" s="32"/>
      <c r="G1251" s="12">
        <f t="shared" ca="1" si="120"/>
        <v>112</v>
      </c>
      <c r="H1251" s="12">
        <f t="shared" ca="1" si="121"/>
        <v>1</v>
      </c>
      <c r="I1251" s="13">
        <f t="shared" ca="1" si="122"/>
        <v>12</v>
      </c>
      <c r="J1251" s="14">
        <f t="shared" ca="1" si="119"/>
        <v>112</v>
      </c>
      <c r="K1251" s="12" t="s">
        <v>41</v>
      </c>
      <c r="L1251" s="12">
        <v>98</v>
      </c>
      <c r="M1251" s="12" t="s">
        <v>40</v>
      </c>
      <c r="N1251" s="12">
        <v>267</v>
      </c>
    </row>
    <row r="1252" spans="1:15">
      <c r="A1252" s="12">
        <f t="shared" si="123"/>
        <v>1249</v>
      </c>
      <c r="B1252" s="12" t="s">
        <v>14</v>
      </c>
      <c r="C1252" s="12" t="s">
        <v>641</v>
      </c>
      <c r="D1252" s="12" t="s">
        <v>49</v>
      </c>
      <c r="E1252" s="89">
        <f t="shared" ref="E1252:E1315" ca="1" si="124">TODAY()</f>
        <v>40951</v>
      </c>
      <c r="F1252" s="11">
        <f>DATE(79,11,27)</f>
        <v>29186</v>
      </c>
      <c r="G1252" s="12">
        <f t="shared" ca="1" si="120"/>
        <v>33</v>
      </c>
      <c r="H1252" s="12">
        <f t="shared" ca="1" si="121"/>
        <v>-9</v>
      </c>
      <c r="I1252" s="13">
        <f t="shared" ca="1" si="122"/>
        <v>-15</v>
      </c>
      <c r="J1252" s="14">
        <f t="shared" ca="1" si="119"/>
        <v>32</v>
      </c>
      <c r="K1252" s="12" t="s">
        <v>40</v>
      </c>
      <c r="L1252" s="12">
        <v>98</v>
      </c>
      <c r="M1252" s="12" t="s">
        <v>40</v>
      </c>
      <c r="N1252" s="12">
        <v>267</v>
      </c>
    </row>
    <row r="1253" spans="1:15">
      <c r="A1253" s="12">
        <f t="shared" si="123"/>
        <v>1250</v>
      </c>
      <c r="B1253" s="12" t="s">
        <v>14</v>
      </c>
      <c r="C1253" s="12" t="s">
        <v>256</v>
      </c>
      <c r="D1253" s="12" t="s">
        <v>641</v>
      </c>
      <c r="E1253" s="89">
        <f t="shared" ca="1" si="124"/>
        <v>40951</v>
      </c>
      <c r="F1253" s="11">
        <f>DATE(79,10,29)</f>
        <v>29157</v>
      </c>
      <c r="G1253" s="12">
        <f t="shared" ca="1" si="120"/>
        <v>33</v>
      </c>
      <c r="H1253" s="12">
        <f t="shared" ca="1" si="121"/>
        <v>-8</v>
      </c>
      <c r="I1253" s="13">
        <f t="shared" ca="1" si="122"/>
        <v>-17</v>
      </c>
      <c r="J1253" s="14">
        <f t="shared" ca="1" si="119"/>
        <v>32</v>
      </c>
      <c r="K1253" s="12" t="s">
        <v>41</v>
      </c>
      <c r="L1253" s="12">
        <v>98</v>
      </c>
      <c r="M1253" s="12" t="s">
        <v>40</v>
      </c>
      <c r="N1253" s="12">
        <v>267</v>
      </c>
    </row>
    <row r="1254" spans="1:15">
      <c r="A1254" s="12">
        <f t="shared" si="123"/>
        <v>1251</v>
      </c>
      <c r="B1254" s="12" t="s">
        <v>14</v>
      </c>
      <c r="C1254" s="12" t="s">
        <v>875</v>
      </c>
      <c r="D1254" s="12" t="s">
        <v>641</v>
      </c>
      <c r="E1254" s="89">
        <f t="shared" ca="1" si="124"/>
        <v>40951</v>
      </c>
      <c r="F1254" s="11">
        <f>DATE(2005,7,11)</f>
        <v>38544</v>
      </c>
      <c r="G1254" s="12">
        <f t="shared" ca="1" si="120"/>
        <v>7</v>
      </c>
      <c r="H1254" s="12">
        <f t="shared" ca="1" si="121"/>
        <v>-5</v>
      </c>
      <c r="I1254" s="13">
        <f t="shared" ca="1" si="122"/>
        <v>1</v>
      </c>
      <c r="J1254" s="14">
        <f t="shared" ca="1" si="119"/>
        <v>6</v>
      </c>
      <c r="K1254" s="12" t="s">
        <v>41</v>
      </c>
      <c r="L1254" s="12">
        <v>98</v>
      </c>
      <c r="M1254" s="12" t="s">
        <v>44</v>
      </c>
      <c r="N1254" s="12">
        <v>267</v>
      </c>
    </row>
    <row r="1255" spans="1:15">
      <c r="A1255" s="12">
        <f t="shared" si="123"/>
        <v>1252</v>
      </c>
      <c r="B1255" s="12" t="s">
        <v>14</v>
      </c>
      <c r="C1255" s="12" t="s">
        <v>183</v>
      </c>
      <c r="D1255" s="12" t="s">
        <v>641</v>
      </c>
      <c r="E1255" s="89">
        <f t="shared" ca="1" si="124"/>
        <v>40951</v>
      </c>
      <c r="F1255" s="11">
        <f>DATE(85,10,16)</f>
        <v>31336</v>
      </c>
      <c r="G1255" s="12">
        <f t="shared" ca="1" si="120"/>
        <v>27</v>
      </c>
      <c r="H1255" s="12">
        <f t="shared" ca="1" si="121"/>
        <v>-8</v>
      </c>
      <c r="I1255" s="13">
        <f t="shared" ca="1" si="122"/>
        <v>-4</v>
      </c>
      <c r="J1255" s="14">
        <f t="shared" ca="1" si="119"/>
        <v>26</v>
      </c>
      <c r="K1255" s="12" t="s">
        <v>40</v>
      </c>
      <c r="L1255" s="12">
        <v>98</v>
      </c>
      <c r="M1255" s="12" t="s">
        <v>44</v>
      </c>
      <c r="N1255" s="12">
        <v>267</v>
      </c>
    </row>
    <row r="1256" spans="1:15">
      <c r="A1256" s="12">
        <f t="shared" si="123"/>
        <v>1253</v>
      </c>
      <c r="B1256" s="12" t="s">
        <v>14</v>
      </c>
      <c r="C1256" s="12" t="s">
        <v>876</v>
      </c>
      <c r="D1256" s="12" t="s">
        <v>519</v>
      </c>
      <c r="E1256" s="89">
        <f t="shared" ca="1" si="124"/>
        <v>40951</v>
      </c>
      <c r="F1256" s="32"/>
      <c r="G1256" s="12">
        <f t="shared" ca="1" si="120"/>
        <v>112</v>
      </c>
      <c r="H1256" s="12">
        <f t="shared" ca="1" si="121"/>
        <v>1</v>
      </c>
      <c r="I1256" s="13">
        <f t="shared" ca="1" si="122"/>
        <v>12</v>
      </c>
      <c r="J1256" s="14">
        <f t="shared" ca="1" si="119"/>
        <v>112</v>
      </c>
      <c r="K1256" s="12" t="s">
        <v>41</v>
      </c>
      <c r="L1256" s="12">
        <v>98</v>
      </c>
      <c r="M1256" s="12" t="s">
        <v>40</v>
      </c>
      <c r="N1256" s="12">
        <v>267</v>
      </c>
    </row>
    <row r="1257" spans="1:15">
      <c r="A1257" s="12">
        <f t="shared" si="123"/>
        <v>1254</v>
      </c>
      <c r="B1257" s="12" t="s">
        <v>14</v>
      </c>
      <c r="C1257" s="12" t="s">
        <v>463</v>
      </c>
      <c r="D1257" s="12" t="s">
        <v>429</v>
      </c>
      <c r="E1257" s="89">
        <f t="shared" ca="1" si="124"/>
        <v>40951</v>
      </c>
      <c r="F1257" s="11">
        <f>DATE(50,7,1)</f>
        <v>18445</v>
      </c>
      <c r="G1257" s="12">
        <f t="shared" ca="1" si="120"/>
        <v>62</v>
      </c>
      <c r="H1257" s="12">
        <f t="shared" ca="1" si="121"/>
        <v>-5</v>
      </c>
      <c r="I1257" s="13">
        <f t="shared" ca="1" si="122"/>
        <v>11</v>
      </c>
      <c r="J1257" s="14">
        <f t="shared" ca="1" si="119"/>
        <v>61</v>
      </c>
      <c r="K1257" s="12" t="s">
        <v>40</v>
      </c>
      <c r="L1257" s="12">
        <v>98</v>
      </c>
      <c r="M1257" s="12" t="s">
        <v>40</v>
      </c>
      <c r="N1257" s="12">
        <v>268</v>
      </c>
      <c r="O1257" s="90" t="s">
        <v>2748</v>
      </c>
    </row>
    <row r="1258" spans="1:15">
      <c r="A1258" s="12">
        <f t="shared" si="123"/>
        <v>1255</v>
      </c>
      <c r="B1258" s="12" t="s">
        <v>14</v>
      </c>
      <c r="C1258" s="12" t="s">
        <v>877</v>
      </c>
      <c r="D1258" s="12" t="s">
        <v>429</v>
      </c>
      <c r="E1258" s="89">
        <f t="shared" ca="1" si="124"/>
        <v>40951</v>
      </c>
      <c r="F1258" s="32"/>
      <c r="G1258" s="12">
        <f t="shared" ca="1" si="120"/>
        <v>112</v>
      </c>
      <c r="H1258" s="12">
        <f t="shared" ca="1" si="121"/>
        <v>1</v>
      </c>
      <c r="I1258" s="13">
        <f t="shared" ca="1" si="122"/>
        <v>12</v>
      </c>
      <c r="J1258" s="14">
        <f t="shared" ca="1" si="119"/>
        <v>112</v>
      </c>
      <c r="K1258" s="12" t="s">
        <v>41</v>
      </c>
      <c r="L1258" s="12">
        <v>98</v>
      </c>
      <c r="M1258" s="12" t="s">
        <v>40</v>
      </c>
      <c r="N1258" s="12">
        <v>268</v>
      </c>
    </row>
    <row r="1259" spans="1:15">
      <c r="A1259" s="12">
        <f t="shared" si="123"/>
        <v>1256</v>
      </c>
      <c r="B1259" s="12" t="s">
        <v>14</v>
      </c>
      <c r="C1259" s="12" t="s">
        <v>762</v>
      </c>
      <c r="D1259" s="12" t="s">
        <v>463</v>
      </c>
      <c r="E1259" s="89">
        <f t="shared" ca="1" si="124"/>
        <v>40951</v>
      </c>
      <c r="F1259" s="11">
        <f>DATE(57,12,8)</f>
        <v>21162</v>
      </c>
      <c r="G1259" s="12">
        <f t="shared" ca="1" si="120"/>
        <v>55</v>
      </c>
      <c r="H1259" s="12">
        <f t="shared" ca="1" si="121"/>
        <v>-10</v>
      </c>
      <c r="I1259" s="13">
        <f t="shared" ca="1" si="122"/>
        <v>4</v>
      </c>
      <c r="J1259" s="14">
        <f t="shared" ca="1" si="119"/>
        <v>54</v>
      </c>
      <c r="K1259" s="12" t="s">
        <v>41</v>
      </c>
      <c r="L1259" s="12">
        <v>98</v>
      </c>
      <c r="M1259" s="12" t="s">
        <v>40</v>
      </c>
      <c r="N1259" s="12">
        <v>268</v>
      </c>
    </row>
    <row r="1260" spans="1:15">
      <c r="A1260" s="12">
        <f t="shared" si="123"/>
        <v>1257</v>
      </c>
      <c r="B1260" s="12" t="s">
        <v>14</v>
      </c>
      <c r="C1260" s="12" t="s">
        <v>126</v>
      </c>
      <c r="D1260" s="12" t="s">
        <v>463</v>
      </c>
      <c r="E1260" s="89">
        <f t="shared" ca="1" si="124"/>
        <v>40951</v>
      </c>
      <c r="F1260" s="11">
        <f>DATE(84,10,13)</f>
        <v>30968</v>
      </c>
      <c r="G1260" s="12">
        <f t="shared" ca="1" si="120"/>
        <v>28</v>
      </c>
      <c r="H1260" s="12">
        <f t="shared" ca="1" si="121"/>
        <v>-8</v>
      </c>
      <c r="I1260" s="13">
        <f t="shared" ca="1" si="122"/>
        <v>-1</v>
      </c>
      <c r="J1260" s="14">
        <f t="shared" ca="1" si="119"/>
        <v>27</v>
      </c>
      <c r="K1260" s="12" t="s">
        <v>40</v>
      </c>
      <c r="L1260" s="12">
        <v>98</v>
      </c>
      <c r="M1260" s="12" t="s">
        <v>44</v>
      </c>
      <c r="N1260" s="12">
        <v>268</v>
      </c>
    </row>
    <row r="1261" spans="1:15">
      <c r="A1261" s="12">
        <f t="shared" si="123"/>
        <v>1258</v>
      </c>
      <c r="B1261" s="12" t="s">
        <v>14</v>
      </c>
      <c r="C1261" s="12" t="s">
        <v>397</v>
      </c>
      <c r="D1261" s="12" t="s">
        <v>463</v>
      </c>
      <c r="E1261" s="89">
        <f t="shared" ca="1" si="124"/>
        <v>40951</v>
      </c>
      <c r="F1261" s="11">
        <f>DATE(87,6,17)</f>
        <v>31945</v>
      </c>
      <c r="G1261" s="12">
        <f t="shared" ca="1" si="120"/>
        <v>25</v>
      </c>
      <c r="H1261" s="12">
        <f t="shared" ca="1" si="121"/>
        <v>-4</v>
      </c>
      <c r="I1261" s="13">
        <f t="shared" ca="1" si="122"/>
        <v>-5</v>
      </c>
      <c r="J1261" s="14">
        <f t="shared" ca="1" si="119"/>
        <v>24</v>
      </c>
      <c r="K1261" s="12" t="s">
        <v>41</v>
      </c>
      <c r="L1261" s="12">
        <v>98</v>
      </c>
      <c r="M1261" s="12" t="s">
        <v>44</v>
      </c>
      <c r="N1261" s="12">
        <v>268</v>
      </c>
    </row>
    <row r="1262" spans="1:15">
      <c r="A1262" s="12">
        <f t="shared" si="123"/>
        <v>1259</v>
      </c>
      <c r="B1262" s="12" t="s">
        <v>14</v>
      </c>
      <c r="C1262" s="12" t="s">
        <v>463</v>
      </c>
      <c r="D1262" s="12" t="s">
        <v>56</v>
      </c>
      <c r="E1262" s="89">
        <f t="shared" ca="1" si="124"/>
        <v>40951</v>
      </c>
      <c r="F1262" s="11">
        <f>DATE(40,1,14)</f>
        <v>14624</v>
      </c>
      <c r="G1262" s="12">
        <f t="shared" ca="1" si="120"/>
        <v>72</v>
      </c>
      <c r="H1262" s="12">
        <f t="shared" ca="1" si="121"/>
        <v>1</v>
      </c>
      <c r="I1262" s="13">
        <f t="shared" ca="1" si="122"/>
        <v>-2</v>
      </c>
      <c r="J1262" s="14">
        <f t="shared" ca="1" si="119"/>
        <v>72</v>
      </c>
      <c r="K1262" s="12" t="s">
        <v>40</v>
      </c>
      <c r="L1262" s="12">
        <v>99</v>
      </c>
      <c r="M1262" s="12" t="s">
        <v>40</v>
      </c>
      <c r="N1262" s="12">
        <v>269</v>
      </c>
      <c r="O1262" s="90" t="s">
        <v>2748</v>
      </c>
    </row>
    <row r="1263" spans="1:15">
      <c r="A1263" s="12">
        <f t="shared" si="123"/>
        <v>1260</v>
      </c>
      <c r="B1263" s="12" t="s">
        <v>14</v>
      </c>
      <c r="C1263" s="12" t="s">
        <v>878</v>
      </c>
      <c r="D1263" s="12" t="s">
        <v>463</v>
      </c>
      <c r="E1263" s="89">
        <f t="shared" ca="1" si="124"/>
        <v>40951</v>
      </c>
      <c r="F1263" s="11">
        <f>DATE(44,2,14)</f>
        <v>16116</v>
      </c>
      <c r="G1263" s="12">
        <f t="shared" ca="1" si="120"/>
        <v>68</v>
      </c>
      <c r="H1263" s="12">
        <f t="shared" ca="1" si="121"/>
        <v>0</v>
      </c>
      <c r="I1263" s="13">
        <f t="shared" ca="1" si="122"/>
        <v>-2</v>
      </c>
      <c r="J1263" s="14">
        <f t="shared" ca="1" si="119"/>
        <v>67</v>
      </c>
      <c r="K1263" s="12" t="s">
        <v>41</v>
      </c>
      <c r="L1263" s="12">
        <v>99</v>
      </c>
      <c r="M1263" s="12" t="s">
        <v>40</v>
      </c>
      <c r="N1263" s="12">
        <v>269</v>
      </c>
    </row>
    <row r="1264" spans="1:15">
      <c r="A1264" s="12">
        <f t="shared" si="123"/>
        <v>1261</v>
      </c>
      <c r="B1264" s="12" t="s">
        <v>14</v>
      </c>
      <c r="C1264" s="12" t="s">
        <v>689</v>
      </c>
      <c r="D1264" s="12" t="s">
        <v>463</v>
      </c>
      <c r="E1264" s="89">
        <f t="shared" ca="1" si="124"/>
        <v>40951</v>
      </c>
      <c r="F1264" s="11">
        <f>DATE(77,11,3)</f>
        <v>28432</v>
      </c>
      <c r="G1264" s="12">
        <f t="shared" ca="1" si="120"/>
        <v>35</v>
      </c>
      <c r="H1264" s="12">
        <f t="shared" ca="1" si="121"/>
        <v>-9</v>
      </c>
      <c r="I1264" s="13">
        <f t="shared" ca="1" si="122"/>
        <v>9</v>
      </c>
      <c r="J1264" s="14">
        <f t="shared" ca="1" si="119"/>
        <v>34</v>
      </c>
      <c r="K1264" s="12" t="s">
        <v>41</v>
      </c>
      <c r="L1264" s="12">
        <v>99</v>
      </c>
      <c r="M1264" s="12" t="s">
        <v>40</v>
      </c>
      <c r="N1264" s="12">
        <v>269</v>
      </c>
    </row>
    <row r="1265" spans="1:15">
      <c r="A1265" s="12">
        <f t="shared" si="123"/>
        <v>1262</v>
      </c>
      <c r="B1265" s="12" t="s">
        <v>14</v>
      </c>
      <c r="C1265" s="12" t="s">
        <v>879</v>
      </c>
      <c r="D1265" s="12" t="s">
        <v>56</v>
      </c>
      <c r="E1265" s="89">
        <f t="shared" ca="1" si="124"/>
        <v>40951</v>
      </c>
      <c r="F1265" s="11">
        <f>DATE(32,7,17)</f>
        <v>11887</v>
      </c>
      <c r="G1265" s="12">
        <f t="shared" ca="1" si="120"/>
        <v>80</v>
      </c>
      <c r="H1265" s="12">
        <f t="shared" ca="1" si="121"/>
        <v>-5</v>
      </c>
      <c r="I1265" s="13">
        <f t="shared" ca="1" si="122"/>
        <v>-5</v>
      </c>
      <c r="J1265" s="14">
        <f t="shared" ca="1" si="119"/>
        <v>79</v>
      </c>
      <c r="K1265" s="12" t="s">
        <v>40</v>
      </c>
      <c r="L1265" s="12">
        <v>99</v>
      </c>
      <c r="M1265" s="12" t="s">
        <v>40</v>
      </c>
      <c r="N1265" s="12">
        <v>270</v>
      </c>
      <c r="O1265" s="90" t="s">
        <v>2748</v>
      </c>
    </row>
    <row r="1266" spans="1:15">
      <c r="A1266" s="12">
        <f t="shared" si="123"/>
        <v>1263</v>
      </c>
      <c r="B1266" s="12" t="s">
        <v>14</v>
      </c>
      <c r="C1266" s="12" t="s">
        <v>880</v>
      </c>
      <c r="D1266" s="12" t="s">
        <v>879</v>
      </c>
      <c r="E1266" s="89">
        <f t="shared" ca="1" si="124"/>
        <v>40951</v>
      </c>
      <c r="F1266" s="32"/>
      <c r="G1266" s="12">
        <f t="shared" ca="1" si="120"/>
        <v>112</v>
      </c>
      <c r="H1266" s="12">
        <f t="shared" ca="1" si="121"/>
        <v>1</v>
      </c>
      <c r="I1266" s="13">
        <f t="shared" ca="1" si="122"/>
        <v>12</v>
      </c>
      <c r="J1266" s="14">
        <f t="shared" ca="1" si="119"/>
        <v>112</v>
      </c>
      <c r="K1266" s="12" t="s">
        <v>41</v>
      </c>
      <c r="L1266" s="12">
        <v>99</v>
      </c>
      <c r="M1266" s="12" t="s">
        <v>40</v>
      </c>
      <c r="N1266" s="12">
        <v>270</v>
      </c>
    </row>
    <row r="1267" spans="1:15">
      <c r="A1267" s="12">
        <f t="shared" si="123"/>
        <v>1264</v>
      </c>
      <c r="B1267" s="12" t="s">
        <v>14</v>
      </c>
      <c r="C1267" s="12" t="s">
        <v>208</v>
      </c>
      <c r="D1267" s="12" t="s">
        <v>879</v>
      </c>
      <c r="E1267" s="89">
        <f t="shared" ca="1" si="124"/>
        <v>40951</v>
      </c>
      <c r="F1267" s="32"/>
      <c r="G1267" s="12">
        <f t="shared" ca="1" si="120"/>
        <v>112</v>
      </c>
      <c r="H1267" s="12">
        <f t="shared" ca="1" si="121"/>
        <v>1</v>
      </c>
      <c r="I1267" s="13">
        <f t="shared" ca="1" si="122"/>
        <v>12</v>
      </c>
      <c r="J1267" s="14">
        <f t="shared" ca="1" si="119"/>
        <v>112</v>
      </c>
      <c r="K1267" s="12" t="s">
        <v>40</v>
      </c>
      <c r="L1267" s="12">
        <v>99</v>
      </c>
      <c r="M1267" s="12" t="s">
        <v>40</v>
      </c>
      <c r="N1267" s="12">
        <v>270</v>
      </c>
    </row>
    <row r="1268" spans="1:15">
      <c r="A1268" s="12">
        <f t="shared" si="123"/>
        <v>1265</v>
      </c>
      <c r="B1268" s="12" t="s">
        <v>14</v>
      </c>
      <c r="C1268" s="12" t="s">
        <v>673</v>
      </c>
      <c r="D1268" s="12" t="s">
        <v>208</v>
      </c>
      <c r="E1268" s="89">
        <f t="shared" ca="1" si="124"/>
        <v>40951</v>
      </c>
      <c r="F1268" s="32"/>
      <c r="G1268" s="12">
        <f t="shared" ca="1" si="120"/>
        <v>112</v>
      </c>
      <c r="H1268" s="12">
        <f t="shared" ca="1" si="121"/>
        <v>1</v>
      </c>
      <c r="I1268" s="13">
        <f t="shared" ca="1" si="122"/>
        <v>12</v>
      </c>
      <c r="J1268" s="14">
        <f t="shared" ca="1" si="119"/>
        <v>112</v>
      </c>
      <c r="K1268" s="12" t="s">
        <v>41</v>
      </c>
      <c r="L1268" s="12">
        <v>99</v>
      </c>
      <c r="M1268" s="12" t="s">
        <v>40</v>
      </c>
      <c r="N1268" s="12">
        <v>270</v>
      </c>
    </row>
    <row r="1269" spans="1:15">
      <c r="A1269" s="12">
        <f t="shared" si="123"/>
        <v>1266</v>
      </c>
      <c r="B1269" s="12" t="s">
        <v>14</v>
      </c>
      <c r="C1269" s="12" t="s">
        <v>873</v>
      </c>
      <c r="D1269" s="12" t="s">
        <v>208</v>
      </c>
      <c r="E1269" s="89">
        <f t="shared" ca="1" si="124"/>
        <v>40951</v>
      </c>
      <c r="F1269" s="32"/>
      <c r="G1269" s="12">
        <f t="shared" ca="1" si="120"/>
        <v>112</v>
      </c>
      <c r="H1269" s="12">
        <f t="shared" ca="1" si="121"/>
        <v>1</v>
      </c>
      <c r="I1269" s="13">
        <f t="shared" ca="1" si="122"/>
        <v>12</v>
      </c>
      <c r="J1269" s="14">
        <f t="shared" ca="1" si="119"/>
        <v>112</v>
      </c>
      <c r="K1269" s="12" t="s">
        <v>40</v>
      </c>
      <c r="L1269" s="12">
        <v>99</v>
      </c>
      <c r="M1269" s="12" t="s">
        <v>44</v>
      </c>
      <c r="N1269" s="12">
        <v>270</v>
      </c>
    </row>
    <row r="1270" spans="1:15">
      <c r="A1270" s="12">
        <f t="shared" si="123"/>
        <v>1267</v>
      </c>
      <c r="B1270" s="12" t="s">
        <v>14</v>
      </c>
      <c r="C1270" s="12" t="s">
        <v>881</v>
      </c>
      <c r="D1270" s="12" t="s">
        <v>208</v>
      </c>
      <c r="E1270" s="89">
        <f t="shared" ca="1" si="124"/>
        <v>40951</v>
      </c>
      <c r="F1270" s="32"/>
      <c r="G1270" s="12">
        <f t="shared" ca="1" si="120"/>
        <v>112</v>
      </c>
      <c r="H1270" s="12">
        <f t="shared" ca="1" si="121"/>
        <v>1</v>
      </c>
      <c r="I1270" s="13">
        <f t="shared" ca="1" si="122"/>
        <v>12</v>
      </c>
      <c r="J1270" s="14">
        <f t="shared" ca="1" si="119"/>
        <v>112</v>
      </c>
      <c r="K1270" s="12" t="s">
        <v>40</v>
      </c>
      <c r="L1270" s="12">
        <v>99</v>
      </c>
      <c r="M1270" s="12" t="s">
        <v>44</v>
      </c>
      <c r="N1270" s="12">
        <v>270</v>
      </c>
    </row>
    <row r="1271" spans="1:15">
      <c r="A1271" s="12">
        <f t="shared" si="123"/>
        <v>1268</v>
      </c>
      <c r="B1271" s="12" t="s">
        <v>14</v>
      </c>
      <c r="C1271" s="12" t="s">
        <v>882</v>
      </c>
      <c r="D1271" s="12" t="s">
        <v>208</v>
      </c>
      <c r="E1271" s="89">
        <f t="shared" ca="1" si="124"/>
        <v>40951</v>
      </c>
      <c r="F1271" s="32"/>
      <c r="G1271" s="12">
        <f t="shared" ca="1" si="120"/>
        <v>112</v>
      </c>
      <c r="H1271" s="12">
        <f t="shared" ca="1" si="121"/>
        <v>1</v>
      </c>
      <c r="I1271" s="13">
        <f t="shared" ca="1" si="122"/>
        <v>12</v>
      </c>
      <c r="J1271" s="14">
        <f t="shared" ca="1" si="119"/>
        <v>112</v>
      </c>
      <c r="K1271" s="12" t="s">
        <v>40</v>
      </c>
      <c r="L1271" s="12">
        <v>99</v>
      </c>
      <c r="M1271" s="12" t="s">
        <v>44</v>
      </c>
      <c r="N1271" s="12">
        <v>270</v>
      </c>
    </row>
    <row r="1272" spans="1:15">
      <c r="A1272" s="12">
        <f t="shared" si="123"/>
        <v>1269</v>
      </c>
      <c r="B1272" s="12" t="s">
        <v>14</v>
      </c>
      <c r="C1272" s="12" t="s">
        <v>623</v>
      </c>
      <c r="D1272" s="12" t="s">
        <v>56</v>
      </c>
      <c r="E1272" s="89">
        <f t="shared" ca="1" si="124"/>
        <v>40951</v>
      </c>
      <c r="F1272" s="32"/>
      <c r="G1272" s="12">
        <f t="shared" ca="1" si="120"/>
        <v>112</v>
      </c>
      <c r="H1272" s="12">
        <f t="shared" ca="1" si="121"/>
        <v>1</v>
      </c>
      <c r="I1272" s="13">
        <f t="shared" ca="1" si="122"/>
        <v>12</v>
      </c>
      <c r="J1272" s="14">
        <f t="shared" ca="1" si="119"/>
        <v>112</v>
      </c>
      <c r="K1272" s="12" t="s">
        <v>40</v>
      </c>
      <c r="L1272" s="12">
        <v>99</v>
      </c>
      <c r="M1272" s="12" t="s">
        <v>40</v>
      </c>
      <c r="N1272" s="12">
        <v>271</v>
      </c>
      <c r="O1272" s="90" t="s">
        <v>2748</v>
      </c>
    </row>
    <row r="1273" spans="1:15">
      <c r="A1273" s="12">
        <f t="shared" si="123"/>
        <v>1270</v>
      </c>
      <c r="B1273" s="12" t="s">
        <v>14</v>
      </c>
      <c r="C1273" s="12" t="s">
        <v>883</v>
      </c>
      <c r="D1273" s="12" t="s">
        <v>623</v>
      </c>
      <c r="E1273" s="89">
        <f t="shared" ca="1" si="124"/>
        <v>40951</v>
      </c>
      <c r="F1273" s="32"/>
      <c r="G1273" s="12">
        <f t="shared" ca="1" si="120"/>
        <v>112</v>
      </c>
      <c r="H1273" s="12">
        <f t="shared" ca="1" si="121"/>
        <v>1</v>
      </c>
      <c r="I1273" s="13">
        <f t="shared" ca="1" si="122"/>
        <v>12</v>
      </c>
      <c r="J1273" s="14">
        <f t="shared" ca="1" si="119"/>
        <v>112</v>
      </c>
      <c r="K1273" s="12" t="s">
        <v>41</v>
      </c>
      <c r="L1273" s="12">
        <v>99</v>
      </c>
      <c r="M1273" s="12" t="s">
        <v>40</v>
      </c>
      <c r="N1273" s="12">
        <v>271</v>
      </c>
    </row>
    <row r="1274" spans="1:15">
      <c r="A1274" s="12">
        <f t="shared" si="123"/>
        <v>1271</v>
      </c>
      <c r="B1274" s="12" t="s">
        <v>14</v>
      </c>
      <c r="C1274" s="12" t="s">
        <v>884</v>
      </c>
      <c r="D1274" s="12" t="s">
        <v>623</v>
      </c>
      <c r="E1274" s="89">
        <f t="shared" ca="1" si="124"/>
        <v>40951</v>
      </c>
      <c r="F1274" s="11">
        <f>DATE(84,1,26)</f>
        <v>30707</v>
      </c>
      <c r="G1274" s="12">
        <f t="shared" ca="1" si="120"/>
        <v>28</v>
      </c>
      <c r="H1274" s="12">
        <f t="shared" ca="1" si="121"/>
        <v>1</v>
      </c>
      <c r="I1274" s="13">
        <f t="shared" ca="1" si="122"/>
        <v>-14</v>
      </c>
      <c r="J1274" s="14">
        <f t="shared" ca="1" si="119"/>
        <v>28</v>
      </c>
      <c r="K1274" s="12" t="s">
        <v>41</v>
      </c>
      <c r="L1274" s="12">
        <v>99</v>
      </c>
      <c r="M1274" s="12" t="s">
        <v>44</v>
      </c>
      <c r="N1274" s="12">
        <v>271</v>
      </c>
    </row>
    <row r="1275" spans="1:15">
      <c r="A1275" s="12">
        <f t="shared" si="123"/>
        <v>1272</v>
      </c>
      <c r="B1275" s="12" t="s">
        <v>14</v>
      </c>
      <c r="C1275" s="12" t="s">
        <v>403</v>
      </c>
      <c r="D1275" s="12" t="s">
        <v>623</v>
      </c>
      <c r="E1275" s="89">
        <f t="shared" ca="1" si="124"/>
        <v>40951</v>
      </c>
      <c r="F1275" s="11">
        <f>DATE(89,4,22)</f>
        <v>32620</v>
      </c>
      <c r="G1275" s="12">
        <f t="shared" ca="1" si="120"/>
        <v>23</v>
      </c>
      <c r="H1275" s="12">
        <f t="shared" ca="1" si="121"/>
        <v>-2</v>
      </c>
      <c r="I1275" s="13">
        <f t="shared" ca="1" si="122"/>
        <v>-10</v>
      </c>
      <c r="J1275" s="14">
        <f t="shared" ca="1" si="119"/>
        <v>22</v>
      </c>
      <c r="K1275" s="12" t="s">
        <v>41</v>
      </c>
      <c r="L1275" s="12">
        <v>99</v>
      </c>
      <c r="M1275" s="12" t="s">
        <v>44</v>
      </c>
      <c r="N1275" s="12">
        <v>271</v>
      </c>
    </row>
    <row r="1276" spans="1:15">
      <c r="A1276" s="12">
        <f t="shared" si="123"/>
        <v>1273</v>
      </c>
      <c r="B1276" s="12" t="s">
        <v>14</v>
      </c>
      <c r="C1276" s="12" t="s">
        <v>90</v>
      </c>
      <c r="D1276" s="12" t="s">
        <v>429</v>
      </c>
      <c r="E1276" s="89">
        <f t="shared" ca="1" si="124"/>
        <v>40951</v>
      </c>
      <c r="F1276" s="11">
        <f>DATE(54,3,15)</f>
        <v>19798</v>
      </c>
      <c r="G1276" s="12">
        <f t="shared" ca="1" si="120"/>
        <v>58</v>
      </c>
      <c r="H1276" s="12">
        <f t="shared" ca="1" si="121"/>
        <v>-1</v>
      </c>
      <c r="I1276" s="13">
        <f t="shared" ca="1" si="122"/>
        <v>-3</v>
      </c>
      <c r="J1276" s="14">
        <f t="shared" ca="1" si="119"/>
        <v>57</v>
      </c>
      <c r="K1276" s="12" t="s">
        <v>40</v>
      </c>
      <c r="L1276" s="12">
        <v>100</v>
      </c>
      <c r="M1276" s="12" t="s">
        <v>40</v>
      </c>
      <c r="N1276" s="12">
        <v>272</v>
      </c>
      <c r="O1276" s="90" t="s">
        <v>2748</v>
      </c>
    </row>
    <row r="1277" spans="1:15">
      <c r="A1277" s="12">
        <f t="shared" si="123"/>
        <v>1274</v>
      </c>
      <c r="B1277" s="12" t="s">
        <v>14</v>
      </c>
      <c r="C1277" s="12" t="s">
        <v>877</v>
      </c>
      <c r="D1277" s="12" t="s">
        <v>885</v>
      </c>
      <c r="E1277" s="89">
        <f t="shared" ca="1" si="124"/>
        <v>40951</v>
      </c>
      <c r="F1277" s="32"/>
      <c r="G1277" s="12">
        <f t="shared" ca="1" si="120"/>
        <v>112</v>
      </c>
      <c r="H1277" s="12">
        <f t="shared" ca="1" si="121"/>
        <v>1</v>
      </c>
      <c r="I1277" s="13">
        <f t="shared" ca="1" si="122"/>
        <v>12</v>
      </c>
      <c r="J1277" s="14">
        <f t="shared" ca="1" si="119"/>
        <v>112</v>
      </c>
      <c r="K1277" s="12" t="s">
        <v>41</v>
      </c>
      <c r="L1277" s="12">
        <v>100</v>
      </c>
      <c r="M1277" s="12" t="s">
        <v>40</v>
      </c>
      <c r="N1277" s="12">
        <v>272</v>
      </c>
    </row>
    <row r="1278" spans="1:15">
      <c r="A1278" s="12">
        <f t="shared" si="123"/>
        <v>1275</v>
      </c>
      <c r="B1278" s="12" t="s">
        <v>14</v>
      </c>
      <c r="C1278" s="12" t="s">
        <v>886</v>
      </c>
      <c r="D1278" s="12" t="s">
        <v>90</v>
      </c>
      <c r="E1278" s="89">
        <f t="shared" ca="1" si="124"/>
        <v>40951</v>
      </c>
      <c r="F1278" s="11">
        <f>DATE(62,7,9)</f>
        <v>22836</v>
      </c>
      <c r="G1278" s="12">
        <f t="shared" ca="1" si="120"/>
        <v>50</v>
      </c>
      <c r="H1278" s="12">
        <f t="shared" ca="1" si="121"/>
        <v>-5</v>
      </c>
      <c r="I1278" s="13">
        <f t="shared" ca="1" si="122"/>
        <v>3</v>
      </c>
      <c r="J1278" s="14">
        <f t="shared" ca="1" si="119"/>
        <v>49</v>
      </c>
      <c r="K1278" s="12" t="s">
        <v>41</v>
      </c>
      <c r="L1278" s="12">
        <v>100</v>
      </c>
      <c r="M1278" s="12" t="s">
        <v>40</v>
      </c>
      <c r="N1278" s="12">
        <v>272</v>
      </c>
    </row>
    <row r="1279" spans="1:15">
      <c r="A1279" s="12">
        <f t="shared" si="123"/>
        <v>1276</v>
      </c>
      <c r="B1279" s="12" t="s">
        <v>14</v>
      </c>
      <c r="C1279" s="12" t="s">
        <v>433</v>
      </c>
      <c r="D1279" s="12" t="s">
        <v>90</v>
      </c>
      <c r="E1279" s="89">
        <f t="shared" ca="1" si="124"/>
        <v>40951</v>
      </c>
      <c r="F1279" s="11">
        <f>DATE(86,12,31)</f>
        <v>31777</v>
      </c>
      <c r="G1279" s="12">
        <f t="shared" ca="1" si="120"/>
        <v>26</v>
      </c>
      <c r="H1279" s="12">
        <f t="shared" ca="1" si="121"/>
        <v>-10</v>
      </c>
      <c r="I1279" s="13">
        <f t="shared" ca="1" si="122"/>
        <v>-19</v>
      </c>
      <c r="J1279" s="14">
        <f t="shared" ca="1" si="119"/>
        <v>25</v>
      </c>
      <c r="K1279" s="12" t="s">
        <v>41</v>
      </c>
      <c r="L1279" s="12">
        <v>100</v>
      </c>
      <c r="M1279" s="12" t="s">
        <v>44</v>
      </c>
      <c r="N1279" s="12">
        <v>272</v>
      </c>
    </row>
    <row r="1280" spans="1:15">
      <c r="A1280" s="12">
        <f t="shared" si="123"/>
        <v>1277</v>
      </c>
      <c r="B1280" s="12" t="s">
        <v>14</v>
      </c>
      <c r="C1280" s="12" t="s">
        <v>887</v>
      </c>
      <c r="D1280" s="12" t="s">
        <v>90</v>
      </c>
      <c r="E1280" s="89">
        <f t="shared" ca="1" si="124"/>
        <v>40951</v>
      </c>
      <c r="F1280" s="11">
        <f>DATE(90,12,30)</f>
        <v>33237</v>
      </c>
      <c r="G1280" s="12">
        <f t="shared" ca="1" si="120"/>
        <v>22</v>
      </c>
      <c r="H1280" s="12">
        <f t="shared" ca="1" si="121"/>
        <v>-10</v>
      </c>
      <c r="I1280" s="13">
        <f t="shared" ca="1" si="122"/>
        <v>-18</v>
      </c>
      <c r="J1280" s="14">
        <f t="shared" ca="1" si="119"/>
        <v>21</v>
      </c>
      <c r="K1280" s="12" t="s">
        <v>40</v>
      </c>
      <c r="L1280" s="12">
        <v>100</v>
      </c>
      <c r="M1280" s="12" t="s">
        <v>44</v>
      </c>
      <c r="N1280" s="12">
        <v>272</v>
      </c>
    </row>
    <row r="1281" spans="1:15">
      <c r="A1281" s="12">
        <f t="shared" si="123"/>
        <v>1278</v>
      </c>
      <c r="B1281" s="12" t="s">
        <v>14</v>
      </c>
      <c r="C1281" s="12" t="s">
        <v>237</v>
      </c>
      <c r="D1281" s="12" t="s">
        <v>519</v>
      </c>
      <c r="E1281" s="89">
        <f t="shared" ca="1" si="124"/>
        <v>40951</v>
      </c>
      <c r="F1281" s="32"/>
      <c r="G1281" s="12">
        <f t="shared" ca="1" si="120"/>
        <v>112</v>
      </c>
      <c r="H1281" s="12">
        <f t="shared" ca="1" si="121"/>
        <v>1</v>
      </c>
      <c r="I1281" s="13">
        <f t="shared" ca="1" si="122"/>
        <v>12</v>
      </c>
      <c r="J1281" s="14">
        <f t="shared" ca="1" si="119"/>
        <v>112</v>
      </c>
      <c r="K1281" s="12" t="s">
        <v>40</v>
      </c>
      <c r="L1281" s="12">
        <v>100</v>
      </c>
      <c r="M1281" s="12" t="s">
        <v>40</v>
      </c>
      <c r="N1281" s="12">
        <v>273</v>
      </c>
      <c r="O1281" s="90" t="s">
        <v>2748</v>
      </c>
    </row>
    <row r="1282" spans="1:15">
      <c r="A1282" s="12">
        <f t="shared" si="123"/>
        <v>1279</v>
      </c>
      <c r="B1282" s="12" t="s">
        <v>14</v>
      </c>
      <c r="C1282" s="12" t="s">
        <v>884</v>
      </c>
      <c r="D1282" s="12" t="s">
        <v>237</v>
      </c>
      <c r="E1282" s="89">
        <f t="shared" ca="1" si="124"/>
        <v>40951</v>
      </c>
      <c r="F1282" s="32"/>
      <c r="G1282" s="12">
        <f t="shared" ca="1" si="120"/>
        <v>112</v>
      </c>
      <c r="H1282" s="12">
        <f t="shared" ca="1" si="121"/>
        <v>1</v>
      </c>
      <c r="I1282" s="13">
        <f t="shared" ca="1" si="122"/>
        <v>12</v>
      </c>
      <c r="J1282" s="14">
        <f t="shared" ca="1" si="119"/>
        <v>112</v>
      </c>
      <c r="K1282" s="12" t="s">
        <v>41</v>
      </c>
      <c r="L1282" s="12">
        <v>100</v>
      </c>
      <c r="M1282" s="12" t="s">
        <v>40</v>
      </c>
      <c r="N1282" s="12">
        <v>273</v>
      </c>
    </row>
    <row r="1283" spans="1:15">
      <c r="A1283" s="12">
        <f t="shared" si="123"/>
        <v>1280</v>
      </c>
      <c r="B1283" s="12" t="s">
        <v>14</v>
      </c>
      <c r="C1283" s="12" t="s">
        <v>888</v>
      </c>
      <c r="D1283" s="12" t="s">
        <v>237</v>
      </c>
      <c r="E1283" s="89">
        <f t="shared" ca="1" si="124"/>
        <v>40951</v>
      </c>
      <c r="F1283" s="32"/>
      <c r="G1283" s="12">
        <f t="shared" ca="1" si="120"/>
        <v>112</v>
      </c>
      <c r="H1283" s="12">
        <f t="shared" ca="1" si="121"/>
        <v>1</v>
      </c>
      <c r="I1283" s="13">
        <f t="shared" ca="1" si="122"/>
        <v>12</v>
      </c>
      <c r="J1283" s="14">
        <f t="shared" ca="1" si="119"/>
        <v>112</v>
      </c>
      <c r="K1283" s="12" t="s">
        <v>40</v>
      </c>
      <c r="L1283" s="12">
        <v>100</v>
      </c>
      <c r="M1283" s="12" t="s">
        <v>44</v>
      </c>
      <c r="N1283" s="12">
        <v>273</v>
      </c>
    </row>
    <row r="1284" spans="1:15">
      <c r="A1284" s="12">
        <f t="shared" si="123"/>
        <v>1281</v>
      </c>
      <c r="B1284" s="12" t="s">
        <v>14</v>
      </c>
      <c r="C1284" s="12" t="s">
        <v>339</v>
      </c>
      <c r="D1284" s="12" t="s">
        <v>237</v>
      </c>
      <c r="E1284" s="89">
        <f t="shared" ca="1" si="124"/>
        <v>40951</v>
      </c>
      <c r="F1284" s="32"/>
      <c r="G1284" s="12">
        <f t="shared" ca="1" si="120"/>
        <v>112</v>
      </c>
      <c r="H1284" s="12">
        <f t="shared" ca="1" si="121"/>
        <v>1</v>
      </c>
      <c r="I1284" s="13">
        <f t="shared" ca="1" si="122"/>
        <v>12</v>
      </c>
      <c r="J1284" s="14">
        <f t="shared" ref="J1284:J1347" ca="1" si="125">IF(H1284&lt;0,G1284-1,IF(H1284&gt;0,G1284,IF(I1284&lt;0,G1284-1,G1284)))</f>
        <v>112</v>
      </c>
      <c r="K1284" s="12" t="s">
        <v>40</v>
      </c>
      <c r="L1284" s="12">
        <v>100</v>
      </c>
      <c r="M1284" s="12" t="s">
        <v>44</v>
      </c>
      <c r="N1284" s="12">
        <v>273</v>
      </c>
    </row>
    <row r="1285" spans="1:15">
      <c r="A1285" s="12">
        <f t="shared" si="123"/>
        <v>1282</v>
      </c>
      <c r="B1285" s="12" t="s">
        <v>14</v>
      </c>
      <c r="C1285" s="12" t="s">
        <v>648</v>
      </c>
      <c r="D1285" s="12" t="s">
        <v>429</v>
      </c>
      <c r="E1285" s="89">
        <f t="shared" ca="1" si="124"/>
        <v>40951</v>
      </c>
      <c r="F1285" s="32"/>
      <c r="G1285" s="12">
        <f t="shared" ca="1" si="120"/>
        <v>112</v>
      </c>
      <c r="H1285" s="12">
        <f t="shared" ca="1" si="121"/>
        <v>1</v>
      </c>
      <c r="I1285" s="13">
        <f t="shared" ca="1" si="122"/>
        <v>12</v>
      </c>
      <c r="J1285" s="14">
        <f t="shared" ca="1" si="125"/>
        <v>112</v>
      </c>
      <c r="K1285" s="12" t="s">
        <v>40</v>
      </c>
      <c r="L1285" s="12">
        <v>100</v>
      </c>
      <c r="M1285" s="12" t="s">
        <v>40</v>
      </c>
      <c r="N1285" s="12">
        <v>274</v>
      </c>
      <c r="O1285" s="90" t="s">
        <v>2748</v>
      </c>
    </row>
    <row r="1286" spans="1:15">
      <c r="A1286" s="12">
        <f t="shared" si="123"/>
        <v>1283</v>
      </c>
      <c r="B1286" s="12" t="s">
        <v>14</v>
      </c>
      <c r="C1286" s="12" t="s">
        <v>626</v>
      </c>
      <c r="D1286" s="12" t="s">
        <v>429</v>
      </c>
      <c r="E1286" s="89">
        <f t="shared" ca="1" si="124"/>
        <v>40951</v>
      </c>
      <c r="F1286" s="32"/>
      <c r="G1286" s="12">
        <f t="shared" ca="1" si="120"/>
        <v>112</v>
      </c>
      <c r="H1286" s="12">
        <f t="shared" ca="1" si="121"/>
        <v>1</v>
      </c>
      <c r="I1286" s="13">
        <f t="shared" ca="1" si="122"/>
        <v>12</v>
      </c>
      <c r="J1286" s="14">
        <f t="shared" ca="1" si="125"/>
        <v>112</v>
      </c>
      <c r="K1286" s="12" t="s">
        <v>41</v>
      </c>
      <c r="L1286" s="12">
        <v>100</v>
      </c>
      <c r="M1286" s="12" t="s">
        <v>40</v>
      </c>
      <c r="N1286" s="12">
        <v>274</v>
      </c>
    </row>
    <row r="1287" spans="1:15">
      <c r="A1287" s="12">
        <f t="shared" si="123"/>
        <v>1284</v>
      </c>
      <c r="B1287" s="12" t="s">
        <v>16</v>
      </c>
      <c r="C1287" s="12" t="s">
        <v>889</v>
      </c>
      <c r="D1287" s="12" t="s">
        <v>890</v>
      </c>
      <c r="E1287" s="89">
        <f t="shared" ca="1" si="124"/>
        <v>40951</v>
      </c>
      <c r="F1287" s="11">
        <f>DATE(26,4,16)</f>
        <v>9603</v>
      </c>
      <c r="G1287" s="12">
        <f t="shared" ca="1" si="120"/>
        <v>86</v>
      </c>
      <c r="H1287" s="12">
        <f t="shared" ca="1" si="121"/>
        <v>-2</v>
      </c>
      <c r="I1287" s="13">
        <f t="shared" ca="1" si="122"/>
        <v>-4</v>
      </c>
      <c r="J1287" s="14">
        <f t="shared" ca="1" si="125"/>
        <v>85</v>
      </c>
      <c r="K1287" s="12" t="s">
        <v>40</v>
      </c>
      <c r="L1287" s="12">
        <v>101</v>
      </c>
      <c r="M1287" s="12" t="s">
        <v>40</v>
      </c>
      <c r="N1287" s="12">
        <v>275</v>
      </c>
      <c r="O1287" s="90" t="s">
        <v>2748</v>
      </c>
    </row>
    <row r="1288" spans="1:15">
      <c r="A1288" s="12">
        <f t="shared" si="123"/>
        <v>1285</v>
      </c>
      <c r="B1288" s="12" t="s">
        <v>16</v>
      </c>
      <c r="C1288" s="12" t="s">
        <v>891</v>
      </c>
      <c r="D1288" s="12" t="s">
        <v>889</v>
      </c>
      <c r="E1288" s="89">
        <f t="shared" ca="1" si="124"/>
        <v>40951</v>
      </c>
      <c r="F1288" s="11">
        <f>DATE(34,12,27)</f>
        <v>12780</v>
      </c>
      <c r="G1288" s="12">
        <f t="shared" ca="1" si="120"/>
        <v>78</v>
      </c>
      <c r="H1288" s="12">
        <f t="shared" ca="1" si="121"/>
        <v>-10</v>
      </c>
      <c r="I1288" s="13">
        <f t="shared" ca="1" si="122"/>
        <v>-15</v>
      </c>
      <c r="J1288" s="14">
        <f t="shared" ca="1" si="125"/>
        <v>77</v>
      </c>
      <c r="K1288" s="12" t="s">
        <v>41</v>
      </c>
      <c r="L1288" s="12">
        <v>101</v>
      </c>
      <c r="M1288" s="12" t="s">
        <v>40</v>
      </c>
      <c r="N1288" s="12">
        <v>275</v>
      </c>
    </row>
    <row r="1289" spans="1:15">
      <c r="A1289" s="12">
        <f t="shared" si="123"/>
        <v>1286</v>
      </c>
      <c r="B1289" s="12" t="s">
        <v>16</v>
      </c>
      <c r="C1289" s="12" t="s">
        <v>892</v>
      </c>
      <c r="D1289" s="12" t="s">
        <v>889</v>
      </c>
      <c r="E1289" s="89">
        <f t="shared" ca="1" si="124"/>
        <v>40951</v>
      </c>
      <c r="F1289" s="11">
        <f>DATE(55,2,25)</f>
        <v>20145</v>
      </c>
      <c r="G1289" s="12">
        <f t="shared" ca="1" si="120"/>
        <v>57</v>
      </c>
      <c r="H1289" s="12">
        <f t="shared" ca="1" si="121"/>
        <v>0</v>
      </c>
      <c r="I1289" s="13">
        <f t="shared" ca="1" si="122"/>
        <v>-13</v>
      </c>
      <c r="J1289" s="14">
        <f t="shared" ca="1" si="125"/>
        <v>56</v>
      </c>
      <c r="K1289" s="12" t="s">
        <v>40</v>
      </c>
      <c r="L1289" s="12">
        <v>101</v>
      </c>
      <c r="M1289" s="12" t="s">
        <v>40</v>
      </c>
      <c r="N1289" s="12">
        <v>275</v>
      </c>
    </row>
    <row r="1290" spans="1:15">
      <c r="A1290" s="12">
        <f t="shared" si="123"/>
        <v>1287</v>
      </c>
      <c r="B1290" s="12" t="s">
        <v>16</v>
      </c>
      <c r="C1290" s="12" t="s">
        <v>464</v>
      </c>
      <c r="D1290" s="12" t="s">
        <v>892</v>
      </c>
      <c r="E1290" s="89">
        <f t="shared" ca="1" si="124"/>
        <v>40951</v>
      </c>
      <c r="F1290" s="11">
        <f>DATE(60,12,7)</f>
        <v>22257</v>
      </c>
      <c r="G1290" s="12">
        <f t="shared" ca="1" si="120"/>
        <v>52</v>
      </c>
      <c r="H1290" s="12">
        <f t="shared" ca="1" si="121"/>
        <v>-10</v>
      </c>
      <c r="I1290" s="13">
        <f t="shared" ca="1" si="122"/>
        <v>5</v>
      </c>
      <c r="J1290" s="14">
        <f t="shared" ca="1" si="125"/>
        <v>51</v>
      </c>
      <c r="K1290" s="12" t="s">
        <v>41</v>
      </c>
      <c r="L1290" s="12">
        <v>101</v>
      </c>
      <c r="M1290" s="12" t="s">
        <v>40</v>
      </c>
      <c r="N1290" s="12">
        <v>275</v>
      </c>
    </row>
    <row r="1291" spans="1:15">
      <c r="A1291" s="12">
        <f t="shared" si="123"/>
        <v>1288</v>
      </c>
      <c r="B1291" s="12" t="s">
        <v>16</v>
      </c>
      <c r="C1291" s="12" t="s">
        <v>183</v>
      </c>
      <c r="D1291" s="12" t="s">
        <v>892</v>
      </c>
      <c r="E1291" s="89">
        <f t="shared" ca="1" si="124"/>
        <v>40951</v>
      </c>
      <c r="F1291" s="11">
        <f>DATE(83,4,22)</f>
        <v>30428</v>
      </c>
      <c r="G1291" s="12">
        <f t="shared" ca="1" si="120"/>
        <v>29</v>
      </c>
      <c r="H1291" s="12">
        <f t="shared" ca="1" si="121"/>
        <v>-2</v>
      </c>
      <c r="I1291" s="13">
        <f t="shared" ca="1" si="122"/>
        <v>-10</v>
      </c>
      <c r="J1291" s="14">
        <f t="shared" ca="1" si="125"/>
        <v>28</v>
      </c>
      <c r="K1291" s="12" t="s">
        <v>40</v>
      </c>
      <c r="L1291" s="12">
        <v>101</v>
      </c>
      <c r="M1291" s="12" t="s">
        <v>44</v>
      </c>
      <c r="N1291" s="12">
        <v>275</v>
      </c>
    </row>
    <row r="1292" spans="1:15">
      <c r="A1292" s="12">
        <f t="shared" si="123"/>
        <v>1289</v>
      </c>
      <c r="B1292" s="12" t="s">
        <v>16</v>
      </c>
      <c r="C1292" s="12" t="s">
        <v>774</v>
      </c>
      <c r="D1292" s="12" t="s">
        <v>892</v>
      </c>
      <c r="E1292" s="89">
        <f t="shared" ca="1" si="124"/>
        <v>40951</v>
      </c>
      <c r="F1292" s="11">
        <f>DATE(89,5,19)</f>
        <v>32647</v>
      </c>
      <c r="G1292" s="12">
        <f t="shared" ca="1" si="120"/>
        <v>23</v>
      </c>
      <c r="H1292" s="12">
        <f t="shared" ca="1" si="121"/>
        <v>-3</v>
      </c>
      <c r="I1292" s="13">
        <f t="shared" ca="1" si="122"/>
        <v>-7</v>
      </c>
      <c r="J1292" s="14">
        <f t="shared" ca="1" si="125"/>
        <v>22</v>
      </c>
      <c r="K1292" s="12" t="s">
        <v>41</v>
      </c>
      <c r="L1292" s="12">
        <v>101</v>
      </c>
      <c r="M1292" s="12" t="s">
        <v>44</v>
      </c>
      <c r="N1292" s="12">
        <v>275</v>
      </c>
    </row>
    <row r="1293" spans="1:15">
      <c r="A1293" s="12">
        <f t="shared" si="123"/>
        <v>1290</v>
      </c>
      <c r="B1293" s="12" t="s">
        <v>17</v>
      </c>
      <c r="C1293" s="12" t="s">
        <v>893</v>
      </c>
      <c r="D1293" s="12" t="s">
        <v>665</v>
      </c>
      <c r="E1293" s="89">
        <f t="shared" ca="1" si="124"/>
        <v>40951</v>
      </c>
      <c r="F1293" s="11">
        <f>DATE(68,3,15)</f>
        <v>24912</v>
      </c>
      <c r="G1293" s="12">
        <f t="shared" ca="1" si="120"/>
        <v>44</v>
      </c>
      <c r="H1293" s="12">
        <f t="shared" ca="1" si="121"/>
        <v>-1</v>
      </c>
      <c r="I1293" s="13">
        <f t="shared" ca="1" si="122"/>
        <v>-3</v>
      </c>
      <c r="J1293" s="14">
        <f t="shared" ca="1" si="125"/>
        <v>43</v>
      </c>
      <c r="K1293" s="12" t="s">
        <v>40</v>
      </c>
      <c r="L1293" s="12">
        <v>102</v>
      </c>
      <c r="M1293" s="12" t="s">
        <v>40</v>
      </c>
      <c r="N1293" s="12">
        <v>276</v>
      </c>
      <c r="O1293" s="90" t="s">
        <v>2748</v>
      </c>
    </row>
    <row r="1294" spans="1:15">
      <c r="A1294" s="12">
        <f t="shared" si="123"/>
        <v>1291</v>
      </c>
      <c r="B1294" s="12" t="s">
        <v>17</v>
      </c>
      <c r="C1294" s="12" t="s">
        <v>318</v>
      </c>
      <c r="D1294" s="12" t="s">
        <v>665</v>
      </c>
      <c r="E1294" s="89">
        <f t="shared" ca="1" si="124"/>
        <v>40951</v>
      </c>
      <c r="F1294" s="11">
        <f>DATE(37,7,25)</f>
        <v>13721</v>
      </c>
      <c r="G1294" s="12">
        <f t="shared" ca="1" si="120"/>
        <v>75</v>
      </c>
      <c r="H1294" s="12">
        <f t="shared" ca="1" si="121"/>
        <v>-5</v>
      </c>
      <c r="I1294" s="13">
        <f t="shared" ca="1" si="122"/>
        <v>-13</v>
      </c>
      <c r="J1294" s="14">
        <f t="shared" ca="1" si="125"/>
        <v>74</v>
      </c>
      <c r="K1294" s="12" t="s">
        <v>41</v>
      </c>
      <c r="L1294" s="12">
        <v>102</v>
      </c>
      <c r="M1294" s="12" t="s">
        <v>40</v>
      </c>
      <c r="N1294" s="12">
        <v>276</v>
      </c>
    </row>
    <row r="1295" spans="1:15">
      <c r="A1295" s="12">
        <f t="shared" si="123"/>
        <v>1292</v>
      </c>
      <c r="B1295" s="12" t="s">
        <v>17</v>
      </c>
      <c r="C1295" s="12" t="s">
        <v>626</v>
      </c>
      <c r="D1295" s="12" t="s">
        <v>894</v>
      </c>
      <c r="E1295" s="89">
        <f t="shared" ca="1" si="124"/>
        <v>40951</v>
      </c>
      <c r="F1295" s="11">
        <f>DATE(72,4,8)</f>
        <v>26397</v>
      </c>
      <c r="G1295" s="12">
        <f t="shared" ca="1" si="120"/>
        <v>40</v>
      </c>
      <c r="H1295" s="12">
        <f t="shared" ca="1" si="121"/>
        <v>-2</v>
      </c>
      <c r="I1295" s="13">
        <f t="shared" ca="1" si="122"/>
        <v>4</v>
      </c>
      <c r="J1295" s="14">
        <f t="shared" ca="1" si="125"/>
        <v>39</v>
      </c>
      <c r="K1295" s="12" t="s">
        <v>41</v>
      </c>
      <c r="L1295" s="12">
        <v>102</v>
      </c>
      <c r="M1295" s="12" t="s">
        <v>40</v>
      </c>
      <c r="N1295" s="12">
        <v>276</v>
      </c>
    </row>
    <row r="1296" spans="1:15">
      <c r="A1296" s="12">
        <f t="shared" si="123"/>
        <v>1293</v>
      </c>
      <c r="B1296" s="12" t="s">
        <v>17</v>
      </c>
      <c r="C1296" s="12" t="s">
        <v>895</v>
      </c>
      <c r="D1296" s="12" t="s">
        <v>894</v>
      </c>
      <c r="E1296" s="89">
        <f t="shared" ca="1" si="124"/>
        <v>40951</v>
      </c>
      <c r="F1296" s="11">
        <f>DATE(98,5,1)</f>
        <v>35916</v>
      </c>
      <c r="G1296" s="12">
        <f t="shared" ca="1" si="120"/>
        <v>14</v>
      </c>
      <c r="H1296" s="12">
        <f t="shared" ca="1" si="121"/>
        <v>-3</v>
      </c>
      <c r="I1296" s="13">
        <f t="shared" ca="1" si="122"/>
        <v>11</v>
      </c>
      <c r="J1296" s="14">
        <f t="shared" ca="1" si="125"/>
        <v>13</v>
      </c>
      <c r="K1296" s="12" t="s">
        <v>40</v>
      </c>
      <c r="L1296" s="12">
        <v>102</v>
      </c>
      <c r="M1296" s="12" t="s">
        <v>44</v>
      </c>
      <c r="N1296" s="12">
        <v>276</v>
      </c>
    </row>
    <row r="1297" spans="1:15">
      <c r="A1297" s="12">
        <f t="shared" si="123"/>
        <v>1294</v>
      </c>
      <c r="B1297" s="12" t="s">
        <v>17</v>
      </c>
      <c r="C1297" s="12" t="s">
        <v>896</v>
      </c>
      <c r="D1297" s="12" t="s">
        <v>894</v>
      </c>
      <c r="E1297" s="89">
        <f t="shared" ca="1" si="124"/>
        <v>40951</v>
      </c>
      <c r="F1297" s="11">
        <f>DATE(2002,3,25)</f>
        <v>37340</v>
      </c>
      <c r="G1297" s="12">
        <f t="shared" ca="1" si="120"/>
        <v>10</v>
      </c>
      <c r="H1297" s="12">
        <f t="shared" ca="1" si="121"/>
        <v>-1</v>
      </c>
      <c r="I1297" s="13">
        <f t="shared" ca="1" si="122"/>
        <v>-13</v>
      </c>
      <c r="J1297" s="14">
        <f t="shared" ca="1" si="125"/>
        <v>9</v>
      </c>
      <c r="K1297" s="12" t="s">
        <v>41</v>
      </c>
      <c r="L1297" s="12">
        <v>102</v>
      </c>
      <c r="M1297" s="12" t="s">
        <v>44</v>
      </c>
      <c r="N1297" s="12">
        <v>276</v>
      </c>
    </row>
    <row r="1298" spans="1:15">
      <c r="A1298" s="12">
        <f t="shared" si="123"/>
        <v>1295</v>
      </c>
      <c r="B1298" s="12" t="s">
        <v>17</v>
      </c>
      <c r="C1298" s="12" t="s">
        <v>897</v>
      </c>
      <c r="D1298" s="12" t="s">
        <v>665</v>
      </c>
      <c r="E1298" s="89">
        <f t="shared" ca="1" si="124"/>
        <v>40951</v>
      </c>
      <c r="F1298" s="11">
        <f>DATE(69,1,2)</f>
        <v>25205</v>
      </c>
      <c r="G1298" s="12">
        <f t="shared" ca="1" si="120"/>
        <v>43</v>
      </c>
      <c r="H1298" s="12">
        <f t="shared" ca="1" si="121"/>
        <v>1</v>
      </c>
      <c r="I1298" s="13">
        <f t="shared" ca="1" si="122"/>
        <v>10</v>
      </c>
      <c r="J1298" s="14">
        <f t="shared" ca="1" si="125"/>
        <v>43</v>
      </c>
      <c r="K1298" s="12" t="s">
        <v>40</v>
      </c>
      <c r="L1298" s="12">
        <v>102</v>
      </c>
      <c r="M1298" s="12" t="s">
        <v>40</v>
      </c>
      <c r="N1298" s="12">
        <v>276</v>
      </c>
    </row>
    <row r="1299" spans="1:15">
      <c r="A1299" s="12">
        <f t="shared" si="123"/>
        <v>1296</v>
      </c>
      <c r="B1299" s="12" t="s">
        <v>17</v>
      </c>
      <c r="C1299" s="12" t="s">
        <v>397</v>
      </c>
      <c r="D1299" s="12" t="s">
        <v>485</v>
      </c>
      <c r="E1299" s="89">
        <f t="shared" ca="1" si="124"/>
        <v>40951</v>
      </c>
      <c r="F1299" s="11">
        <f>DATE(76,9,10)</f>
        <v>28013</v>
      </c>
      <c r="G1299" s="12">
        <f t="shared" ca="1" si="120"/>
        <v>36</v>
      </c>
      <c r="H1299" s="12">
        <f t="shared" ca="1" si="121"/>
        <v>-7</v>
      </c>
      <c r="I1299" s="13">
        <f t="shared" ca="1" si="122"/>
        <v>2</v>
      </c>
      <c r="J1299" s="14">
        <f t="shared" ca="1" si="125"/>
        <v>35</v>
      </c>
      <c r="K1299" s="12" t="s">
        <v>41</v>
      </c>
      <c r="L1299" s="12">
        <v>102</v>
      </c>
      <c r="M1299" s="12" t="s">
        <v>40</v>
      </c>
      <c r="N1299" s="12">
        <v>276</v>
      </c>
    </row>
    <row r="1300" spans="1:15">
      <c r="A1300" s="12">
        <f t="shared" si="123"/>
        <v>1297</v>
      </c>
      <c r="B1300" s="12" t="s">
        <v>17</v>
      </c>
      <c r="C1300" s="12" t="s">
        <v>847</v>
      </c>
      <c r="D1300" s="12" t="s">
        <v>485</v>
      </c>
      <c r="E1300" s="89">
        <f t="shared" ca="1" si="124"/>
        <v>40951</v>
      </c>
      <c r="F1300" s="11">
        <f>DATE(2004,9,7)</f>
        <v>38237</v>
      </c>
      <c r="G1300" s="12">
        <f t="shared" ca="1" si="120"/>
        <v>8</v>
      </c>
      <c r="H1300" s="12">
        <f t="shared" ca="1" si="121"/>
        <v>-7</v>
      </c>
      <c r="I1300" s="13">
        <f t="shared" ca="1" si="122"/>
        <v>5</v>
      </c>
      <c r="J1300" s="14">
        <f t="shared" ca="1" si="125"/>
        <v>7</v>
      </c>
      <c r="K1300" s="12" t="s">
        <v>41</v>
      </c>
      <c r="L1300" s="12">
        <v>102</v>
      </c>
      <c r="M1300" s="12" t="s">
        <v>44</v>
      </c>
      <c r="N1300" s="12">
        <v>276</v>
      </c>
    </row>
    <row r="1301" spans="1:15">
      <c r="A1301" s="12">
        <f t="shared" si="123"/>
        <v>1298</v>
      </c>
      <c r="B1301" s="12" t="s">
        <v>17</v>
      </c>
      <c r="C1301" s="12" t="s">
        <v>331</v>
      </c>
      <c r="D1301" s="12" t="s">
        <v>624</v>
      </c>
      <c r="E1301" s="89">
        <f t="shared" ca="1" si="124"/>
        <v>40951</v>
      </c>
      <c r="F1301" s="11">
        <f>DATE(18,5,9)</f>
        <v>6704</v>
      </c>
      <c r="G1301" s="12">
        <f t="shared" ca="1" si="120"/>
        <v>94</v>
      </c>
      <c r="H1301" s="12">
        <f t="shared" ca="1" si="121"/>
        <v>-3</v>
      </c>
      <c r="I1301" s="13">
        <f t="shared" ca="1" si="122"/>
        <v>3</v>
      </c>
      <c r="J1301" s="14">
        <f t="shared" ca="1" si="125"/>
        <v>93</v>
      </c>
      <c r="K1301" s="12" t="s">
        <v>40</v>
      </c>
      <c r="L1301" s="12">
        <v>102</v>
      </c>
      <c r="M1301" s="12" t="s">
        <v>40</v>
      </c>
      <c r="N1301" s="12">
        <v>277</v>
      </c>
      <c r="O1301" s="90" t="s">
        <v>2748</v>
      </c>
    </row>
    <row r="1302" spans="1:15">
      <c r="A1302" s="12">
        <f t="shared" si="123"/>
        <v>1299</v>
      </c>
      <c r="B1302" s="12" t="s">
        <v>17</v>
      </c>
      <c r="C1302" s="12" t="s">
        <v>796</v>
      </c>
      <c r="D1302" s="12" t="s">
        <v>435</v>
      </c>
      <c r="E1302" s="89">
        <f t="shared" ca="1" si="124"/>
        <v>40951</v>
      </c>
      <c r="F1302" s="11">
        <f>DATE(31,8,18)</f>
        <v>11553</v>
      </c>
      <c r="G1302" s="12">
        <f t="shared" ca="1" si="120"/>
        <v>81</v>
      </c>
      <c r="H1302" s="12">
        <f t="shared" ca="1" si="121"/>
        <v>-6</v>
      </c>
      <c r="I1302" s="13">
        <f t="shared" ca="1" si="122"/>
        <v>-6</v>
      </c>
      <c r="J1302" s="14">
        <f t="shared" ca="1" si="125"/>
        <v>80</v>
      </c>
      <c r="K1302" s="12" t="s">
        <v>41</v>
      </c>
      <c r="L1302" s="12">
        <v>102</v>
      </c>
      <c r="M1302" s="12" t="s">
        <v>40</v>
      </c>
      <c r="N1302" s="12">
        <v>277</v>
      </c>
    </row>
    <row r="1303" spans="1:15">
      <c r="A1303" s="12">
        <f t="shared" si="123"/>
        <v>1300</v>
      </c>
      <c r="B1303" s="12" t="s">
        <v>17</v>
      </c>
      <c r="C1303" s="12" t="s">
        <v>805</v>
      </c>
      <c r="D1303" s="12" t="s">
        <v>435</v>
      </c>
      <c r="E1303" s="89">
        <f t="shared" ca="1" si="124"/>
        <v>40951</v>
      </c>
      <c r="F1303" s="11">
        <f>DATE(61,11,19)</f>
        <v>22604</v>
      </c>
      <c r="G1303" s="12">
        <f t="shared" ca="1" si="120"/>
        <v>51</v>
      </c>
      <c r="H1303" s="12">
        <f t="shared" ca="1" si="121"/>
        <v>-9</v>
      </c>
      <c r="I1303" s="13">
        <f t="shared" ca="1" si="122"/>
        <v>-7</v>
      </c>
      <c r="J1303" s="14">
        <f t="shared" ca="1" si="125"/>
        <v>50</v>
      </c>
      <c r="K1303" s="12" t="s">
        <v>41</v>
      </c>
      <c r="L1303" s="12">
        <v>102</v>
      </c>
      <c r="M1303" s="12" t="s">
        <v>40</v>
      </c>
      <c r="N1303" s="12">
        <v>277</v>
      </c>
    </row>
    <row r="1304" spans="1:15">
      <c r="A1304" s="12">
        <f t="shared" si="123"/>
        <v>1301</v>
      </c>
      <c r="B1304" s="12" t="s">
        <v>17</v>
      </c>
      <c r="C1304" s="12" t="s">
        <v>898</v>
      </c>
      <c r="D1304" s="12" t="s">
        <v>435</v>
      </c>
      <c r="E1304" s="89">
        <f t="shared" ca="1" si="124"/>
        <v>40951</v>
      </c>
      <c r="F1304" s="11">
        <f>DATE(68,3,18)</f>
        <v>24915</v>
      </c>
      <c r="G1304" s="12">
        <f t="shared" ca="1" si="120"/>
        <v>44</v>
      </c>
      <c r="H1304" s="12">
        <f t="shared" ca="1" si="121"/>
        <v>-1</v>
      </c>
      <c r="I1304" s="13">
        <f t="shared" ca="1" si="122"/>
        <v>-6</v>
      </c>
      <c r="J1304" s="14">
        <f t="shared" ca="1" si="125"/>
        <v>43</v>
      </c>
      <c r="K1304" s="12" t="s">
        <v>41</v>
      </c>
      <c r="L1304" s="12">
        <v>102</v>
      </c>
      <c r="M1304" s="12" t="s">
        <v>44</v>
      </c>
      <c r="N1304" s="12">
        <v>277</v>
      </c>
    </row>
    <row r="1305" spans="1:15">
      <c r="A1305" s="12">
        <f t="shared" si="123"/>
        <v>1302</v>
      </c>
      <c r="B1305" s="12" t="s">
        <v>17</v>
      </c>
      <c r="C1305" s="12" t="s">
        <v>892</v>
      </c>
      <c r="D1305" s="12" t="s">
        <v>899</v>
      </c>
      <c r="E1305" s="89">
        <f t="shared" ca="1" si="124"/>
        <v>40951</v>
      </c>
      <c r="F1305" s="11">
        <f>DATE(72,7,3)</f>
        <v>26483</v>
      </c>
      <c r="G1305" s="12">
        <f t="shared" ca="1" si="120"/>
        <v>40</v>
      </c>
      <c r="H1305" s="12">
        <f t="shared" ca="1" si="121"/>
        <v>-5</v>
      </c>
      <c r="I1305" s="13">
        <f t="shared" ca="1" si="122"/>
        <v>9</v>
      </c>
      <c r="J1305" s="14">
        <f t="shared" ca="1" si="125"/>
        <v>39</v>
      </c>
      <c r="K1305" s="12" t="s">
        <v>40</v>
      </c>
      <c r="L1305" s="12">
        <v>102</v>
      </c>
      <c r="M1305" s="12" t="s">
        <v>40</v>
      </c>
      <c r="N1305" s="12">
        <v>278</v>
      </c>
      <c r="O1305" s="90" t="s">
        <v>2748</v>
      </c>
    </row>
    <row r="1306" spans="1:15">
      <c r="A1306" s="12">
        <f t="shared" si="123"/>
        <v>1303</v>
      </c>
      <c r="B1306" s="12" t="s">
        <v>17</v>
      </c>
      <c r="C1306" s="12" t="s">
        <v>344</v>
      </c>
      <c r="D1306" s="12" t="s">
        <v>892</v>
      </c>
      <c r="E1306" s="89">
        <f t="shared" ca="1" si="124"/>
        <v>40951</v>
      </c>
      <c r="F1306" s="11">
        <f>DATE(76,4,26)</f>
        <v>27876</v>
      </c>
      <c r="G1306" s="12">
        <f t="shared" ref="G1306:G1369" ca="1" si="126">YEAR(E1306)-YEAR(F1306)</f>
        <v>36</v>
      </c>
      <c r="H1306" s="12">
        <f t="shared" ref="H1306:H1369" ca="1" si="127">MONTH(E1306)-MONTH(F1306)</f>
        <v>-2</v>
      </c>
      <c r="I1306" s="13">
        <f t="shared" ref="I1306:I1369" ca="1" si="128">DAY(E1306)-DAY(F1306)</f>
        <v>-14</v>
      </c>
      <c r="J1306" s="14">
        <f t="shared" ca="1" si="125"/>
        <v>35</v>
      </c>
      <c r="K1306" s="12" t="s">
        <v>41</v>
      </c>
      <c r="L1306" s="12">
        <v>102</v>
      </c>
      <c r="M1306" s="12" t="s">
        <v>40</v>
      </c>
      <c r="N1306" s="12">
        <v>278</v>
      </c>
    </row>
    <row r="1307" spans="1:15">
      <c r="A1307" s="12">
        <f t="shared" si="123"/>
        <v>1304</v>
      </c>
      <c r="B1307" s="12" t="s">
        <v>17</v>
      </c>
      <c r="C1307" s="12" t="s">
        <v>486</v>
      </c>
      <c r="D1307" s="12" t="s">
        <v>892</v>
      </c>
      <c r="E1307" s="89">
        <f t="shared" ca="1" si="124"/>
        <v>40951</v>
      </c>
      <c r="F1307" s="11">
        <f>DATE(2000,3,25)</f>
        <v>36610</v>
      </c>
      <c r="G1307" s="12">
        <f t="shared" ca="1" si="126"/>
        <v>12</v>
      </c>
      <c r="H1307" s="12">
        <f t="shared" ca="1" si="127"/>
        <v>-1</v>
      </c>
      <c r="I1307" s="13">
        <f t="shared" ca="1" si="128"/>
        <v>-13</v>
      </c>
      <c r="J1307" s="14">
        <f t="shared" ca="1" si="125"/>
        <v>11</v>
      </c>
      <c r="K1307" s="12" t="s">
        <v>40</v>
      </c>
      <c r="L1307" s="12">
        <v>102</v>
      </c>
      <c r="M1307" s="12" t="s">
        <v>44</v>
      </c>
      <c r="N1307" s="12">
        <v>278</v>
      </c>
    </row>
    <row r="1308" spans="1:15">
      <c r="A1308" s="12">
        <f t="shared" si="123"/>
        <v>1305</v>
      </c>
      <c r="B1308" s="12" t="s">
        <v>17</v>
      </c>
      <c r="C1308" s="12" t="s">
        <v>483</v>
      </c>
      <c r="D1308" s="12" t="s">
        <v>435</v>
      </c>
      <c r="E1308" s="89">
        <f t="shared" ca="1" si="124"/>
        <v>40951</v>
      </c>
      <c r="F1308" s="11">
        <f>DATE(53,8,8)</f>
        <v>19579</v>
      </c>
      <c r="G1308" s="12">
        <f t="shared" ca="1" si="126"/>
        <v>59</v>
      </c>
      <c r="H1308" s="12">
        <f t="shared" ca="1" si="127"/>
        <v>-6</v>
      </c>
      <c r="I1308" s="13">
        <f t="shared" ca="1" si="128"/>
        <v>4</v>
      </c>
      <c r="J1308" s="14">
        <f t="shared" ca="1" si="125"/>
        <v>58</v>
      </c>
      <c r="K1308" s="12" t="s">
        <v>40</v>
      </c>
      <c r="L1308" s="12">
        <v>103</v>
      </c>
      <c r="M1308" s="12" t="s">
        <v>40</v>
      </c>
      <c r="N1308" s="12">
        <v>279</v>
      </c>
      <c r="O1308" s="90" t="s">
        <v>2748</v>
      </c>
    </row>
    <row r="1309" spans="1:15">
      <c r="A1309" s="12">
        <f t="shared" si="123"/>
        <v>1306</v>
      </c>
      <c r="B1309" s="12" t="s">
        <v>17</v>
      </c>
      <c r="C1309" s="12" t="s">
        <v>143</v>
      </c>
      <c r="D1309" s="12" t="s">
        <v>483</v>
      </c>
      <c r="E1309" s="89">
        <f t="shared" ca="1" si="124"/>
        <v>40951</v>
      </c>
      <c r="F1309" s="11">
        <f>DATE(56,9,10)</f>
        <v>20708</v>
      </c>
      <c r="G1309" s="12">
        <f t="shared" ca="1" si="126"/>
        <v>56</v>
      </c>
      <c r="H1309" s="12">
        <f t="shared" ca="1" si="127"/>
        <v>-7</v>
      </c>
      <c r="I1309" s="13">
        <f t="shared" ca="1" si="128"/>
        <v>2</v>
      </c>
      <c r="J1309" s="14">
        <f t="shared" ca="1" si="125"/>
        <v>55</v>
      </c>
      <c r="K1309" s="12" t="s">
        <v>41</v>
      </c>
      <c r="L1309" s="12">
        <v>103</v>
      </c>
      <c r="M1309" s="12" t="s">
        <v>40</v>
      </c>
      <c r="N1309" s="12">
        <v>279</v>
      </c>
    </row>
    <row r="1310" spans="1:15">
      <c r="A1310" s="12">
        <f t="shared" ref="A1310:A1373" si="129">A1309+1</f>
        <v>1307</v>
      </c>
      <c r="B1310" s="12" t="s">
        <v>17</v>
      </c>
      <c r="C1310" s="12" t="s">
        <v>801</v>
      </c>
      <c r="D1310" s="12" t="s">
        <v>483</v>
      </c>
      <c r="E1310" s="89">
        <f t="shared" ca="1" si="124"/>
        <v>40951</v>
      </c>
      <c r="F1310" s="11">
        <f>DATE(86,2,15)</f>
        <v>31458</v>
      </c>
      <c r="G1310" s="12">
        <f t="shared" ca="1" si="126"/>
        <v>26</v>
      </c>
      <c r="H1310" s="12">
        <f t="shared" ca="1" si="127"/>
        <v>0</v>
      </c>
      <c r="I1310" s="13">
        <f t="shared" ca="1" si="128"/>
        <v>-3</v>
      </c>
      <c r="J1310" s="14">
        <f t="shared" ca="1" si="125"/>
        <v>25</v>
      </c>
      <c r="K1310" s="12" t="s">
        <v>41</v>
      </c>
      <c r="L1310" s="12">
        <v>103</v>
      </c>
      <c r="M1310" s="12" t="s">
        <v>44</v>
      </c>
      <c r="N1310" s="12">
        <v>279</v>
      </c>
    </row>
    <row r="1311" spans="1:15">
      <c r="A1311" s="12">
        <f t="shared" si="129"/>
        <v>1308</v>
      </c>
      <c r="B1311" s="12" t="s">
        <v>17</v>
      </c>
      <c r="C1311" s="12" t="s">
        <v>140</v>
      </c>
      <c r="D1311" s="12" t="s">
        <v>483</v>
      </c>
      <c r="E1311" s="89">
        <f t="shared" ca="1" si="124"/>
        <v>40951</v>
      </c>
      <c r="F1311" s="11">
        <f>DATE(87,9,18)</f>
        <v>32038</v>
      </c>
      <c r="G1311" s="12">
        <f t="shared" ca="1" si="126"/>
        <v>25</v>
      </c>
      <c r="H1311" s="12">
        <f t="shared" ca="1" si="127"/>
        <v>-7</v>
      </c>
      <c r="I1311" s="13">
        <f t="shared" ca="1" si="128"/>
        <v>-6</v>
      </c>
      <c r="J1311" s="14">
        <f t="shared" ca="1" si="125"/>
        <v>24</v>
      </c>
      <c r="K1311" s="12" t="s">
        <v>44</v>
      </c>
      <c r="L1311" s="12">
        <v>103</v>
      </c>
      <c r="M1311" s="12" t="s">
        <v>44</v>
      </c>
      <c r="N1311" s="12">
        <v>279</v>
      </c>
    </row>
    <row r="1312" spans="1:15">
      <c r="A1312" s="12">
        <f t="shared" si="129"/>
        <v>1309</v>
      </c>
      <c r="B1312" s="12" t="s">
        <v>17</v>
      </c>
      <c r="C1312" s="12" t="s">
        <v>208</v>
      </c>
      <c r="D1312" s="12" t="s">
        <v>425</v>
      </c>
      <c r="E1312" s="89">
        <f t="shared" ca="1" si="124"/>
        <v>40951</v>
      </c>
      <c r="F1312" s="11">
        <f>DATE(46,2,1)</f>
        <v>16834</v>
      </c>
      <c r="G1312" s="12">
        <f t="shared" ca="1" si="126"/>
        <v>66</v>
      </c>
      <c r="H1312" s="12">
        <f t="shared" ca="1" si="127"/>
        <v>0</v>
      </c>
      <c r="I1312" s="13">
        <f t="shared" ca="1" si="128"/>
        <v>11</v>
      </c>
      <c r="J1312" s="14">
        <f t="shared" ca="1" si="125"/>
        <v>66</v>
      </c>
      <c r="K1312" s="12" t="s">
        <v>40</v>
      </c>
      <c r="L1312" s="12">
        <v>103</v>
      </c>
      <c r="M1312" s="12" t="s">
        <v>40</v>
      </c>
      <c r="N1312" s="12">
        <v>280</v>
      </c>
      <c r="O1312" s="90" t="s">
        <v>2748</v>
      </c>
    </row>
    <row r="1313" spans="1:15">
      <c r="A1313" s="12">
        <f t="shared" si="129"/>
        <v>1310</v>
      </c>
      <c r="B1313" s="12" t="s">
        <v>17</v>
      </c>
      <c r="C1313" s="12" t="s">
        <v>800</v>
      </c>
      <c r="D1313" s="12" t="s">
        <v>208</v>
      </c>
      <c r="E1313" s="89">
        <f t="shared" ca="1" si="124"/>
        <v>40951</v>
      </c>
      <c r="F1313" s="11">
        <f>DATE(48,10,7)</f>
        <v>17813</v>
      </c>
      <c r="G1313" s="12">
        <f t="shared" ca="1" si="126"/>
        <v>64</v>
      </c>
      <c r="H1313" s="12">
        <f t="shared" ca="1" si="127"/>
        <v>-8</v>
      </c>
      <c r="I1313" s="13">
        <f t="shared" ca="1" si="128"/>
        <v>5</v>
      </c>
      <c r="J1313" s="14">
        <f t="shared" ca="1" si="125"/>
        <v>63</v>
      </c>
      <c r="K1313" s="12" t="s">
        <v>41</v>
      </c>
      <c r="L1313" s="12">
        <v>103</v>
      </c>
      <c r="M1313" s="12" t="s">
        <v>40</v>
      </c>
      <c r="N1313" s="12">
        <v>280</v>
      </c>
    </row>
    <row r="1314" spans="1:15">
      <c r="A1314" s="12">
        <f t="shared" si="129"/>
        <v>1311</v>
      </c>
      <c r="B1314" s="12" t="s">
        <v>17</v>
      </c>
      <c r="C1314" s="12" t="s">
        <v>900</v>
      </c>
      <c r="D1314" s="12" t="s">
        <v>208</v>
      </c>
      <c r="E1314" s="89">
        <f t="shared" ca="1" si="124"/>
        <v>40951</v>
      </c>
      <c r="F1314" s="11">
        <f>DATE(80,11,27)</f>
        <v>29552</v>
      </c>
      <c r="G1314" s="12">
        <f t="shared" ca="1" si="126"/>
        <v>32</v>
      </c>
      <c r="H1314" s="12">
        <f t="shared" ca="1" si="127"/>
        <v>-9</v>
      </c>
      <c r="I1314" s="13">
        <f t="shared" ca="1" si="128"/>
        <v>-15</v>
      </c>
      <c r="J1314" s="14">
        <f t="shared" ca="1" si="125"/>
        <v>31</v>
      </c>
      <c r="K1314" s="12" t="s">
        <v>41</v>
      </c>
      <c r="L1314" s="12">
        <v>103</v>
      </c>
      <c r="M1314" s="12" t="s">
        <v>44</v>
      </c>
      <c r="N1314" s="12">
        <v>280</v>
      </c>
    </row>
    <row r="1315" spans="1:15">
      <c r="A1315" s="12">
        <f t="shared" si="129"/>
        <v>1312</v>
      </c>
      <c r="B1315" s="12" t="s">
        <v>17</v>
      </c>
      <c r="C1315" s="12" t="s">
        <v>591</v>
      </c>
      <c r="D1315" s="12" t="s">
        <v>425</v>
      </c>
      <c r="E1315" s="89">
        <f t="shared" ca="1" si="124"/>
        <v>40951</v>
      </c>
      <c r="F1315" s="11">
        <f>DATE(41,7,18)</f>
        <v>15175</v>
      </c>
      <c r="G1315" s="12">
        <f t="shared" ca="1" si="126"/>
        <v>71</v>
      </c>
      <c r="H1315" s="12">
        <f t="shared" ca="1" si="127"/>
        <v>-5</v>
      </c>
      <c r="I1315" s="13">
        <f t="shared" ca="1" si="128"/>
        <v>-6</v>
      </c>
      <c r="J1315" s="14">
        <f t="shared" ca="1" si="125"/>
        <v>70</v>
      </c>
      <c r="K1315" s="12" t="s">
        <v>40</v>
      </c>
      <c r="L1315" s="12">
        <v>104</v>
      </c>
      <c r="M1315" s="12" t="s">
        <v>40</v>
      </c>
      <c r="N1315" s="12">
        <v>281</v>
      </c>
      <c r="O1315" s="90" t="s">
        <v>2748</v>
      </c>
    </row>
    <row r="1316" spans="1:15">
      <c r="A1316" s="12">
        <f t="shared" si="129"/>
        <v>1313</v>
      </c>
      <c r="B1316" s="12" t="s">
        <v>17</v>
      </c>
      <c r="C1316" s="12" t="s">
        <v>901</v>
      </c>
      <c r="D1316" s="12" t="s">
        <v>423</v>
      </c>
      <c r="E1316" s="89">
        <f t="shared" ref="E1316:E1379" ca="1" si="130">TODAY()</f>
        <v>40951</v>
      </c>
      <c r="F1316" s="11">
        <f>DATE(47,2,19)</f>
        <v>17217</v>
      </c>
      <c r="G1316" s="12">
        <f t="shared" ca="1" si="126"/>
        <v>65</v>
      </c>
      <c r="H1316" s="12">
        <f t="shared" ca="1" si="127"/>
        <v>0</v>
      </c>
      <c r="I1316" s="13">
        <f t="shared" ca="1" si="128"/>
        <v>-7</v>
      </c>
      <c r="J1316" s="14">
        <f t="shared" ca="1" si="125"/>
        <v>64</v>
      </c>
      <c r="K1316" s="12" t="s">
        <v>41</v>
      </c>
      <c r="L1316" s="12">
        <v>104</v>
      </c>
      <c r="M1316" s="12" t="s">
        <v>40</v>
      </c>
      <c r="N1316" s="12">
        <v>281</v>
      </c>
    </row>
    <row r="1317" spans="1:15">
      <c r="A1317" s="12">
        <f t="shared" si="129"/>
        <v>1314</v>
      </c>
      <c r="B1317" s="12" t="s">
        <v>17</v>
      </c>
      <c r="C1317" s="12" t="s">
        <v>114</v>
      </c>
      <c r="D1317" s="12" t="s">
        <v>423</v>
      </c>
      <c r="E1317" s="89">
        <f t="shared" ca="1" si="130"/>
        <v>40951</v>
      </c>
      <c r="F1317" s="11">
        <f>DATE(67,9,30)</f>
        <v>24745</v>
      </c>
      <c r="G1317" s="12">
        <f t="shared" ca="1" si="126"/>
        <v>45</v>
      </c>
      <c r="H1317" s="12">
        <f t="shared" ca="1" si="127"/>
        <v>-7</v>
      </c>
      <c r="I1317" s="13">
        <f t="shared" ca="1" si="128"/>
        <v>-18</v>
      </c>
      <c r="J1317" s="14">
        <f t="shared" ca="1" si="125"/>
        <v>44</v>
      </c>
      <c r="K1317" s="12" t="s">
        <v>40</v>
      </c>
      <c r="L1317" s="12">
        <v>104</v>
      </c>
      <c r="M1317" s="12" t="s">
        <v>40</v>
      </c>
      <c r="N1317" s="12">
        <v>281</v>
      </c>
    </row>
    <row r="1318" spans="1:15">
      <c r="A1318" s="12">
        <f t="shared" si="129"/>
        <v>1315</v>
      </c>
      <c r="B1318" s="12" t="s">
        <v>17</v>
      </c>
      <c r="C1318" s="12" t="s">
        <v>62</v>
      </c>
      <c r="D1318" s="12" t="s">
        <v>114</v>
      </c>
      <c r="E1318" s="89">
        <f t="shared" ca="1" si="130"/>
        <v>40951</v>
      </c>
      <c r="F1318" s="11">
        <f>DATE(66,12,26)</f>
        <v>24467</v>
      </c>
      <c r="G1318" s="12">
        <f t="shared" ca="1" si="126"/>
        <v>46</v>
      </c>
      <c r="H1318" s="12">
        <f t="shared" ca="1" si="127"/>
        <v>-10</v>
      </c>
      <c r="I1318" s="13">
        <f t="shared" ca="1" si="128"/>
        <v>-14</v>
      </c>
      <c r="J1318" s="14">
        <f t="shared" ca="1" si="125"/>
        <v>45</v>
      </c>
      <c r="K1318" s="12" t="s">
        <v>41</v>
      </c>
      <c r="L1318" s="12">
        <v>104</v>
      </c>
      <c r="M1318" s="12" t="s">
        <v>40</v>
      </c>
      <c r="N1318" s="12">
        <v>281</v>
      </c>
    </row>
    <row r="1319" spans="1:15">
      <c r="A1319" s="12">
        <f t="shared" si="129"/>
        <v>1316</v>
      </c>
      <c r="B1319" s="12" t="s">
        <v>17</v>
      </c>
      <c r="C1319" s="12" t="s">
        <v>571</v>
      </c>
      <c r="D1319" s="12" t="s">
        <v>114</v>
      </c>
      <c r="E1319" s="89">
        <f t="shared" ca="1" si="130"/>
        <v>40951</v>
      </c>
      <c r="F1319" s="11">
        <f>DATE(94,10,10)</f>
        <v>34617</v>
      </c>
      <c r="G1319" s="12">
        <f t="shared" ca="1" si="126"/>
        <v>18</v>
      </c>
      <c r="H1319" s="12">
        <f t="shared" ca="1" si="127"/>
        <v>-8</v>
      </c>
      <c r="I1319" s="13">
        <f t="shared" ca="1" si="128"/>
        <v>2</v>
      </c>
      <c r="J1319" s="14">
        <f t="shared" ca="1" si="125"/>
        <v>17</v>
      </c>
      <c r="K1319" s="12" t="s">
        <v>40</v>
      </c>
      <c r="L1319" s="12">
        <v>104</v>
      </c>
      <c r="M1319" s="12" t="s">
        <v>44</v>
      </c>
      <c r="N1319" s="12">
        <v>281</v>
      </c>
    </row>
    <row r="1320" spans="1:15">
      <c r="A1320" s="12">
        <f t="shared" si="129"/>
        <v>1317</v>
      </c>
      <c r="B1320" s="12" t="s">
        <v>17</v>
      </c>
      <c r="C1320" s="12" t="s">
        <v>902</v>
      </c>
      <c r="D1320" s="12" t="s">
        <v>114</v>
      </c>
      <c r="E1320" s="89">
        <f t="shared" ca="1" si="130"/>
        <v>40951</v>
      </c>
      <c r="F1320" s="11">
        <f>DATE(96,10,25)</f>
        <v>35363</v>
      </c>
      <c r="G1320" s="12">
        <f t="shared" ca="1" si="126"/>
        <v>16</v>
      </c>
      <c r="H1320" s="12">
        <f t="shared" ca="1" si="127"/>
        <v>-8</v>
      </c>
      <c r="I1320" s="13">
        <f t="shared" ca="1" si="128"/>
        <v>-13</v>
      </c>
      <c r="J1320" s="14">
        <f t="shared" ca="1" si="125"/>
        <v>15</v>
      </c>
      <c r="K1320" s="12" t="s">
        <v>41</v>
      </c>
      <c r="L1320" s="12">
        <v>104</v>
      </c>
      <c r="M1320" s="12" t="s">
        <v>44</v>
      </c>
      <c r="N1320" s="12">
        <v>281</v>
      </c>
    </row>
    <row r="1321" spans="1:15">
      <c r="A1321" s="12">
        <f t="shared" si="129"/>
        <v>1318</v>
      </c>
      <c r="B1321" s="12" t="s">
        <v>17</v>
      </c>
      <c r="C1321" s="12" t="s">
        <v>903</v>
      </c>
      <c r="D1321" s="12" t="s">
        <v>423</v>
      </c>
      <c r="E1321" s="89">
        <f t="shared" ca="1" si="130"/>
        <v>40951</v>
      </c>
      <c r="F1321" s="11">
        <f>DATE(71,7,26)</f>
        <v>26140</v>
      </c>
      <c r="G1321" s="12">
        <f t="shared" ca="1" si="126"/>
        <v>41</v>
      </c>
      <c r="H1321" s="12">
        <f t="shared" ca="1" si="127"/>
        <v>-5</v>
      </c>
      <c r="I1321" s="13">
        <f t="shared" ca="1" si="128"/>
        <v>-14</v>
      </c>
      <c r="J1321" s="14">
        <f t="shared" ca="1" si="125"/>
        <v>40</v>
      </c>
      <c r="K1321" s="12" t="s">
        <v>40</v>
      </c>
      <c r="L1321" s="12">
        <v>104</v>
      </c>
      <c r="M1321" s="12" t="s">
        <v>40</v>
      </c>
      <c r="N1321" s="12">
        <v>281</v>
      </c>
    </row>
    <row r="1322" spans="1:15">
      <c r="A1322" s="12">
        <f t="shared" si="129"/>
        <v>1319</v>
      </c>
      <c r="B1322" s="12" t="s">
        <v>17</v>
      </c>
      <c r="C1322" s="12" t="s">
        <v>826</v>
      </c>
      <c r="D1322" s="12" t="s">
        <v>903</v>
      </c>
      <c r="E1322" s="89">
        <f t="shared" ca="1" si="130"/>
        <v>40951</v>
      </c>
      <c r="F1322" s="11">
        <f>DATE(78,3,9)</f>
        <v>28558</v>
      </c>
      <c r="G1322" s="12">
        <f t="shared" ca="1" si="126"/>
        <v>34</v>
      </c>
      <c r="H1322" s="12">
        <f t="shared" ca="1" si="127"/>
        <v>-1</v>
      </c>
      <c r="I1322" s="13">
        <f t="shared" ca="1" si="128"/>
        <v>3</v>
      </c>
      <c r="J1322" s="14">
        <f t="shared" ca="1" si="125"/>
        <v>33</v>
      </c>
      <c r="K1322" s="12" t="s">
        <v>41</v>
      </c>
      <c r="L1322" s="12">
        <v>104</v>
      </c>
      <c r="M1322" s="12" t="s">
        <v>40</v>
      </c>
      <c r="N1322" s="12">
        <v>281</v>
      </c>
    </row>
    <row r="1323" spans="1:15">
      <c r="A1323" s="12">
        <f t="shared" si="129"/>
        <v>1320</v>
      </c>
      <c r="B1323" s="12" t="s">
        <v>17</v>
      </c>
      <c r="C1323" s="12" t="s">
        <v>904</v>
      </c>
      <c r="D1323" s="12" t="s">
        <v>903</v>
      </c>
      <c r="E1323" s="89">
        <f t="shared" ca="1" si="130"/>
        <v>40951</v>
      </c>
      <c r="F1323" s="11">
        <f>DATE(2000,3,31)</f>
        <v>36616</v>
      </c>
      <c r="G1323" s="12">
        <f t="shared" ca="1" si="126"/>
        <v>12</v>
      </c>
      <c r="H1323" s="12">
        <f t="shared" ca="1" si="127"/>
        <v>-1</v>
      </c>
      <c r="I1323" s="13">
        <f t="shared" ca="1" si="128"/>
        <v>-19</v>
      </c>
      <c r="J1323" s="14">
        <f t="shared" ca="1" si="125"/>
        <v>11</v>
      </c>
      <c r="K1323" s="12" t="s">
        <v>41</v>
      </c>
      <c r="L1323" s="12">
        <v>104</v>
      </c>
      <c r="M1323" s="12" t="s">
        <v>44</v>
      </c>
      <c r="N1323" s="12">
        <v>281</v>
      </c>
    </row>
    <row r="1324" spans="1:15">
      <c r="A1324" s="12">
        <f t="shared" si="129"/>
        <v>1321</v>
      </c>
      <c r="B1324" s="12" t="s">
        <v>17</v>
      </c>
      <c r="C1324" s="12" t="s">
        <v>905</v>
      </c>
      <c r="D1324" s="12" t="s">
        <v>903</v>
      </c>
      <c r="E1324" s="89">
        <f t="shared" ca="1" si="130"/>
        <v>40951</v>
      </c>
      <c r="F1324" s="11">
        <f>DATE(2004,2,2)</f>
        <v>38019</v>
      </c>
      <c r="G1324" s="12">
        <f t="shared" ca="1" si="126"/>
        <v>8</v>
      </c>
      <c r="H1324" s="12">
        <f t="shared" ca="1" si="127"/>
        <v>0</v>
      </c>
      <c r="I1324" s="13">
        <f t="shared" ca="1" si="128"/>
        <v>10</v>
      </c>
      <c r="J1324" s="14">
        <f t="shared" ca="1" si="125"/>
        <v>8</v>
      </c>
      <c r="K1324" s="12" t="s">
        <v>40</v>
      </c>
      <c r="L1324" s="12">
        <v>104</v>
      </c>
      <c r="M1324" s="12" t="s">
        <v>44</v>
      </c>
      <c r="N1324" s="12">
        <v>281</v>
      </c>
    </row>
    <row r="1325" spans="1:15">
      <c r="A1325" s="12">
        <f t="shared" si="129"/>
        <v>1322</v>
      </c>
      <c r="B1325" s="12" t="s">
        <v>17</v>
      </c>
      <c r="C1325" s="12" t="s">
        <v>305</v>
      </c>
      <c r="D1325" s="12" t="s">
        <v>423</v>
      </c>
      <c r="E1325" s="89">
        <f t="shared" ca="1" si="130"/>
        <v>40951</v>
      </c>
      <c r="F1325" s="11">
        <f>DATE(74,5,20)</f>
        <v>27169</v>
      </c>
      <c r="G1325" s="12">
        <f t="shared" ca="1" si="126"/>
        <v>38</v>
      </c>
      <c r="H1325" s="12">
        <f t="shared" ca="1" si="127"/>
        <v>-3</v>
      </c>
      <c r="I1325" s="13">
        <f t="shared" ca="1" si="128"/>
        <v>-8</v>
      </c>
      <c r="J1325" s="14">
        <f t="shared" ca="1" si="125"/>
        <v>37</v>
      </c>
      <c r="K1325" s="12" t="s">
        <v>40</v>
      </c>
      <c r="L1325" s="12">
        <v>104</v>
      </c>
      <c r="M1325" s="12" t="s">
        <v>40</v>
      </c>
      <c r="N1325" s="12">
        <v>281</v>
      </c>
    </row>
    <row r="1326" spans="1:15">
      <c r="A1326" s="12">
        <f t="shared" si="129"/>
        <v>1323</v>
      </c>
      <c r="B1326" s="12" t="s">
        <v>17</v>
      </c>
      <c r="C1326" s="12" t="s">
        <v>402</v>
      </c>
      <c r="D1326" s="12" t="s">
        <v>305</v>
      </c>
      <c r="E1326" s="89">
        <f t="shared" ca="1" si="130"/>
        <v>40951</v>
      </c>
      <c r="F1326" s="11">
        <f>DATE(79,2,8)</f>
        <v>28894</v>
      </c>
      <c r="G1326" s="12">
        <f t="shared" ca="1" si="126"/>
        <v>33</v>
      </c>
      <c r="H1326" s="12">
        <f t="shared" ca="1" si="127"/>
        <v>0</v>
      </c>
      <c r="I1326" s="13">
        <f t="shared" ca="1" si="128"/>
        <v>4</v>
      </c>
      <c r="J1326" s="14">
        <f t="shared" ca="1" si="125"/>
        <v>33</v>
      </c>
      <c r="K1326" s="12" t="s">
        <v>41</v>
      </c>
      <c r="L1326" s="12">
        <v>104</v>
      </c>
      <c r="M1326" s="12" t="s">
        <v>40</v>
      </c>
      <c r="N1326" s="12">
        <v>281</v>
      </c>
    </row>
    <row r="1327" spans="1:15">
      <c r="A1327" s="12">
        <f t="shared" si="129"/>
        <v>1324</v>
      </c>
      <c r="B1327" s="12" t="s">
        <v>17</v>
      </c>
      <c r="C1327" s="12" t="s">
        <v>906</v>
      </c>
      <c r="D1327" s="12" t="s">
        <v>305</v>
      </c>
      <c r="E1327" s="89">
        <f t="shared" ca="1" si="130"/>
        <v>40951</v>
      </c>
      <c r="F1327" s="11">
        <f>DATE(2002,5,27)</f>
        <v>37403</v>
      </c>
      <c r="G1327" s="12">
        <f t="shared" ca="1" si="126"/>
        <v>10</v>
      </c>
      <c r="H1327" s="12">
        <f t="shared" ca="1" si="127"/>
        <v>-3</v>
      </c>
      <c r="I1327" s="13">
        <f t="shared" ca="1" si="128"/>
        <v>-15</v>
      </c>
      <c r="J1327" s="14">
        <f t="shared" ca="1" si="125"/>
        <v>9</v>
      </c>
      <c r="K1327" s="12" t="s">
        <v>41</v>
      </c>
      <c r="L1327" s="12">
        <v>104</v>
      </c>
      <c r="M1327" s="12" t="s">
        <v>44</v>
      </c>
      <c r="N1327" s="12">
        <v>281</v>
      </c>
    </row>
    <row r="1328" spans="1:15">
      <c r="A1328" s="12">
        <f t="shared" si="129"/>
        <v>1325</v>
      </c>
      <c r="B1328" s="12" t="s">
        <v>17</v>
      </c>
      <c r="C1328" s="12" t="s">
        <v>907</v>
      </c>
      <c r="D1328" s="12" t="s">
        <v>305</v>
      </c>
      <c r="E1328" s="89">
        <f t="shared" ca="1" si="130"/>
        <v>40951</v>
      </c>
      <c r="F1328" s="11">
        <f>DATE(2005,2,11)</f>
        <v>38394</v>
      </c>
      <c r="G1328" s="12">
        <f t="shared" ca="1" si="126"/>
        <v>7</v>
      </c>
      <c r="H1328" s="12">
        <f t="shared" ca="1" si="127"/>
        <v>0</v>
      </c>
      <c r="I1328" s="13">
        <f t="shared" ca="1" si="128"/>
        <v>1</v>
      </c>
      <c r="J1328" s="14">
        <f t="shared" ca="1" si="125"/>
        <v>7</v>
      </c>
      <c r="K1328" s="12" t="s">
        <v>40</v>
      </c>
      <c r="L1328" s="12">
        <v>104</v>
      </c>
      <c r="M1328" s="12" t="s">
        <v>44</v>
      </c>
      <c r="N1328" s="12">
        <v>281</v>
      </c>
    </row>
    <row r="1329" spans="1:15">
      <c r="A1329" s="12">
        <f t="shared" si="129"/>
        <v>1326</v>
      </c>
      <c r="B1329" s="12" t="s">
        <v>17</v>
      </c>
      <c r="C1329" s="12" t="s">
        <v>452</v>
      </c>
      <c r="D1329" s="12" t="s">
        <v>423</v>
      </c>
      <c r="E1329" s="89">
        <f t="shared" ca="1" si="130"/>
        <v>40951</v>
      </c>
      <c r="F1329" s="11">
        <f>DATE(75,9,19)</f>
        <v>27656</v>
      </c>
      <c r="G1329" s="12">
        <f t="shared" ca="1" si="126"/>
        <v>37</v>
      </c>
      <c r="H1329" s="12">
        <f t="shared" ca="1" si="127"/>
        <v>-7</v>
      </c>
      <c r="I1329" s="13">
        <f t="shared" ca="1" si="128"/>
        <v>-7</v>
      </c>
      <c r="J1329" s="14">
        <f t="shared" ca="1" si="125"/>
        <v>36</v>
      </c>
      <c r="K1329" s="12" t="s">
        <v>40</v>
      </c>
      <c r="L1329" s="12">
        <v>104</v>
      </c>
      <c r="M1329" s="12" t="s">
        <v>40</v>
      </c>
      <c r="N1329" s="12">
        <v>281</v>
      </c>
    </row>
    <row r="1330" spans="1:15">
      <c r="A1330" s="12">
        <f t="shared" si="129"/>
        <v>1327</v>
      </c>
      <c r="B1330" s="12" t="s">
        <v>17</v>
      </c>
      <c r="C1330" s="12" t="s">
        <v>908</v>
      </c>
      <c r="D1330" s="12" t="s">
        <v>452</v>
      </c>
      <c r="E1330" s="89">
        <f t="shared" ca="1" si="130"/>
        <v>40951</v>
      </c>
      <c r="F1330" s="11">
        <f>DATE(75,7,12)</f>
        <v>27587</v>
      </c>
      <c r="G1330" s="12">
        <f t="shared" ca="1" si="126"/>
        <v>37</v>
      </c>
      <c r="H1330" s="12">
        <f t="shared" ca="1" si="127"/>
        <v>-5</v>
      </c>
      <c r="I1330" s="13">
        <f t="shared" ca="1" si="128"/>
        <v>0</v>
      </c>
      <c r="J1330" s="14">
        <f t="shared" ca="1" si="125"/>
        <v>36</v>
      </c>
      <c r="K1330" s="12" t="s">
        <v>41</v>
      </c>
      <c r="L1330" s="12">
        <v>104</v>
      </c>
      <c r="M1330" s="12" t="s">
        <v>40</v>
      </c>
      <c r="N1330" s="12">
        <v>281</v>
      </c>
    </row>
    <row r="1331" spans="1:15">
      <c r="A1331" s="12">
        <f t="shared" si="129"/>
        <v>1328</v>
      </c>
      <c r="B1331" s="12" t="s">
        <v>17</v>
      </c>
      <c r="C1331" s="12" t="s">
        <v>909</v>
      </c>
      <c r="D1331" s="12" t="s">
        <v>452</v>
      </c>
      <c r="E1331" s="89">
        <f t="shared" ca="1" si="130"/>
        <v>40951</v>
      </c>
      <c r="F1331" s="11">
        <f>DATE(2003,10,25)</f>
        <v>37919</v>
      </c>
      <c r="G1331" s="12">
        <f t="shared" ca="1" si="126"/>
        <v>9</v>
      </c>
      <c r="H1331" s="12">
        <f t="shared" ca="1" si="127"/>
        <v>-8</v>
      </c>
      <c r="I1331" s="13">
        <f t="shared" ca="1" si="128"/>
        <v>-13</v>
      </c>
      <c r="J1331" s="14">
        <f t="shared" ca="1" si="125"/>
        <v>8</v>
      </c>
      <c r="K1331" s="12" t="s">
        <v>40</v>
      </c>
      <c r="L1331" s="12">
        <v>104</v>
      </c>
      <c r="M1331" s="12" t="s">
        <v>44</v>
      </c>
      <c r="N1331" s="12">
        <v>281</v>
      </c>
    </row>
    <row r="1332" spans="1:15">
      <c r="A1332" s="12">
        <f t="shared" si="129"/>
        <v>1329</v>
      </c>
      <c r="B1332" s="12" t="s">
        <v>17</v>
      </c>
      <c r="C1332" s="12" t="s">
        <v>910</v>
      </c>
      <c r="D1332" s="12" t="s">
        <v>435</v>
      </c>
      <c r="E1332" s="89">
        <f t="shared" ca="1" si="130"/>
        <v>40951</v>
      </c>
      <c r="F1332" s="11">
        <f>DATE(55,6,17)</f>
        <v>20257</v>
      </c>
      <c r="G1332" s="12">
        <f t="shared" ca="1" si="126"/>
        <v>57</v>
      </c>
      <c r="H1332" s="12">
        <f t="shared" ca="1" si="127"/>
        <v>-4</v>
      </c>
      <c r="I1332" s="13">
        <f t="shared" ca="1" si="128"/>
        <v>-5</v>
      </c>
      <c r="J1332" s="14">
        <f t="shared" ca="1" si="125"/>
        <v>56</v>
      </c>
      <c r="K1332" s="12" t="s">
        <v>40</v>
      </c>
      <c r="L1332" s="12">
        <v>105</v>
      </c>
      <c r="M1332" s="12" t="s">
        <v>40</v>
      </c>
      <c r="N1332" s="12">
        <v>282</v>
      </c>
      <c r="O1332" s="90" t="s">
        <v>2748</v>
      </c>
    </row>
    <row r="1333" spans="1:15">
      <c r="A1333" s="12">
        <f t="shared" si="129"/>
        <v>1330</v>
      </c>
      <c r="B1333" s="12" t="s">
        <v>17</v>
      </c>
      <c r="C1333" s="12" t="s">
        <v>68</v>
      </c>
      <c r="D1333" s="12" t="s">
        <v>910</v>
      </c>
      <c r="E1333" s="89">
        <f t="shared" ca="1" si="130"/>
        <v>40951</v>
      </c>
      <c r="F1333" s="11">
        <f>DATE(64,9,13)</f>
        <v>23633</v>
      </c>
      <c r="G1333" s="12">
        <f t="shared" ca="1" si="126"/>
        <v>48</v>
      </c>
      <c r="H1333" s="12">
        <f t="shared" ca="1" si="127"/>
        <v>-7</v>
      </c>
      <c r="I1333" s="13">
        <f t="shared" ca="1" si="128"/>
        <v>-1</v>
      </c>
      <c r="J1333" s="14">
        <f t="shared" ca="1" si="125"/>
        <v>47</v>
      </c>
      <c r="K1333" s="12" t="s">
        <v>41</v>
      </c>
      <c r="L1333" s="12">
        <v>105</v>
      </c>
      <c r="M1333" s="12" t="s">
        <v>40</v>
      </c>
      <c r="N1333" s="12">
        <v>282</v>
      </c>
    </row>
    <row r="1334" spans="1:15">
      <c r="A1334" s="12">
        <f t="shared" si="129"/>
        <v>1331</v>
      </c>
      <c r="B1334" s="12" t="s">
        <v>17</v>
      </c>
      <c r="C1334" s="12" t="s">
        <v>432</v>
      </c>
      <c r="D1334" s="12" t="s">
        <v>910</v>
      </c>
      <c r="E1334" s="89">
        <f t="shared" ca="1" si="130"/>
        <v>40951</v>
      </c>
      <c r="F1334" s="11">
        <f>DATE(90,1,14)</f>
        <v>32887</v>
      </c>
      <c r="G1334" s="12">
        <f t="shared" ca="1" si="126"/>
        <v>22</v>
      </c>
      <c r="H1334" s="12">
        <f t="shared" ca="1" si="127"/>
        <v>1</v>
      </c>
      <c r="I1334" s="13">
        <f t="shared" ca="1" si="128"/>
        <v>-2</v>
      </c>
      <c r="J1334" s="14">
        <f t="shared" ca="1" si="125"/>
        <v>22</v>
      </c>
      <c r="K1334" s="12" t="s">
        <v>40</v>
      </c>
      <c r="L1334" s="12">
        <v>105</v>
      </c>
      <c r="M1334" s="12" t="s">
        <v>44</v>
      </c>
      <c r="N1334" s="12">
        <v>282</v>
      </c>
    </row>
    <row r="1335" spans="1:15">
      <c r="A1335" s="12">
        <f t="shared" si="129"/>
        <v>1332</v>
      </c>
      <c r="B1335" s="12" t="s">
        <v>17</v>
      </c>
      <c r="C1335" s="12" t="s">
        <v>911</v>
      </c>
      <c r="D1335" s="12" t="s">
        <v>910</v>
      </c>
      <c r="E1335" s="89">
        <f t="shared" ca="1" si="130"/>
        <v>40951</v>
      </c>
      <c r="F1335" s="11">
        <f>DATE(95,3,8)</f>
        <v>34766</v>
      </c>
      <c r="G1335" s="12">
        <f t="shared" ca="1" si="126"/>
        <v>17</v>
      </c>
      <c r="H1335" s="12">
        <f t="shared" ca="1" si="127"/>
        <v>-1</v>
      </c>
      <c r="I1335" s="13">
        <f t="shared" ca="1" si="128"/>
        <v>4</v>
      </c>
      <c r="J1335" s="14">
        <f t="shared" ca="1" si="125"/>
        <v>16</v>
      </c>
      <c r="K1335" s="12" t="s">
        <v>40</v>
      </c>
      <c r="L1335" s="12">
        <v>105</v>
      </c>
      <c r="M1335" s="12" t="s">
        <v>44</v>
      </c>
      <c r="N1335" s="12">
        <v>282</v>
      </c>
    </row>
    <row r="1336" spans="1:15">
      <c r="A1336" s="12">
        <f t="shared" si="129"/>
        <v>1333</v>
      </c>
      <c r="B1336" s="12" t="s">
        <v>17</v>
      </c>
      <c r="C1336" s="12" t="s">
        <v>912</v>
      </c>
      <c r="D1336" s="12" t="s">
        <v>623</v>
      </c>
      <c r="E1336" s="89">
        <f t="shared" ca="1" si="130"/>
        <v>40951</v>
      </c>
      <c r="F1336" s="11">
        <f>DATE(69,11,14)</f>
        <v>25521</v>
      </c>
      <c r="G1336" s="12">
        <f t="shared" ca="1" si="126"/>
        <v>43</v>
      </c>
      <c r="H1336" s="12">
        <f t="shared" ca="1" si="127"/>
        <v>-9</v>
      </c>
      <c r="I1336" s="13">
        <f t="shared" ca="1" si="128"/>
        <v>-2</v>
      </c>
      <c r="J1336" s="14">
        <f t="shared" ca="1" si="125"/>
        <v>42</v>
      </c>
      <c r="K1336" s="12" t="s">
        <v>40</v>
      </c>
      <c r="L1336" s="12">
        <v>105</v>
      </c>
      <c r="M1336" s="12" t="s">
        <v>44</v>
      </c>
      <c r="N1336" s="12">
        <v>283</v>
      </c>
      <c r="O1336" s="90" t="s">
        <v>2748</v>
      </c>
    </row>
    <row r="1337" spans="1:15">
      <c r="A1337" s="12">
        <f t="shared" si="129"/>
        <v>1334</v>
      </c>
      <c r="B1337" s="12" t="s">
        <v>17</v>
      </c>
      <c r="C1337" s="12" t="s">
        <v>430</v>
      </c>
      <c r="D1337" s="12" t="s">
        <v>623</v>
      </c>
      <c r="E1337" s="89">
        <f t="shared" ca="1" si="130"/>
        <v>40951</v>
      </c>
      <c r="F1337" s="11">
        <f>DATE(51,7,13)</f>
        <v>18822</v>
      </c>
      <c r="G1337" s="12">
        <f t="shared" ca="1" si="126"/>
        <v>61</v>
      </c>
      <c r="H1337" s="12">
        <f t="shared" ca="1" si="127"/>
        <v>-5</v>
      </c>
      <c r="I1337" s="13">
        <f t="shared" ca="1" si="128"/>
        <v>-1</v>
      </c>
      <c r="J1337" s="14">
        <f t="shared" ca="1" si="125"/>
        <v>60</v>
      </c>
      <c r="K1337" s="12" t="s">
        <v>41</v>
      </c>
      <c r="L1337" s="12">
        <v>105</v>
      </c>
      <c r="M1337" s="12" t="s">
        <v>40</v>
      </c>
      <c r="N1337" s="12">
        <v>283</v>
      </c>
    </row>
    <row r="1338" spans="1:15">
      <c r="A1338" s="12">
        <f t="shared" si="129"/>
        <v>1335</v>
      </c>
      <c r="B1338" s="12" t="s">
        <v>17</v>
      </c>
      <c r="C1338" s="12" t="s">
        <v>368</v>
      </c>
      <c r="D1338" s="12" t="s">
        <v>623</v>
      </c>
      <c r="E1338" s="89">
        <f t="shared" ca="1" si="130"/>
        <v>40951</v>
      </c>
      <c r="F1338" s="11">
        <f>DATE(68,12,9)</f>
        <v>25181</v>
      </c>
      <c r="G1338" s="12">
        <f t="shared" ca="1" si="126"/>
        <v>44</v>
      </c>
      <c r="H1338" s="12">
        <f t="shared" ca="1" si="127"/>
        <v>-10</v>
      </c>
      <c r="I1338" s="13">
        <f t="shared" ca="1" si="128"/>
        <v>3</v>
      </c>
      <c r="J1338" s="14">
        <f t="shared" ca="1" si="125"/>
        <v>43</v>
      </c>
      <c r="K1338" s="12" t="s">
        <v>41</v>
      </c>
      <c r="L1338" s="12">
        <v>105</v>
      </c>
      <c r="M1338" s="12" t="s">
        <v>44</v>
      </c>
      <c r="N1338" s="12">
        <v>283</v>
      </c>
    </row>
    <row r="1339" spans="1:15">
      <c r="A1339" s="12">
        <f t="shared" si="129"/>
        <v>1336</v>
      </c>
      <c r="B1339" s="12" t="s">
        <v>17</v>
      </c>
      <c r="C1339" s="12" t="s">
        <v>913</v>
      </c>
      <c r="D1339" s="12" t="s">
        <v>623</v>
      </c>
      <c r="E1339" s="89">
        <f t="shared" ca="1" si="130"/>
        <v>40951</v>
      </c>
      <c r="F1339" s="11">
        <f>DATE(71,9,21)</f>
        <v>26197</v>
      </c>
      <c r="G1339" s="12">
        <f t="shared" ca="1" si="126"/>
        <v>41</v>
      </c>
      <c r="H1339" s="12">
        <f t="shared" ca="1" si="127"/>
        <v>-7</v>
      </c>
      <c r="I1339" s="13">
        <f t="shared" ca="1" si="128"/>
        <v>-9</v>
      </c>
      <c r="J1339" s="14">
        <f t="shared" ca="1" si="125"/>
        <v>40</v>
      </c>
      <c r="K1339" s="12" t="s">
        <v>40</v>
      </c>
      <c r="L1339" s="12">
        <v>105</v>
      </c>
      <c r="M1339" s="12" t="s">
        <v>40</v>
      </c>
      <c r="N1339" s="12">
        <v>283</v>
      </c>
    </row>
    <row r="1340" spans="1:15">
      <c r="A1340" s="12">
        <f t="shared" si="129"/>
        <v>1337</v>
      </c>
      <c r="B1340" s="12" t="s">
        <v>17</v>
      </c>
      <c r="C1340" s="12" t="s">
        <v>192</v>
      </c>
      <c r="D1340" s="12" t="s">
        <v>913</v>
      </c>
      <c r="E1340" s="89">
        <f t="shared" ca="1" si="130"/>
        <v>40951</v>
      </c>
      <c r="F1340" s="11">
        <f>DATE(80,11,26)</f>
        <v>29551</v>
      </c>
      <c r="G1340" s="12">
        <f t="shared" ca="1" si="126"/>
        <v>32</v>
      </c>
      <c r="H1340" s="12">
        <f t="shared" ca="1" si="127"/>
        <v>-9</v>
      </c>
      <c r="I1340" s="13">
        <f t="shared" ca="1" si="128"/>
        <v>-14</v>
      </c>
      <c r="J1340" s="14">
        <f t="shared" ca="1" si="125"/>
        <v>31</v>
      </c>
      <c r="K1340" s="12" t="s">
        <v>41</v>
      </c>
      <c r="L1340" s="12">
        <v>105</v>
      </c>
      <c r="M1340" s="12" t="s">
        <v>40</v>
      </c>
      <c r="N1340" s="12">
        <v>283</v>
      </c>
    </row>
    <row r="1341" spans="1:15">
      <c r="A1341" s="12">
        <f t="shared" si="129"/>
        <v>1338</v>
      </c>
      <c r="B1341" s="12" t="s">
        <v>17</v>
      </c>
      <c r="C1341" s="12" t="s">
        <v>914</v>
      </c>
      <c r="D1341" s="12" t="s">
        <v>573</v>
      </c>
      <c r="E1341" s="89">
        <f t="shared" ca="1" si="130"/>
        <v>40951</v>
      </c>
      <c r="F1341" s="11">
        <f>DATE(43,7,21)</f>
        <v>15908</v>
      </c>
      <c r="G1341" s="12">
        <f t="shared" ca="1" si="126"/>
        <v>69</v>
      </c>
      <c r="H1341" s="12">
        <f t="shared" ca="1" si="127"/>
        <v>-5</v>
      </c>
      <c r="I1341" s="13">
        <f t="shared" ca="1" si="128"/>
        <v>-9</v>
      </c>
      <c r="J1341" s="14">
        <f t="shared" ca="1" si="125"/>
        <v>68</v>
      </c>
      <c r="K1341" s="12" t="s">
        <v>40</v>
      </c>
      <c r="L1341" s="12">
        <v>105</v>
      </c>
      <c r="M1341" s="12" t="s">
        <v>40</v>
      </c>
      <c r="N1341" s="12">
        <v>284</v>
      </c>
      <c r="O1341" s="90" t="s">
        <v>2748</v>
      </c>
    </row>
    <row r="1342" spans="1:15">
      <c r="A1342" s="12">
        <f t="shared" si="129"/>
        <v>1339</v>
      </c>
      <c r="B1342" s="12" t="s">
        <v>17</v>
      </c>
      <c r="C1342" s="12" t="s">
        <v>451</v>
      </c>
      <c r="D1342" s="12" t="s">
        <v>914</v>
      </c>
      <c r="E1342" s="89">
        <f t="shared" ca="1" si="130"/>
        <v>40951</v>
      </c>
      <c r="F1342" s="11">
        <f>DATE(46,7,21)</f>
        <v>17004</v>
      </c>
      <c r="G1342" s="12">
        <f t="shared" ca="1" si="126"/>
        <v>66</v>
      </c>
      <c r="H1342" s="12">
        <f t="shared" ca="1" si="127"/>
        <v>-5</v>
      </c>
      <c r="I1342" s="13">
        <f t="shared" ca="1" si="128"/>
        <v>-9</v>
      </c>
      <c r="J1342" s="14">
        <f t="shared" ca="1" si="125"/>
        <v>65</v>
      </c>
      <c r="K1342" s="12" t="s">
        <v>41</v>
      </c>
      <c r="L1342" s="12">
        <v>105</v>
      </c>
      <c r="M1342" s="12" t="s">
        <v>40</v>
      </c>
      <c r="N1342" s="12">
        <v>284</v>
      </c>
    </row>
    <row r="1343" spans="1:15">
      <c r="A1343" s="12">
        <f t="shared" si="129"/>
        <v>1340</v>
      </c>
      <c r="B1343" s="12" t="s">
        <v>17</v>
      </c>
      <c r="C1343" s="12" t="s">
        <v>748</v>
      </c>
      <c r="D1343" s="12" t="s">
        <v>914</v>
      </c>
      <c r="E1343" s="89">
        <f t="shared" ca="1" si="130"/>
        <v>40951</v>
      </c>
      <c r="F1343" s="11">
        <f>DATE(69,9,14)</f>
        <v>25460</v>
      </c>
      <c r="G1343" s="12">
        <f t="shared" ca="1" si="126"/>
        <v>43</v>
      </c>
      <c r="H1343" s="12">
        <f t="shared" ca="1" si="127"/>
        <v>-7</v>
      </c>
      <c r="I1343" s="13">
        <f t="shared" ca="1" si="128"/>
        <v>-2</v>
      </c>
      <c r="J1343" s="14">
        <f t="shared" ca="1" si="125"/>
        <v>42</v>
      </c>
      <c r="K1343" s="12" t="s">
        <v>40</v>
      </c>
      <c r="L1343" s="12">
        <v>105</v>
      </c>
      <c r="M1343" s="12" t="s">
        <v>40</v>
      </c>
      <c r="N1343" s="12">
        <v>284</v>
      </c>
    </row>
    <row r="1344" spans="1:15">
      <c r="A1344" s="12">
        <f t="shared" si="129"/>
        <v>1341</v>
      </c>
      <c r="B1344" s="12" t="s">
        <v>17</v>
      </c>
      <c r="C1344" s="12" t="s">
        <v>915</v>
      </c>
      <c r="D1344" s="12" t="s">
        <v>748</v>
      </c>
      <c r="E1344" s="89">
        <f t="shared" ca="1" si="130"/>
        <v>40951</v>
      </c>
      <c r="F1344" s="11">
        <f>DATE(74,9,14)</f>
        <v>27286</v>
      </c>
      <c r="G1344" s="12">
        <f t="shared" ca="1" si="126"/>
        <v>38</v>
      </c>
      <c r="H1344" s="12">
        <f t="shared" ca="1" si="127"/>
        <v>-7</v>
      </c>
      <c r="I1344" s="13">
        <f t="shared" ca="1" si="128"/>
        <v>-2</v>
      </c>
      <c r="J1344" s="14">
        <f t="shared" ca="1" si="125"/>
        <v>37</v>
      </c>
      <c r="K1344" s="12" t="s">
        <v>41</v>
      </c>
      <c r="L1344" s="12">
        <v>105</v>
      </c>
      <c r="M1344" s="12" t="s">
        <v>40</v>
      </c>
      <c r="N1344" s="12">
        <v>284</v>
      </c>
    </row>
    <row r="1345" spans="1:15">
      <c r="A1345" s="12">
        <f t="shared" si="129"/>
        <v>1342</v>
      </c>
      <c r="B1345" s="12" t="s">
        <v>17</v>
      </c>
      <c r="C1345" s="12" t="s">
        <v>774</v>
      </c>
      <c r="D1345" s="12" t="s">
        <v>748</v>
      </c>
      <c r="E1345" s="89">
        <f t="shared" ca="1" si="130"/>
        <v>40951</v>
      </c>
      <c r="F1345" s="11">
        <f>DATE(98,7,30)</f>
        <v>36006</v>
      </c>
      <c r="G1345" s="12">
        <f t="shared" ca="1" si="126"/>
        <v>14</v>
      </c>
      <c r="H1345" s="12">
        <f t="shared" ca="1" si="127"/>
        <v>-5</v>
      </c>
      <c r="I1345" s="13">
        <f t="shared" ca="1" si="128"/>
        <v>-18</v>
      </c>
      <c r="J1345" s="14">
        <f t="shared" ca="1" si="125"/>
        <v>13</v>
      </c>
      <c r="K1345" s="12" t="s">
        <v>41</v>
      </c>
      <c r="L1345" s="12">
        <v>105</v>
      </c>
      <c r="M1345" s="12" t="s">
        <v>44</v>
      </c>
      <c r="N1345" s="12">
        <v>284</v>
      </c>
    </row>
    <row r="1346" spans="1:15">
      <c r="A1346" s="12">
        <f t="shared" si="129"/>
        <v>1343</v>
      </c>
      <c r="B1346" s="12" t="s">
        <v>17</v>
      </c>
      <c r="C1346" s="12" t="s">
        <v>303</v>
      </c>
      <c r="D1346" s="12" t="s">
        <v>748</v>
      </c>
      <c r="E1346" s="89">
        <f t="shared" ca="1" si="130"/>
        <v>40951</v>
      </c>
      <c r="F1346" s="11">
        <f>DATE(2001,12,28)</f>
        <v>37253</v>
      </c>
      <c r="G1346" s="12">
        <f t="shared" ca="1" si="126"/>
        <v>11</v>
      </c>
      <c r="H1346" s="12">
        <f t="shared" ca="1" si="127"/>
        <v>-10</v>
      </c>
      <c r="I1346" s="13">
        <f t="shared" ca="1" si="128"/>
        <v>-16</v>
      </c>
      <c r="J1346" s="14">
        <f t="shared" ca="1" si="125"/>
        <v>10</v>
      </c>
      <c r="K1346" s="12" t="s">
        <v>41</v>
      </c>
      <c r="L1346" s="12">
        <v>105</v>
      </c>
      <c r="M1346" s="12" t="s">
        <v>44</v>
      </c>
      <c r="N1346" s="12">
        <v>284</v>
      </c>
    </row>
    <row r="1347" spans="1:15">
      <c r="A1347" s="12">
        <f t="shared" si="129"/>
        <v>1344</v>
      </c>
      <c r="B1347" s="12" t="s">
        <v>17</v>
      </c>
      <c r="C1347" s="12" t="s">
        <v>827</v>
      </c>
      <c r="D1347" s="12" t="s">
        <v>748</v>
      </c>
      <c r="E1347" s="89">
        <f t="shared" ca="1" si="130"/>
        <v>40951</v>
      </c>
      <c r="F1347" s="11">
        <f>DATE(2006,9,8)</f>
        <v>38968</v>
      </c>
      <c r="G1347" s="12">
        <f t="shared" ca="1" si="126"/>
        <v>6</v>
      </c>
      <c r="H1347" s="12">
        <f t="shared" ca="1" si="127"/>
        <v>-7</v>
      </c>
      <c r="I1347" s="13">
        <f t="shared" ca="1" si="128"/>
        <v>4</v>
      </c>
      <c r="J1347" s="14">
        <f t="shared" ca="1" si="125"/>
        <v>5</v>
      </c>
      <c r="K1347" s="12" t="s">
        <v>40</v>
      </c>
      <c r="L1347" s="12">
        <v>105</v>
      </c>
      <c r="M1347" s="12" t="s">
        <v>44</v>
      </c>
      <c r="N1347" s="12">
        <v>284</v>
      </c>
    </row>
    <row r="1348" spans="1:15">
      <c r="A1348" s="12">
        <f t="shared" si="129"/>
        <v>1345</v>
      </c>
      <c r="B1348" s="12" t="s">
        <v>17</v>
      </c>
      <c r="C1348" s="12" t="s">
        <v>610</v>
      </c>
      <c r="D1348" s="12" t="s">
        <v>916</v>
      </c>
      <c r="E1348" s="89">
        <f t="shared" ca="1" si="130"/>
        <v>40951</v>
      </c>
      <c r="F1348" s="11">
        <f>DATE(63,2,12)</f>
        <v>23054</v>
      </c>
      <c r="G1348" s="12">
        <f t="shared" ca="1" si="126"/>
        <v>49</v>
      </c>
      <c r="H1348" s="12">
        <f t="shared" ca="1" si="127"/>
        <v>0</v>
      </c>
      <c r="I1348" s="13">
        <f t="shared" ca="1" si="128"/>
        <v>0</v>
      </c>
      <c r="J1348" s="14">
        <f t="shared" ref="J1348:J1411" ca="1" si="131">IF(H1348&lt;0,G1348-1,IF(H1348&gt;0,G1348,IF(I1348&lt;0,G1348-1,G1348)))</f>
        <v>49</v>
      </c>
      <c r="K1348" s="12" t="s">
        <v>40</v>
      </c>
      <c r="L1348" s="12">
        <v>106</v>
      </c>
      <c r="M1348" s="12" t="s">
        <v>40</v>
      </c>
      <c r="N1348" s="12">
        <v>285</v>
      </c>
      <c r="O1348" s="90" t="s">
        <v>2748</v>
      </c>
    </row>
    <row r="1349" spans="1:15">
      <c r="A1349" s="12">
        <f t="shared" si="129"/>
        <v>1346</v>
      </c>
      <c r="B1349" s="12" t="s">
        <v>17</v>
      </c>
      <c r="C1349" s="12" t="s">
        <v>917</v>
      </c>
      <c r="D1349" s="12" t="s">
        <v>610</v>
      </c>
      <c r="E1349" s="89">
        <f t="shared" ca="1" si="130"/>
        <v>40951</v>
      </c>
      <c r="F1349" s="11">
        <f>DATE(69,9,16)</f>
        <v>25462</v>
      </c>
      <c r="G1349" s="12">
        <f t="shared" ca="1" si="126"/>
        <v>43</v>
      </c>
      <c r="H1349" s="12">
        <f t="shared" ca="1" si="127"/>
        <v>-7</v>
      </c>
      <c r="I1349" s="13">
        <f t="shared" ca="1" si="128"/>
        <v>-4</v>
      </c>
      <c r="J1349" s="14">
        <f t="shared" ca="1" si="131"/>
        <v>42</v>
      </c>
      <c r="K1349" s="12" t="s">
        <v>41</v>
      </c>
      <c r="L1349" s="12">
        <v>106</v>
      </c>
      <c r="M1349" s="12" t="s">
        <v>40</v>
      </c>
      <c r="N1349" s="12">
        <v>285</v>
      </c>
    </row>
    <row r="1350" spans="1:15">
      <c r="A1350" s="12">
        <f t="shared" si="129"/>
        <v>1347</v>
      </c>
      <c r="B1350" s="12" t="s">
        <v>17</v>
      </c>
      <c r="C1350" s="12" t="s">
        <v>73</v>
      </c>
      <c r="D1350" s="12" t="s">
        <v>610</v>
      </c>
      <c r="E1350" s="89">
        <f t="shared" ca="1" si="130"/>
        <v>40951</v>
      </c>
      <c r="F1350" s="11">
        <f>DATE(93,12,13)</f>
        <v>34316</v>
      </c>
      <c r="G1350" s="12">
        <f t="shared" ca="1" si="126"/>
        <v>19</v>
      </c>
      <c r="H1350" s="12">
        <f t="shared" ca="1" si="127"/>
        <v>-10</v>
      </c>
      <c r="I1350" s="13">
        <f t="shared" ca="1" si="128"/>
        <v>-1</v>
      </c>
      <c r="J1350" s="14">
        <f t="shared" ca="1" si="131"/>
        <v>18</v>
      </c>
      <c r="K1350" s="12" t="s">
        <v>41</v>
      </c>
      <c r="L1350" s="12">
        <v>106</v>
      </c>
      <c r="M1350" s="12" t="s">
        <v>44</v>
      </c>
      <c r="N1350" s="12">
        <v>285</v>
      </c>
    </row>
    <row r="1351" spans="1:15">
      <c r="A1351" s="12">
        <f t="shared" si="129"/>
        <v>1348</v>
      </c>
      <c r="B1351" s="12" t="s">
        <v>17</v>
      </c>
      <c r="C1351" s="12" t="s">
        <v>918</v>
      </c>
      <c r="D1351" s="12" t="s">
        <v>435</v>
      </c>
      <c r="E1351" s="89">
        <f t="shared" ca="1" si="130"/>
        <v>40951</v>
      </c>
      <c r="F1351" s="11">
        <f>DATE(40,3,18)</f>
        <v>14688</v>
      </c>
      <c r="G1351" s="12">
        <f t="shared" ca="1" si="126"/>
        <v>72</v>
      </c>
      <c r="H1351" s="12">
        <f t="shared" ca="1" si="127"/>
        <v>-1</v>
      </c>
      <c r="I1351" s="13">
        <f t="shared" ca="1" si="128"/>
        <v>-6</v>
      </c>
      <c r="J1351" s="14">
        <f t="shared" ca="1" si="131"/>
        <v>71</v>
      </c>
      <c r="K1351" s="12" t="s">
        <v>40</v>
      </c>
      <c r="L1351" s="12">
        <v>106</v>
      </c>
      <c r="M1351" s="12" t="s">
        <v>40</v>
      </c>
      <c r="N1351" s="12">
        <v>286</v>
      </c>
      <c r="O1351" s="90" t="s">
        <v>2748</v>
      </c>
    </row>
    <row r="1352" spans="1:15">
      <c r="A1352" s="12">
        <f t="shared" si="129"/>
        <v>1349</v>
      </c>
      <c r="B1352" s="12" t="s">
        <v>17</v>
      </c>
      <c r="C1352" s="12" t="s">
        <v>111</v>
      </c>
      <c r="D1352" s="12" t="s">
        <v>918</v>
      </c>
      <c r="E1352" s="89">
        <f t="shared" ca="1" si="130"/>
        <v>40951</v>
      </c>
      <c r="F1352" s="11">
        <f>DATE(48,10,8)</f>
        <v>17814</v>
      </c>
      <c r="G1352" s="12">
        <f t="shared" ca="1" si="126"/>
        <v>64</v>
      </c>
      <c r="H1352" s="12">
        <f t="shared" ca="1" si="127"/>
        <v>-8</v>
      </c>
      <c r="I1352" s="13">
        <f t="shared" ca="1" si="128"/>
        <v>4</v>
      </c>
      <c r="J1352" s="14">
        <f t="shared" ca="1" si="131"/>
        <v>63</v>
      </c>
      <c r="K1352" s="12" t="s">
        <v>41</v>
      </c>
      <c r="L1352" s="12">
        <v>106</v>
      </c>
      <c r="M1352" s="12" t="s">
        <v>40</v>
      </c>
      <c r="N1352" s="12">
        <v>286</v>
      </c>
    </row>
    <row r="1353" spans="1:15">
      <c r="A1353" s="12">
        <f t="shared" si="129"/>
        <v>1350</v>
      </c>
      <c r="B1353" s="12" t="s">
        <v>17</v>
      </c>
      <c r="C1353" s="12" t="s">
        <v>919</v>
      </c>
      <c r="D1353" s="12" t="s">
        <v>918</v>
      </c>
      <c r="E1353" s="89">
        <f t="shared" ca="1" si="130"/>
        <v>40951</v>
      </c>
      <c r="F1353" s="11">
        <f>DATE(78,2,23)</f>
        <v>28544</v>
      </c>
      <c r="G1353" s="12">
        <f t="shared" ca="1" si="126"/>
        <v>34</v>
      </c>
      <c r="H1353" s="12">
        <f t="shared" ca="1" si="127"/>
        <v>0</v>
      </c>
      <c r="I1353" s="13">
        <f t="shared" ca="1" si="128"/>
        <v>-11</v>
      </c>
      <c r="J1353" s="14">
        <f t="shared" ca="1" si="131"/>
        <v>33</v>
      </c>
      <c r="K1353" s="12" t="s">
        <v>41</v>
      </c>
      <c r="L1353" s="12">
        <v>106</v>
      </c>
      <c r="M1353" s="12" t="s">
        <v>44</v>
      </c>
      <c r="N1353" s="12">
        <v>286</v>
      </c>
    </row>
    <row r="1354" spans="1:15">
      <c r="A1354" s="12">
        <f t="shared" si="129"/>
        <v>1351</v>
      </c>
      <c r="B1354" s="12" t="s">
        <v>17</v>
      </c>
      <c r="C1354" s="12" t="s">
        <v>920</v>
      </c>
      <c r="D1354" s="12" t="s">
        <v>918</v>
      </c>
      <c r="E1354" s="89">
        <f t="shared" ca="1" si="130"/>
        <v>40951</v>
      </c>
      <c r="F1354" s="11">
        <f>DATE(85,1,22)</f>
        <v>31069</v>
      </c>
      <c r="G1354" s="12">
        <f t="shared" ca="1" si="126"/>
        <v>27</v>
      </c>
      <c r="H1354" s="12">
        <f t="shared" ca="1" si="127"/>
        <v>1</v>
      </c>
      <c r="I1354" s="13">
        <f t="shared" ca="1" si="128"/>
        <v>-10</v>
      </c>
      <c r="J1354" s="14">
        <f t="shared" ca="1" si="131"/>
        <v>27</v>
      </c>
      <c r="K1354" s="12" t="s">
        <v>41</v>
      </c>
      <c r="L1354" s="12">
        <v>106</v>
      </c>
      <c r="M1354" s="12" t="s">
        <v>44</v>
      </c>
      <c r="N1354" s="12">
        <v>286</v>
      </c>
    </row>
    <row r="1355" spans="1:15">
      <c r="A1355" s="12">
        <f t="shared" si="129"/>
        <v>1352</v>
      </c>
      <c r="B1355" s="12" t="s">
        <v>17</v>
      </c>
      <c r="C1355" s="12" t="s">
        <v>565</v>
      </c>
      <c r="D1355" s="12" t="s">
        <v>918</v>
      </c>
      <c r="E1355" s="89">
        <f t="shared" ca="1" si="130"/>
        <v>40951</v>
      </c>
      <c r="F1355" s="11">
        <f>DATE(78,9,10)</f>
        <v>28743</v>
      </c>
      <c r="G1355" s="12">
        <f t="shared" ca="1" si="126"/>
        <v>34</v>
      </c>
      <c r="H1355" s="12">
        <f t="shared" ca="1" si="127"/>
        <v>-7</v>
      </c>
      <c r="I1355" s="13">
        <f t="shared" ca="1" si="128"/>
        <v>2</v>
      </c>
      <c r="J1355" s="14">
        <f t="shared" ca="1" si="131"/>
        <v>33</v>
      </c>
      <c r="K1355" s="12" t="s">
        <v>41</v>
      </c>
      <c r="L1355" s="12">
        <v>106</v>
      </c>
      <c r="M1355" s="12" t="s">
        <v>44</v>
      </c>
      <c r="N1355" s="12">
        <v>286</v>
      </c>
    </row>
    <row r="1356" spans="1:15">
      <c r="A1356" s="12">
        <f t="shared" si="129"/>
        <v>1353</v>
      </c>
      <c r="B1356" s="12" t="s">
        <v>17</v>
      </c>
      <c r="C1356" s="12" t="s">
        <v>157</v>
      </c>
      <c r="D1356" s="12" t="s">
        <v>425</v>
      </c>
      <c r="E1356" s="89">
        <f t="shared" ca="1" si="130"/>
        <v>40951</v>
      </c>
      <c r="F1356" s="11">
        <f>DATE(36,7,3)</f>
        <v>13334</v>
      </c>
      <c r="G1356" s="12">
        <f t="shared" ca="1" si="126"/>
        <v>76</v>
      </c>
      <c r="H1356" s="12">
        <f t="shared" ca="1" si="127"/>
        <v>-5</v>
      </c>
      <c r="I1356" s="13">
        <f t="shared" ca="1" si="128"/>
        <v>9</v>
      </c>
      <c r="J1356" s="14">
        <f t="shared" ca="1" si="131"/>
        <v>75</v>
      </c>
      <c r="K1356" s="12" t="s">
        <v>40</v>
      </c>
      <c r="L1356" s="12">
        <v>106</v>
      </c>
      <c r="M1356" s="12" t="s">
        <v>40</v>
      </c>
      <c r="N1356" s="12">
        <v>287</v>
      </c>
      <c r="O1356" s="90" t="s">
        <v>2748</v>
      </c>
    </row>
    <row r="1357" spans="1:15">
      <c r="A1357" s="12">
        <f t="shared" si="129"/>
        <v>1354</v>
      </c>
      <c r="B1357" s="12" t="s">
        <v>17</v>
      </c>
      <c r="C1357" s="12" t="s">
        <v>921</v>
      </c>
      <c r="D1357" s="12" t="s">
        <v>899</v>
      </c>
      <c r="E1357" s="89">
        <f t="shared" ca="1" si="130"/>
        <v>40951</v>
      </c>
      <c r="F1357" s="11">
        <f>DATE(40,2,15)</f>
        <v>14656</v>
      </c>
      <c r="G1357" s="12">
        <f t="shared" ca="1" si="126"/>
        <v>72</v>
      </c>
      <c r="H1357" s="12">
        <f t="shared" ca="1" si="127"/>
        <v>0</v>
      </c>
      <c r="I1357" s="13">
        <f t="shared" ca="1" si="128"/>
        <v>-3</v>
      </c>
      <c r="J1357" s="14">
        <f t="shared" ca="1" si="131"/>
        <v>71</v>
      </c>
      <c r="K1357" s="12" t="s">
        <v>41</v>
      </c>
      <c r="L1357" s="12">
        <v>106</v>
      </c>
      <c r="M1357" s="12" t="s">
        <v>40</v>
      </c>
      <c r="N1357" s="12">
        <v>287</v>
      </c>
    </row>
    <row r="1358" spans="1:15">
      <c r="A1358" s="12">
        <f t="shared" si="129"/>
        <v>1355</v>
      </c>
      <c r="B1358" s="12" t="s">
        <v>17</v>
      </c>
      <c r="C1358" s="12" t="s">
        <v>181</v>
      </c>
      <c r="D1358" s="12" t="s">
        <v>899</v>
      </c>
      <c r="E1358" s="89">
        <f t="shared" ca="1" si="130"/>
        <v>40951</v>
      </c>
      <c r="F1358" s="11">
        <f>DATE(67,12,11)</f>
        <v>24817</v>
      </c>
      <c r="G1358" s="12">
        <f t="shared" ca="1" si="126"/>
        <v>45</v>
      </c>
      <c r="H1358" s="12">
        <f t="shared" ca="1" si="127"/>
        <v>-10</v>
      </c>
      <c r="I1358" s="13">
        <f t="shared" ca="1" si="128"/>
        <v>1</v>
      </c>
      <c r="J1358" s="14">
        <f t="shared" ca="1" si="131"/>
        <v>44</v>
      </c>
      <c r="K1358" s="12" t="s">
        <v>40</v>
      </c>
      <c r="L1358" s="12">
        <v>106</v>
      </c>
      <c r="M1358" s="12" t="s">
        <v>40</v>
      </c>
      <c r="N1358" s="12">
        <v>287</v>
      </c>
    </row>
    <row r="1359" spans="1:15">
      <c r="A1359" s="12">
        <f t="shared" si="129"/>
        <v>1356</v>
      </c>
      <c r="B1359" s="12" t="s">
        <v>17</v>
      </c>
      <c r="C1359" s="12" t="s">
        <v>800</v>
      </c>
      <c r="D1359" s="12" t="s">
        <v>181</v>
      </c>
      <c r="E1359" s="89">
        <f t="shared" ca="1" si="130"/>
        <v>40951</v>
      </c>
      <c r="F1359" s="11">
        <f>DATE(68,2,10)</f>
        <v>24878</v>
      </c>
      <c r="G1359" s="12">
        <f t="shared" ca="1" si="126"/>
        <v>44</v>
      </c>
      <c r="H1359" s="12">
        <f t="shared" ca="1" si="127"/>
        <v>0</v>
      </c>
      <c r="I1359" s="13">
        <f t="shared" ca="1" si="128"/>
        <v>2</v>
      </c>
      <c r="J1359" s="14">
        <f t="shared" ca="1" si="131"/>
        <v>44</v>
      </c>
      <c r="K1359" s="12" t="s">
        <v>41</v>
      </c>
      <c r="L1359" s="12">
        <v>106</v>
      </c>
      <c r="M1359" s="12" t="s">
        <v>40</v>
      </c>
      <c r="N1359" s="12">
        <v>287</v>
      </c>
    </row>
    <row r="1360" spans="1:15">
      <c r="A1360" s="12">
        <f t="shared" si="129"/>
        <v>1357</v>
      </c>
      <c r="B1360" s="12" t="s">
        <v>17</v>
      </c>
      <c r="C1360" s="12" t="s">
        <v>583</v>
      </c>
      <c r="D1360" s="12" t="s">
        <v>181</v>
      </c>
      <c r="E1360" s="89">
        <f t="shared" ca="1" si="130"/>
        <v>40951</v>
      </c>
      <c r="F1360" s="11">
        <f>DATE(92,10,22)</f>
        <v>33899</v>
      </c>
      <c r="G1360" s="12">
        <f t="shared" ca="1" si="126"/>
        <v>20</v>
      </c>
      <c r="H1360" s="12">
        <f t="shared" ca="1" si="127"/>
        <v>-8</v>
      </c>
      <c r="I1360" s="13">
        <f t="shared" ca="1" si="128"/>
        <v>-10</v>
      </c>
      <c r="J1360" s="14">
        <f t="shared" ca="1" si="131"/>
        <v>19</v>
      </c>
      <c r="K1360" s="12" t="s">
        <v>40</v>
      </c>
      <c r="L1360" s="12">
        <v>106</v>
      </c>
      <c r="M1360" s="12" t="s">
        <v>44</v>
      </c>
      <c r="N1360" s="12">
        <v>287</v>
      </c>
    </row>
    <row r="1361" spans="1:15">
      <c r="A1361" s="12">
        <f t="shared" si="129"/>
        <v>1358</v>
      </c>
      <c r="B1361" s="12" t="s">
        <v>17</v>
      </c>
      <c r="C1361" s="12" t="s">
        <v>922</v>
      </c>
      <c r="D1361" s="12" t="s">
        <v>923</v>
      </c>
      <c r="E1361" s="89">
        <f t="shared" ca="1" si="130"/>
        <v>40951</v>
      </c>
      <c r="F1361" s="11">
        <f>DATE(61,10,9)</f>
        <v>22563</v>
      </c>
      <c r="G1361" s="12">
        <f t="shared" ca="1" si="126"/>
        <v>51</v>
      </c>
      <c r="H1361" s="12">
        <f t="shared" ca="1" si="127"/>
        <v>-8</v>
      </c>
      <c r="I1361" s="13">
        <f t="shared" ca="1" si="128"/>
        <v>3</v>
      </c>
      <c r="J1361" s="14">
        <f t="shared" ca="1" si="131"/>
        <v>50</v>
      </c>
      <c r="K1361" s="12" t="s">
        <v>40</v>
      </c>
      <c r="L1361" s="12">
        <v>107</v>
      </c>
      <c r="M1361" s="12" t="s">
        <v>40</v>
      </c>
      <c r="N1361" s="12">
        <v>288</v>
      </c>
      <c r="O1361" s="90" t="s">
        <v>2748</v>
      </c>
    </row>
    <row r="1362" spans="1:15">
      <c r="A1362" s="12">
        <f t="shared" si="129"/>
        <v>1359</v>
      </c>
      <c r="B1362" s="12" t="s">
        <v>17</v>
      </c>
      <c r="C1362" s="12" t="s">
        <v>924</v>
      </c>
      <c r="D1362" s="12" t="s">
        <v>922</v>
      </c>
      <c r="E1362" s="89">
        <f t="shared" ca="1" si="130"/>
        <v>40951</v>
      </c>
      <c r="F1362" s="11">
        <f>DATE(66,4,15)</f>
        <v>24212</v>
      </c>
      <c r="G1362" s="12">
        <f t="shared" ca="1" si="126"/>
        <v>46</v>
      </c>
      <c r="H1362" s="12">
        <f t="shared" ca="1" si="127"/>
        <v>-2</v>
      </c>
      <c r="I1362" s="13">
        <f t="shared" ca="1" si="128"/>
        <v>-3</v>
      </c>
      <c r="J1362" s="14">
        <f t="shared" ca="1" si="131"/>
        <v>45</v>
      </c>
      <c r="K1362" s="12" t="s">
        <v>41</v>
      </c>
      <c r="L1362" s="12">
        <v>107</v>
      </c>
      <c r="M1362" s="12" t="s">
        <v>40</v>
      </c>
      <c r="N1362" s="12">
        <v>288</v>
      </c>
    </row>
    <row r="1363" spans="1:15">
      <c r="A1363" s="12">
        <f t="shared" si="129"/>
        <v>1360</v>
      </c>
      <c r="B1363" s="12" t="s">
        <v>17</v>
      </c>
      <c r="C1363" s="12" t="s">
        <v>432</v>
      </c>
      <c r="D1363" s="12" t="s">
        <v>922</v>
      </c>
      <c r="E1363" s="89">
        <f t="shared" ca="1" si="130"/>
        <v>40951</v>
      </c>
      <c r="F1363" s="11">
        <f>DATE(91,1,12)</f>
        <v>33250</v>
      </c>
      <c r="G1363" s="12">
        <f t="shared" ca="1" si="126"/>
        <v>21</v>
      </c>
      <c r="H1363" s="12">
        <f t="shared" ca="1" si="127"/>
        <v>1</v>
      </c>
      <c r="I1363" s="13">
        <f t="shared" ca="1" si="128"/>
        <v>0</v>
      </c>
      <c r="J1363" s="14">
        <f t="shared" ca="1" si="131"/>
        <v>21</v>
      </c>
      <c r="K1363" s="12" t="s">
        <v>40</v>
      </c>
      <c r="L1363" s="12">
        <v>107</v>
      </c>
      <c r="M1363" s="12" t="s">
        <v>44</v>
      </c>
      <c r="N1363" s="12">
        <v>288</v>
      </c>
    </row>
    <row r="1364" spans="1:15">
      <c r="A1364" s="12">
        <f t="shared" si="129"/>
        <v>1361</v>
      </c>
      <c r="B1364" s="12" t="s">
        <v>17</v>
      </c>
      <c r="C1364" s="12" t="s">
        <v>571</v>
      </c>
      <c r="D1364" s="12" t="s">
        <v>922</v>
      </c>
      <c r="E1364" s="89">
        <f t="shared" ca="1" si="130"/>
        <v>40951</v>
      </c>
      <c r="F1364" s="11">
        <f>DATE(94,12,7)</f>
        <v>34675</v>
      </c>
      <c r="G1364" s="12">
        <f t="shared" ca="1" si="126"/>
        <v>18</v>
      </c>
      <c r="H1364" s="12">
        <f t="shared" ca="1" si="127"/>
        <v>-10</v>
      </c>
      <c r="I1364" s="13">
        <f t="shared" ca="1" si="128"/>
        <v>5</v>
      </c>
      <c r="J1364" s="14">
        <f t="shared" ca="1" si="131"/>
        <v>17</v>
      </c>
      <c r="K1364" s="12" t="s">
        <v>40</v>
      </c>
      <c r="L1364" s="12">
        <v>107</v>
      </c>
      <c r="M1364" s="12" t="s">
        <v>44</v>
      </c>
      <c r="N1364" s="12">
        <v>288</v>
      </c>
    </row>
    <row r="1365" spans="1:15">
      <c r="A1365" s="12">
        <f t="shared" si="129"/>
        <v>1362</v>
      </c>
      <c r="B1365" s="12" t="s">
        <v>17</v>
      </c>
      <c r="C1365" s="12" t="s">
        <v>106</v>
      </c>
      <c r="D1365" s="12" t="s">
        <v>922</v>
      </c>
      <c r="E1365" s="89">
        <f t="shared" ca="1" si="130"/>
        <v>40951</v>
      </c>
      <c r="F1365" s="11">
        <f>DATE(91,10,20)</f>
        <v>33531</v>
      </c>
      <c r="G1365" s="12">
        <f t="shared" ca="1" si="126"/>
        <v>21</v>
      </c>
      <c r="H1365" s="12">
        <f t="shared" ca="1" si="127"/>
        <v>-8</v>
      </c>
      <c r="I1365" s="13">
        <f t="shared" ca="1" si="128"/>
        <v>-8</v>
      </c>
      <c r="J1365" s="14">
        <f t="shared" ca="1" si="131"/>
        <v>20</v>
      </c>
      <c r="K1365" s="12" t="s">
        <v>40</v>
      </c>
      <c r="L1365" s="12">
        <v>107</v>
      </c>
      <c r="M1365" s="12" t="s">
        <v>44</v>
      </c>
      <c r="N1365" s="12">
        <v>288</v>
      </c>
    </row>
    <row r="1366" spans="1:15">
      <c r="A1366" s="12">
        <f t="shared" si="129"/>
        <v>1363</v>
      </c>
      <c r="B1366" s="12" t="s">
        <v>17</v>
      </c>
      <c r="C1366" s="12" t="s">
        <v>109</v>
      </c>
      <c r="D1366" s="12" t="s">
        <v>923</v>
      </c>
      <c r="E1366" s="89">
        <f t="shared" ca="1" si="130"/>
        <v>40951</v>
      </c>
      <c r="F1366" s="11">
        <f>DATE(53,9,21)</f>
        <v>19623</v>
      </c>
      <c r="G1366" s="12">
        <f t="shared" ca="1" si="126"/>
        <v>59</v>
      </c>
      <c r="H1366" s="12">
        <f t="shared" ca="1" si="127"/>
        <v>-7</v>
      </c>
      <c r="I1366" s="13">
        <f t="shared" ca="1" si="128"/>
        <v>-9</v>
      </c>
      <c r="J1366" s="14">
        <f t="shared" ca="1" si="131"/>
        <v>58</v>
      </c>
      <c r="K1366" s="12" t="s">
        <v>40</v>
      </c>
      <c r="L1366" s="12">
        <v>107</v>
      </c>
      <c r="M1366" s="12" t="s">
        <v>40</v>
      </c>
      <c r="N1366" s="12">
        <v>289</v>
      </c>
      <c r="O1366" s="90" t="s">
        <v>2748</v>
      </c>
    </row>
    <row r="1367" spans="1:15">
      <c r="A1367" s="12">
        <f t="shared" si="129"/>
        <v>1364</v>
      </c>
      <c r="B1367" s="12" t="s">
        <v>17</v>
      </c>
      <c r="C1367" s="12" t="s">
        <v>925</v>
      </c>
      <c r="D1367" s="12" t="s">
        <v>109</v>
      </c>
      <c r="E1367" s="89">
        <f t="shared" ca="1" si="130"/>
        <v>40951</v>
      </c>
      <c r="F1367" s="11">
        <f>DATE(59,7,14)</f>
        <v>21745</v>
      </c>
      <c r="G1367" s="12">
        <f t="shared" ca="1" si="126"/>
        <v>53</v>
      </c>
      <c r="H1367" s="12">
        <f t="shared" ca="1" si="127"/>
        <v>-5</v>
      </c>
      <c r="I1367" s="13">
        <f t="shared" ca="1" si="128"/>
        <v>-2</v>
      </c>
      <c r="J1367" s="14">
        <f t="shared" ca="1" si="131"/>
        <v>52</v>
      </c>
      <c r="K1367" s="12" t="s">
        <v>41</v>
      </c>
      <c r="L1367" s="12">
        <v>107</v>
      </c>
      <c r="M1367" s="12" t="s">
        <v>40</v>
      </c>
      <c r="N1367" s="12">
        <v>289</v>
      </c>
    </row>
    <row r="1368" spans="1:15">
      <c r="A1368" s="12">
        <f t="shared" si="129"/>
        <v>1365</v>
      </c>
      <c r="B1368" s="12" t="s">
        <v>17</v>
      </c>
      <c r="C1368" s="12" t="s">
        <v>125</v>
      </c>
      <c r="D1368" s="12" t="s">
        <v>109</v>
      </c>
      <c r="E1368" s="89">
        <f t="shared" ca="1" si="130"/>
        <v>40951</v>
      </c>
      <c r="F1368" s="11">
        <f>DATE(85,9,19)</f>
        <v>31309</v>
      </c>
      <c r="G1368" s="12">
        <f t="shared" ca="1" si="126"/>
        <v>27</v>
      </c>
      <c r="H1368" s="12">
        <f t="shared" ca="1" si="127"/>
        <v>-7</v>
      </c>
      <c r="I1368" s="13">
        <f t="shared" ca="1" si="128"/>
        <v>-7</v>
      </c>
      <c r="J1368" s="14">
        <f t="shared" ca="1" si="131"/>
        <v>26</v>
      </c>
      <c r="K1368" s="12" t="s">
        <v>41</v>
      </c>
      <c r="L1368" s="12">
        <v>107</v>
      </c>
      <c r="M1368" s="12" t="s">
        <v>44</v>
      </c>
      <c r="N1368" s="12">
        <v>289</v>
      </c>
    </row>
    <row r="1369" spans="1:15">
      <c r="A1369" s="12">
        <f t="shared" si="129"/>
        <v>1366</v>
      </c>
      <c r="B1369" s="12" t="s">
        <v>17</v>
      </c>
      <c r="C1369" s="12" t="s">
        <v>839</v>
      </c>
      <c r="D1369" s="12" t="s">
        <v>109</v>
      </c>
      <c r="E1369" s="89">
        <f t="shared" ca="1" si="130"/>
        <v>40951</v>
      </c>
      <c r="F1369" s="11">
        <f>DATE(93,11,27)</f>
        <v>34300</v>
      </c>
      <c r="G1369" s="12">
        <f t="shared" ca="1" si="126"/>
        <v>19</v>
      </c>
      <c r="H1369" s="12">
        <f t="shared" ca="1" si="127"/>
        <v>-9</v>
      </c>
      <c r="I1369" s="13">
        <f t="shared" ca="1" si="128"/>
        <v>-15</v>
      </c>
      <c r="J1369" s="14">
        <f t="shared" ca="1" si="131"/>
        <v>18</v>
      </c>
      <c r="K1369" s="12" t="s">
        <v>40</v>
      </c>
      <c r="L1369" s="12">
        <v>107</v>
      </c>
      <c r="M1369" s="12" t="s">
        <v>44</v>
      </c>
      <c r="N1369" s="12">
        <v>289</v>
      </c>
    </row>
    <row r="1370" spans="1:15">
      <c r="A1370" s="12">
        <f t="shared" si="129"/>
        <v>1367</v>
      </c>
      <c r="B1370" s="12" t="s">
        <v>17</v>
      </c>
      <c r="C1370" s="12" t="s">
        <v>266</v>
      </c>
      <c r="D1370" s="12" t="s">
        <v>573</v>
      </c>
      <c r="E1370" s="89">
        <f t="shared" ca="1" si="130"/>
        <v>40951</v>
      </c>
      <c r="F1370" s="11">
        <f>DATE(51,11,9)</f>
        <v>18941</v>
      </c>
      <c r="G1370" s="12">
        <f t="shared" ref="G1370:G1433" ca="1" si="132">YEAR(E1370)-YEAR(F1370)</f>
        <v>61</v>
      </c>
      <c r="H1370" s="12">
        <f t="shared" ref="H1370:H1433" ca="1" si="133">MONTH(E1370)-MONTH(F1370)</f>
        <v>-9</v>
      </c>
      <c r="I1370" s="13">
        <f t="shared" ref="I1370:I1433" ca="1" si="134">DAY(E1370)-DAY(F1370)</f>
        <v>3</v>
      </c>
      <c r="J1370" s="14">
        <f t="shared" ca="1" si="131"/>
        <v>60</v>
      </c>
      <c r="K1370" s="12" t="s">
        <v>40</v>
      </c>
      <c r="L1370" s="12">
        <v>107</v>
      </c>
      <c r="M1370" s="12" t="s">
        <v>40</v>
      </c>
      <c r="N1370" s="12">
        <v>290</v>
      </c>
      <c r="O1370" s="90" t="s">
        <v>2748</v>
      </c>
    </row>
    <row r="1371" spans="1:15">
      <c r="A1371" s="12">
        <f t="shared" si="129"/>
        <v>1368</v>
      </c>
      <c r="B1371" s="12" t="s">
        <v>17</v>
      </c>
      <c r="C1371" s="12" t="s">
        <v>926</v>
      </c>
      <c r="D1371" s="12" t="s">
        <v>266</v>
      </c>
      <c r="E1371" s="89">
        <f t="shared" ca="1" si="130"/>
        <v>40951</v>
      </c>
      <c r="F1371" s="11">
        <f>DATE(54,5,25)</f>
        <v>19869</v>
      </c>
      <c r="G1371" s="12">
        <f t="shared" ca="1" si="132"/>
        <v>58</v>
      </c>
      <c r="H1371" s="12">
        <f t="shared" ca="1" si="133"/>
        <v>-3</v>
      </c>
      <c r="I1371" s="13">
        <f t="shared" ca="1" si="134"/>
        <v>-13</v>
      </c>
      <c r="J1371" s="14">
        <f t="shared" ca="1" si="131"/>
        <v>57</v>
      </c>
      <c r="K1371" s="12" t="s">
        <v>41</v>
      </c>
      <c r="L1371" s="12">
        <v>107</v>
      </c>
      <c r="M1371" s="12" t="s">
        <v>40</v>
      </c>
      <c r="N1371" s="12">
        <v>290</v>
      </c>
    </row>
    <row r="1372" spans="1:15">
      <c r="A1372" s="12">
        <f t="shared" si="129"/>
        <v>1369</v>
      </c>
      <c r="B1372" s="12" t="s">
        <v>17</v>
      </c>
      <c r="C1372" s="12" t="s">
        <v>305</v>
      </c>
      <c r="D1372" s="12" t="s">
        <v>266</v>
      </c>
      <c r="E1372" s="89">
        <f t="shared" ca="1" si="130"/>
        <v>40951</v>
      </c>
      <c r="F1372" s="11">
        <f>DATE(78,10,11)</f>
        <v>28774</v>
      </c>
      <c r="G1372" s="12">
        <f t="shared" ca="1" si="132"/>
        <v>34</v>
      </c>
      <c r="H1372" s="12">
        <f t="shared" ca="1" si="133"/>
        <v>-8</v>
      </c>
      <c r="I1372" s="13">
        <f t="shared" ca="1" si="134"/>
        <v>1</v>
      </c>
      <c r="J1372" s="14">
        <f t="shared" ca="1" si="131"/>
        <v>33</v>
      </c>
      <c r="K1372" s="12" t="s">
        <v>40</v>
      </c>
      <c r="L1372" s="12">
        <v>107</v>
      </c>
      <c r="M1372" s="12" t="s">
        <v>40</v>
      </c>
      <c r="N1372" s="12">
        <v>290</v>
      </c>
    </row>
    <row r="1373" spans="1:15">
      <c r="A1373" s="12">
        <f t="shared" si="129"/>
        <v>1370</v>
      </c>
      <c r="B1373" s="12" t="s">
        <v>17</v>
      </c>
      <c r="C1373" s="12" t="s">
        <v>165</v>
      </c>
      <c r="D1373" s="12" t="s">
        <v>305</v>
      </c>
      <c r="E1373" s="89">
        <f t="shared" ca="1" si="130"/>
        <v>40951</v>
      </c>
      <c r="F1373" s="11">
        <f>DATE(82,2,27)</f>
        <v>30009</v>
      </c>
      <c r="G1373" s="12">
        <f t="shared" ca="1" si="132"/>
        <v>30</v>
      </c>
      <c r="H1373" s="12">
        <f t="shared" ca="1" si="133"/>
        <v>0</v>
      </c>
      <c r="I1373" s="13">
        <f t="shared" ca="1" si="134"/>
        <v>-15</v>
      </c>
      <c r="J1373" s="14">
        <f t="shared" ca="1" si="131"/>
        <v>29</v>
      </c>
      <c r="K1373" s="12" t="s">
        <v>41</v>
      </c>
      <c r="L1373" s="12">
        <v>107</v>
      </c>
      <c r="M1373" s="12" t="s">
        <v>40</v>
      </c>
      <c r="N1373" s="12">
        <v>290</v>
      </c>
    </row>
    <row r="1374" spans="1:15">
      <c r="A1374" s="12">
        <f t="shared" ref="A1374:A1437" si="135">A1373+1</f>
        <v>1371</v>
      </c>
      <c r="B1374" s="12" t="s">
        <v>17</v>
      </c>
      <c r="C1374" s="12" t="s">
        <v>531</v>
      </c>
      <c r="D1374" s="12" t="s">
        <v>305</v>
      </c>
      <c r="E1374" s="89">
        <f t="shared" ca="1" si="130"/>
        <v>40951</v>
      </c>
      <c r="F1374" s="11">
        <f>DATE(2006,8,1)</f>
        <v>38930</v>
      </c>
      <c r="G1374" s="12">
        <f t="shared" ca="1" si="132"/>
        <v>6</v>
      </c>
      <c r="H1374" s="12">
        <f t="shared" ca="1" si="133"/>
        <v>-6</v>
      </c>
      <c r="I1374" s="13">
        <f t="shared" ca="1" si="134"/>
        <v>11</v>
      </c>
      <c r="J1374" s="14">
        <f t="shared" ca="1" si="131"/>
        <v>5</v>
      </c>
      <c r="K1374" s="12" t="s">
        <v>40</v>
      </c>
      <c r="L1374" s="12">
        <v>107</v>
      </c>
      <c r="M1374" s="12" t="s">
        <v>44</v>
      </c>
      <c r="N1374" s="12">
        <v>290</v>
      </c>
    </row>
    <row r="1375" spans="1:15">
      <c r="A1375" s="12">
        <f t="shared" si="135"/>
        <v>1372</v>
      </c>
      <c r="B1375" s="12" t="s">
        <v>18</v>
      </c>
      <c r="C1375" s="12" t="s">
        <v>315</v>
      </c>
      <c r="D1375" s="12" t="s">
        <v>435</v>
      </c>
      <c r="E1375" s="89">
        <f t="shared" ca="1" si="130"/>
        <v>40951</v>
      </c>
      <c r="F1375" s="11">
        <f>DATE(55,12,5)</f>
        <v>20428</v>
      </c>
      <c r="G1375" s="12">
        <f t="shared" ca="1" si="132"/>
        <v>57</v>
      </c>
      <c r="H1375" s="12">
        <f t="shared" ca="1" si="133"/>
        <v>-10</v>
      </c>
      <c r="I1375" s="13">
        <f t="shared" ca="1" si="134"/>
        <v>7</v>
      </c>
      <c r="J1375" s="14">
        <f t="shared" ca="1" si="131"/>
        <v>56</v>
      </c>
      <c r="K1375" s="12" t="s">
        <v>40</v>
      </c>
      <c r="L1375" s="12">
        <v>108</v>
      </c>
      <c r="M1375" s="12" t="s">
        <v>40</v>
      </c>
      <c r="N1375" s="12">
        <v>291</v>
      </c>
      <c r="O1375" s="90" t="s">
        <v>2748</v>
      </c>
    </row>
    <row r="1376" spans="1:15">
      <c r="A1376" s="12">
        <f t="shared" si="135"/>
        <v>1373</v>
      </c>
      <c r="B1376" s="12" t="s">
        <v>18</v>
      </c>
      <c r="C1376" s="12" t="s">
        <v>83</v>
      </c>
      <c r="D1376" s="12" t="s">
        <v>315</v>
      </c>
      <c r="E1376" s="89">
        <f t="shared" ca="1" si="130"/>
        <v>40951</v>
      </c>
      <c r="F1376" s="11">
        <f>DATE(61,12,12)</f>
        <v>22627</v>
      </c>
      <c r="G1376" s="12">
        <f t="shared" ca="1" si="132"/>
        <v>51</v>
      </c>
      <c r="H1376" s="12">
        <f t="shared" ca="1" si="133"/>
        <v>-10</v>
      </c>
      <c r="I1376" s="13">
        <f t="shared" ca="1" si="134"/>
        <v>0</v>
      </c>
      <c r="J1376" s="14">
        <f t="shared" ca="1" si="131"/>
        <v>50</v>
      </c>
      <c r="K1376" s="12" t="s">
        <v>41</v>
      </c>
      <c r="L1376" s="12">
        <v>108</v>
      </c>
      <c r="M1376" s="12" t="s">
        <v>40</v>
      </c>
      <c r="N1376" s="12">
        <v>291</v>
      </c>
    </row>
    <row r="1377" spans="1:15">
      <c r="A1377" s="12">
        <f t="shared" si="135"/>
        <v>1374</v>
      </c>
      <c r="B1377" s="12" t="s">
        <v>18</v>
      </c>
      <c r="C1377" s="12" t="s">
        <v>927</v>
      </c>
      <c r="D1377" s="12" t="s">
        <v>315</v>
      </c>
      <c r="E1377" s="89">
        <f t="shared" ca="1" si="130"/>
        <v>40951</v>
      </c>
      <c r="F1377" s="11">
        <f>DATE(79,8,18)</f>
        <v>29085</v>
      </c>
      <c r="G1377" s="12">
        <f t="shared" ca="1" si="132"/>
        <v>33</v>
      </c>
      <c r="H1377" s="12">
        <f t="shared" ca="1" si="133"/>
        <v>-6</v>
      </c>
      <c r="I1377" s="13">
        <f t="shared" ca="1" si="134"/>
        <v>-6</v>
      </c>
      <c r="J1377" s="14">
        <f t="shared" ca="1" si="131"/>
        <v>32</v>
      </c>
      <c r="K1377" s="12" t="s">
        <v>40</v>
      </c>
      <c r="L1377" s="12">
        <v>108</v>
      </c>
      <c r="M1377" s="12" t="s">
        <v>40</v>
      </c>
      <c r="N1377" s="12">
        <v>291</v>
      </c>
    </row>
    <row r="1378" spans="1:15">
      <c r="A1378" s="12">
        <f t="shared" si="135"/>
        <v>1375</v>
      </c>
      <c r="B1378" s="12" t="s">
        <v>18</v>
      </c>
      <c r="C1378" s="12" t="s">
        <v>530</v>
      </c>
      <c r="D1378" s="12" t="s">
        <v>927</v>
      </c>
      <c r="E1378" s="89">
        <f t="shared" ca="1" si="130"/>
        <v>40951</v>
      </c>
      <c r="F1378" s="11">
        <f>DATE(81,5,6)</f>
        <v>29712</v>
      </c>
      <c r="G1378" s="12">
        <f t="shared" ca="1" si="132"/>
        <v>31</v>
      </c>
      <c r="H1378" s="12">
        <f t="shared" ca="1" si="133"/>
        <v>-3</v>
      </c>
      <c r="I1378" s="13">
        <f t="shared" ca="1" si="134"/>
        <v>6</v>
      </c>
      <c r="J1378" s="14">
        <f t="shared" ca="1" si="131"/>
        <v>30</v>
      </c>
      <c r="K1378" s="12" t="s">
        <v>41</v>
      </c>
      <c r="L1378" s="12">
        <v>108</v>
      </c>
      <c r="M1378" s="12" t="s">
        <v>40</v>
      </c>
      <c r="N1378" s="12">
        <v>291</v>
      </c>
    </row>
    <row r="1379" spans="1:15">
      <c r="A1379" s="12">
        <f t="shared" si="135"/>
        <v>1376</v>
      </c>
      <c r="B1379" s="12" t="s">
        <v>18</v>
      </c>
      <c r="C1379" s="12" t="s">
        <v>928</v>
      </c>
      <c r="D1379" s="12" t="s">
        <v>315</v>
      </c>
      <c r="E1379" s="89">
        <f t="shared" ca="1" si="130"/>
        <v>40951</v>
      </c>
      <c r="F1379" s="11">
        <f>DATE(81,9,16)</f>
        <v>29845</v>
      </c>
      <c r="G1379" s="12">
        <f t="shared" ca="1" si="132"/>
        <v>31</v>
      </c>
      <c r="H1379" s="12">
        <f t="shared" ca="1" si="133"/>
        <v>-7</v>
      </c>
      <c r="I1379" s="13">
        <f t="shared" ca="1" si="134"/>
        <v>-4</v>
      </c>
      <c r="J1379" s="14">
        <f t="shared" ca="1" si="131"/>
        <v>30</v>
      </c>
      <c r="K1379" s="12" t="s">
        <v>40</v>
      </c>
      <c r="L1379" s="12">
        <v>108</v>
      </c>
      <c r="M1379" s="12" t="s">
        <v>44</v>
      </c>
      <c r="N1379" s="12">
        <v>291</v>
      </c>
    </row>
    <row r="1380" spans="1:15">
      <c r="A1380" s="12">
        <f t="shared" si="135"/>
        <v>1377</v>
      </c>
      <c r="B1380" s="12" t="s">
        <v>18</v>
      </c>
      <c r="C1380" s="12" t="s">
        <v>929</v>
      </c>
      <c r="D1380" s="12" t="s">
        <v>315</v>
      </c>
      <c r="E1380" s="89">
        <f t="shared" ref="E1380:E1443" ca="1" si="136">TODAY()</f>
        <v>40951</v>
      </c>
      <c r="F1380" s="11">
        <f>DATE(2004,8,20)</f>
        <v>38219</v>
      </c>
      <c r="G1380" s="12">
        <f t="shared" ca="1" si="132"/>
        <v>8</v>
      </c>
      <c r="H1380" s="12">
        <f t="shared" ca="1" si="133"/>
        <v>-6</v>
      </c>
      <c r="I1380" s="13">
        <f t="shared" ca="1" si="134"/>
        <v>-8</v>
      </c>
      <c r="J1380" s="14">
        <f t="shared" ca="1" si="131"/>
        <v>7</v>
      </c>
      <c r="K1380" s="12" t="s">
        <v>41</v>
      </c>
      <c r="L1380" s="12">
        <v>108</v>
      </c>
      <c r="M1380" s="12" t="s">
        <v>44</v>
      </c>
      <c r="N1380" s="12">
        <v>291</v>
      </c>
    </row>
    <row r="1381" spans="1:15">
      <c r="A1381" s="12">
        <f t="shared" si="135"/>
        <v>1378</v>
      </c>
      <c r="B1381" s="12" t="s">
        <v>18</v>
      </c>
      <c r="C1381" s="12" t="s">
        <v>930</v>
      </c>
      <c r="D1381" s="12" t="s">
        <v>358</v>
      </c>
      <c r="E1381" s="89">
        <f t="shared" ca="1" si="136"/>
        <v>40951</v>
      </c>
      <c r="F1381" s="11">
        <f>DATE(60,6,26)</f>
        <v>22093</v>
      </c>
      <c r="G1381" s="12">
        <f t="shared" ca="1" si="132"/>
        <v>52</v>
      </c>
      <c r="H1381" s="12">
        <f t="shared" ca="1" si="133"/>
        <v>-4</v>
      </c>
      <c r="I1381" s="13">
        <f t="shared" ca="1" si="134"/>
        <v>-14</v>
      </c>
      <c r="J1381" s="14">
        <f t="shared" ca="1" si="131"/>
        <v>51</v>
      </c>
      <c r="K1381" s="12" t="s">
        <v>40</v>
      </c>
      <c r="L1381" s="12">
        <v>108</v>
      </c>
      <c r="M1381" s="12" t="s">
        <v>40</v>
      </c>
      <c r="N1381" s="12">
        <v>292</v>
      </c>
      <c r="O1381" s="90" t="s">
        <v>2748</v>
      </c>
    </row>
    <row r="1382" spans="1:15">
      <c r="A1382" s="12">
        <f t="shared" si="135"/>
        <v>1379</v>
      </c>
      <c r="B1382" s="12" t="s">
        <v>18</v>
      </c>
      <c r="C1382" s="12" t="s">
        <v>319</v>
      </c>
      <c r="D1382" s="12" t="s">
        <v>930</v>
      </c>
      <c r="E1382" s="89">
        <f t="shared" ca="1" si="136"/>
        <v>40951</v>
      </c>
      <c r="F1382" s="11">
        <f>DATE(66,10,26)</f>
        <v>24406</v>
      </c>
      <c r="G1382" s="12">
        <f t="shared" ca="1" si="132"/>
        <v>46</v>
      </c>
      <c r="H1382" s="12">
        <f t="shared" ca="1" si="133"/>
        <v>-8</v>
      </c>
      <c r="I1382" s="13">
        <f t="shared" ca="1" si="134"/>
        <v>-14</v>
      </c>
      <c r="J1382" s="14">
        <f t="shared" ca="1" si="131"/>
        <v>45</v>
      </c>
      <c r="K1382" s="12" t="s">
        <v>41</v>
      </c>
      <c r="L1382" s="12">
        <v>108</v>
      </c>
      <c r="M1382" s="12" t="s">
        <v>40</v>
      </c>
      <c r="N1382" s="12">
        <v>292</v>
      </c>
    </row>
    <row r="1383" spans="1:15">
      <c r="A1383" s="12">
        <f t="shared" si="135"/>
        <v>1380</v>
      </c>
      <c r="B1383" s="12" t="s">
        <v>18</v>
      </c>
      <c r="C1383" s="12" t="s">
        <v>931</v>
      </c>
      <c r="D1383" s="12" t="s">
        <v>930</v>
      </c>
      <c r="E1383" s="89">
        <f t="shared" ca="1" si="136"/>
        <v>40951</v>
      </c>
      <c r="F1383" s="11">
        <f>DATE(91,11,28)</f>
        <v>33570</v>
      </c>
      <c r="G1383" s="12">
        <f t="shared" ca="1" si="132"/>
        <v>21</v>
      </c>
      <c r="H1383" s="12">
        <f t="shared" ca="1" si="133"/>
        <v>-9</v>
      </c>
      <c r="I1383" s="13">
        <f t="shared" ca="1" si="134"/>
        <v>-16</v>
      </c>
      <c r="J1383" s="14">
        <f t="shared" ca="1" si="131"/>
        <v>20</v>
      </c>
      <c r="K1383" s="12" t="s">
        <v>40</v>
      </c>
      <c r="L1383" s="12">
        <v>108</v>
      </c>
      <c r="M1383" s="12" t="s">
        <v>44</v>
      </c>
      <c r="N1383" s="12">
        <v>292</v>
      </c>
    </row>
    <row r="1384" spans="1:15">
      <c r="A1384" s="12">
        <f t="shared" si="135"/>
        <v>1381</v>
      </c>
      <c r="B1384" s="12" t="s">
        <v>18</v>
      </c>
      <c r="C1384" s="12" t="s">
        <v>932</v>
      </c>
      <c r="D1384" s="12" t="s">
        <v>358</v>
      </c>
      <c r="E1384" s="89">
        <f t="shared" ca="1" si="136"/>
        <v>40951</v>
      </c>
      <c r="F1384" s="65"/>
      <c r="G1384" s="12">
        <f t="shared" ca="1" si="132"/>
        <v>112</v>
      </c>
      <c r="H1384" s="12">
        <f t="shared" ca="1" si="133"/>
        <v>1</v>
      </c>
      <c r="I1384" s="13">
        <f t="shared" ca="1" si="134"/>
        <v>12</v>
      </c>
      <c r="J1384" s="14">
        <f t="shared" ca="1" si="131"/>
        <v>112</v>
      </c>
      <c r="K1384" s="12" t="s">
        <v>40</v>
      </c>
      <c r="L1384" s="12">
        <v>108</v>
      </c>
      <c r="M1384" s="12" t="s">
        <v>40</v>
      </c>
      <c r="N1384" s="12">
        <v>293</v>
      </c>
      <c r="O1384" s="90" t="s">
        <v>2748</v>
      </c>
    </row>
    <row r="1385" spans="1:15">
      <c r="A1385" s="12">
        <f t="shared" si="135"/>
        <v>1382</v>
      </c>
      <c r="B1385" s="12" t="s">
        <v>18</v>
      </c>
      <c r="C1385" s="12" t="s">
        <v>927</v>
      </c>
      <c r="D1385" s="12" t="s">
        <v>358</v>
      </c>
      <c r="E1385" s="89">
        <f t="shared" ca="1" si="136"/>
        <v>40951</v>
      </c>
      <c r="F1385" s="11">
        <f>DATE(65,5,31)</f>
        <v>23893</v>
      </c>
      <c r="G1385" s="12">
        <f t="shared" ca="1" si="132"/>
        <v>47</v>
      </c>
      <c r="H1385" s="12">
        <f t="shared" ca="1" si="133"/>
        <v>-3</v>
      </c>
      <c r="I1385" s="13">
        <f t="shared" ca="1" si="134"/>
        <v>-19</v>
      </c>
      <c r="J1385" s="14">
        <f t="shared" ca="1" si="131"/>
        <v>46</v>
      </c>
      <c r="K1385" s="12" t="s">
        <v>40</v>
      </c>
      <c r="L1385" s="12">
        <v>108</v>
      </c>
      <c r="M1385" s="12" t="s">
        <v>40</v>
      </c>
      <c r="N1385" s="12">
        <v>293</v>
      </c>
    </row>
    <row r="1386" spans="1:15">
      <c r="A1386" s="12">
        <f t="shared" si="135"/>
        <v>1383</v>
      </c>
      <c r="B1386" s="12" t="s">
        <v>18</v>
      </c>
      <c r="C1386" s="12" t="s">
        <v>649</v>
      </c>
      <c r="D1386" s="12" t="s">
        <v>927</v>
      </c>
      <c r="E1386" s="89">
        <f t="shared" ca="1" si="136"/>
        <v>40951</v>
      </c>
      <c r="F1386" s="11">
        <f>DATE(68,6,10)</f>
        <v>24999</v>
      </c>
      <c r="G1386" s="12">
        <f t="shared" ca="1" si="132"/>
        <v>44</v>
      </c>
      <c r="H1386" s="12">
        <f t="shared" ca="1" si="133"/>
        <v>-4</v>
      </c>
      <c r="I1386" s="13">
        <f t="shared" ca="1" si="134"/>
        <v>2</v>
      </c>
      <c r="J1386" s="14">
        <f t="shared" ca="1" si="131"/>
        <v>43</v>
      </c>
      <c r="K1386" s="12" t="s">
        <v>41</v>
      </c>
      <c r="L1386" s="12">
        <v>108</v>
      </c>
      <c r="M1386" s="12" t="s">
        <v>40</v>
      </c>
      <c r="N1386" s="12">
        <v>293</v>
      </c>
    </row>
    <row r="1387" spans="1:15">
      <c r="A1387" s="12">
        <f t="shared" si="135"/>
        <v>1384</v>
      </c>
      <c r="B1387" s="12" t="s">
        <v>18</v>
      </c>
      <c r="C1387" s="12" t="s">
        <v>211</v>
      </c>
      <c r="D1387" s="12" t="s">
        <v>927</v>
      </c>
      <c r="E1387" s="89">
        <f t="shared" ca="1" si="136"/>
        <v>40951</v>
      </c>
      <c r="F1387" s="11">
        <f>DATE(95,2,12)</f>
        <v>34742</v>
      </c>
      <c r="G1387" s="12">
        <f t="shared" ca="1" si="132"/>
        <v>17</v>
      </c>
      <c r="H1387" s="12">
        <f t="shared" ca="1" si="133"/>
        <v>0</v>
      </c>
      <c r="I1387" s="13">
        <f t="shared" ca="1" si="134"/>
        <v>0</v>
      </c>
      <c r="J1387" s="14">
        <f t="shared" ca="1" si="131"/>
        <v>17</v>
      </c>
      <c r="K1387" s="12" t="s">
        <v>41</v>
      </c>
      <c r="L1387" s="12">
        <v>108</v>
      </c>
      <c r="M1387" s="12" t="s">
        <v>44</v>
      </c>
      <c r="N1387" s="12">
        <v>293</v>
      </c>
    </row>
    <row r="1388" spans="1:15">
      <c r="A1388" s="12">
        <f t="shared" si="135"/>
        <v>1385</v>
      </c>
      <c r="B1388" s="12" t="s">
        <v>18</v>
      </c>
      <c r="C1388" s="12" t="s">
        <v>933</v>
      </c>
      <c r="D1388" s="12" t="s">
        <v>435</v>
      </c>
      <c r="E1388" s="89">
        <f t="shared" ca="1" si="136"/>
        <v>40951</v>
      </c>
      <c r="F1388" s="32"/>
      <c r="G1388" s="12">
        <f t="shared" ca="1" si="132"/>
        <v>112</v>
      </c>
      <c r="H1388" s="12">
        <f t="shared" ca="1" si="133"/>
        <v>1</v>
      </c>
      <c r="I1388" s="13">
        <f t="shared" ca="1" si="134"/>
        <v>12</v>
      </c>
      <c r="J1388" s="14">
        <f t="shared" ca="1" si="131"/>
        <v>112</v>
      </c>
      <c r="K1388" s="12" t="s">
        <v>40</v>
      </c>
      <c r="L1388" s="12">
        <v>109</v>
      </c>
      <c r="M1388" s="12" t="s">
        <v>40</v>
      </c>
      <c r="N1388" s="12">
        <v>294</v>
      </c>
      <c r="O1388" s="90" t="s">
        <v>2748</v>
      </c>
    </row>
    <row r="1389" spans="1:15">
      <c r="A1389" s="12">
        <f t="shared" si="135"/>
        <v>1386</v>
      </c>
      <c r="B1389" s="12" t="s">
        <v>18</v>
      </c>
      <c r="C1389" s="12" t="s">
        <v>287</v>
      </c>
      <c r="D1389" s="12" t="s">
        <v>933</v>
      </c>
      <c r="E1389" s="89">
        <f t="shared" ca="1" si="136"/>
        <v>40951</v>
      </c>
      <c r="F1389" s="32"/>
      <c r="G1389" s="12">
        <f t="shared" ca="1" si="132"/>
        <v>112</v>
      </c>
      <c r="H1389" s="12">
        <f t="shared" ca="1" si="133"/>
        <v>1</v>
      </c>
      <c r="I1389" s="13">
        <f t="shared" ca="1" si="134"/>
        <v>12</v>
      </c>
      <c r="J1389" s="14">
        <f t="shared" ca="1" si="131"/>
        <v>112</v>
      </c>
      <c r="K1389" s="12" t="s">
        <v>41</v>
      </c>
      <c r="L1389" s="12">
        <v>109</v>
      </c>
      <c r="M1389" s="12" t="s">
        <v>40</v>
      </c>
      <c r="N1389" s="12">
        <v>294</v>
      </c>
    </row>
    <row r="1390" spans="1:15">
      <c r="A1390" s="12">
        <f t="shared" si="135"/>
        <v>1387</v>
      </c>
      <c r="B1390" s="12" t="s">
        <v>18</v>
      </c>
      <c r="C1390" s="12" t="s">
        <v>145</v>
      </c>
      <c r="D1390" s="12" t="s">
        <v>933</v>
      </c>
      <c r="E1390" s="89">
        <f t="shared" ca="1" si="136"/>
        <v>40951</v>
      </c>
      <c r="F1390" s="32"/>
      <c r="G1390" s="12">
        <f t="shared" ca="1" si="132"/>
        <v>112</v>
      </c>
      <c r="H1390" s="12">
        <f t="shared" ca="1" si="133"/>
        <v>1</v>
      </c>
      <c r="I1390" s="13">
        <f t="shared" ca="1" si="134"/>
        <v>12</v>
      </c>
      <c r="J1390" s="14">
        <f t="shared" ca="1" si="131"/>
        <v>112</v>
      </c>
      <c r="K1390" s="12" t="s">
        <v>41</v>
      </c>
      <c r="L1390" s="12">
        <v>109</v>
      </c>
      <c r="M1390" s="12" t="s">
        <v>44</v>
      </c>
      <c r="N1390" s="12">
        <v>294</v>
      </c>
    </row>
    <row r="1391" spans="1:15">
      <c r="A1391" s="12">
        <f t="shared" si="135"/>
        <v>1388</v>
      </c>
      <c r="B1391" s="12" t="s">
        <v>18</v>
      </c>
      <c r="C1391" s="12" t="s">
        <v>169</v>
      </c>
      <c r="D1391" s="12" t="s">
        <v>933</v>
      </c>
      <c r="E1391" s="89">
        <f t="shared" ca="1" si="136"/>
        <v>40951</v>
      </c>
      <c r="F1391" s="32"/>
      <c r="G1391" s="12">
        <f t="shared" ca="1" si="132"/>
        <v>112</v>
      </c>
      <c r="H1391" s="12">
        <f t="shared" ca="1" si="133"/>
        <v>1</v>
      </c>
      <c r="I1391" s="13">
        <f t="shared" ca="1" si="134"/>
        <v>12</v>
      </c>
      <c r="J1391" s="14">
        <f t="shared" ca="1" si="131"/>
        <v>112</v>
      </c>
      <c r="K1391" s="12" t="s">
        <v>40</v>
      </c>
      <c r="L1391" s="12">
        <v>109</v>
      </c>
      <c r="M1391" s="12" t="s">
        <v>44</v>
      </c>
      <c r="N1391" s="12">
        <v>294</v>
      </c>
    </row>
    <row r="1392" spans="1:15">
      <c r="A1392" s="12">
        <f t="shared" si="135"/>
        <v>1389</v>
      </c>
      <c r="B1392" s="12" t="s">
        <v>18</v>
      </c>
      <c r="C1392" s="12" t="s">
        <v>93</v>
      </c>
      <c r="D1392" s="12" t="s">
        <v>358</v>
      </c>
      <c r="E1392" s="89">
        <f t="shared" ca="1" si="136"/>
        <v>40951</v>
      </c>
      <c r="F1392" s="11">
        <f>DATE(86,10,23)</f>
        <v>31708</v>
      </c>
      <c r="G1392" s="12">
        <f t="shared" ca="1" si="132"/>
        <v>26</v>
      </c>
      <c r="H1392" s="12">
        <f t="shared" ca="1" si="133"/>
        <v>-8</v>
      </c>
      <c r="I1392" s="13">
        <f t="shared" ca="1" si="134"/>
        <v>-11</v>
      </c>
      <c r="J1392" s="14">
        <f t="shared" ca="1" si="131"/>
        <v>25</v>
      </c>
      <c r="K1392" s="12" t="s">
        <v>40</v>
      </c>
      <c r="L1392" s="12">
        <v>109</v>
      </c>
      <c r="M1392" s="12" t="s">
        <v>40</v>
      </c>
      <c r="N1392" s="12">
        <v>295</v>
      </c>
      <c r="O1392" s="90" t="s">
        <v>2748</v>
      </c>
    </row>
    <row r="1393" spans="1:15">
      <c r="A1393" s="12">
        <f t="shared" si="135"/>
        <v>1390</v>
      </c>
      <c r="B1393" s="12" t="s">
        <v>18</v>
      </c>
      <c r="C1393" s="12" t="s">
        <v>430</v>
      </c>
      <c r="D1393" s="12" t="s">
        <v>93</v>
      </c>
      <c r="E1393" s="89">
        <f t="shared" ca="1" si="136"/>
        <v>40951</v>
      </c>
      <c r="F1393" s="11">
        <f>DATE(72,11,22)</f>
        <v>26625</v>
      </c>
      <c r="G1393" s="12">
        <f t="shared" ca="1" si="132"/>
        <v>40</v>
      </c>
      <c r="H1393" s="12">
        <f t="shared" ca="1" si="133"/>
        <v>-9</v>
      </c>
      <c r="I1393" s="13">
        <f t="shared" ca="1" si="134"/>
        <v>-10</v>
      </c>
      <c r="J1393" s="14">
        <f t="shared" ca="1" si="131"/>
        <v>39</v>
      </c>
      <c r="K1393" s="12" t="s">
        <v>41</v>
      </c>
      <c r="L1393" s="12">
        <v>109</v>
      </c>
      <c r="M1393" s="12" t="s">
        <v>40</v>
      </c>
      <c r="N1393" s="12">
        <v>295</v>
      </c>
    </row>
    <row r="1394" spans="1:15">
      <c r="A1394" s="12">
        <f t="shared" si="135"/>
        <v>1391</v>
      </c>
      <c r="B1394" s="12" t="s">
        <v>18</v>
      </c>
      <c r="C1394" s="12" t="s">
        <v>934</v>
      </c>
      <c r="D1394" s="12" t="s">
        <v>93</v>
      </c>
      <c r="E1394" s="89">
        <f t="shared" ca="1" si="136"/>
        <v>40951</v>
      </c>
      <c r="F1394" s="11">
        <f>DATE(95,11,15)</f>
        <v>35018</v>
      </c>
      <c r="G1394" s="12">
        <f t="shared" ca="1" si="132"/>
        <v>17</v>
      </c>
      <c r="H1394" s="12">
        <f t="shared" ca="1" si="133"/>
        <v>-9</v>
      </c>
      <c r="I1394" s="13">
        <f t="shared" ca="1" si="134"/>
        <v>-3</v>
      </c>
      <c r="J1394" s="14">
        <f t="shared" ca="1" si="131"/>
        <v>16</v>
      </c>
      <c r="K1394" s="12" t="s">
        <v>40</v>
      </c>
      <c r="L1394" s="12">
        <v>109</v>
      </c>
      <c r="M1394" s="12" t="s">
        <v>44</v>
      </c>
      <c r="N1394" s="12">
        <v>295</v>
      </c>
    </row>
    <row r="1395" spans="1:15">
      <c r="A1395" s="12">
        <f t="shared" si="135"/>
        <v>1392</v>
      </c>
      <c r="B1395" s="12" t="s">
        <v>18</v>
      </c>
      <c r="C1395" s="12" t="s">
        <v>935</v>
      </c>
      <c r="D1395" s="12" t="s">
        <v>93</v>
      </c>
      <c r="E1395" s="89">
        <f t="shared" ca="1" si="136"/>
        <v>40951</v>
      </c>
      <c r="F1395" s="11">
        <f>DATE(98,11,8)</f>
        <v>36107</v>
      </c>
      <c r="G1395" s="12">
        <f t="shared" ca="1" si="132"/>
        <v>14</v>
      </c>
      <c r="H1395" s="12">
        <f t="shared" ca="1" si="133"/>
        <v>-9</v>
      </c>
      <c r="I1395" s="13">
        <f t="shared" ca="1" si="134"/>
        <v>4</v>
      </c>
      <c r="J1395" s="14">
        <f t="shared" ca="1" si="131"/>
        <v>13</v>
      </c>
      <c r="K1395" s="12" t="s">
        <v>40</v>
      </c>
      <c r="L1395" s="12">
        <v>109</v>
      </c>
      <c r="M1395" s="12" t="s">
        <v>44</v>
      </c>
      <c r="N1395" s="12">
        <v>295</v>
      </c>
    </row>
    <row r="1396" spans="1:15">
      <c r="A1396" s="12">
        <f t="shared" si="135"/>
        <v>1393</v>
      </c>
      <c r="B1396" s="12" t="s">
        <v>18</v>
      </c>
      <c r="C1396" s="12" t="s">
        <v>414</v>
      </c>
      <c r="D1396" s="12" t="s">
        <v>358</v>
      </c>
      <c r="E1396" s="89">
        <f t="shared" ca="1" si="136"/>
        <v>40951</v>
      </c>
      <c r="F1396" s="11">
        <f>DATE(57,1,25)</f>
        <v>20845</v>
      </c>
      <c r="G1396" s="12">
        <f t="shared" ca="1" si="132"/>
        <v>55</v>
      </c>
      <c r="H1396" s="12">
        <f t="shared" ca="1" si="133"/>
        <v>1</v>
      </c>
      <c r="I1396" s="13">
        <f t="shared" ca="1" si="134"/>
        <v>-13</v>
      </c>
      <c r="J1396" s="14">
        <f t="shared" ca="1" si="131"/>
        <v>55</v>
      </c>
      <c r="K1396" s="12" t="s">
        <v>40</v>
      </c>
      <c r="L1396" s="12">
        <v>109</v>
      </c>
      <c r="M1396" s="12" t="s">
        <v>40</v>
      </c>
      <c r="N1396" s="12">
        <v>296</v>
      </c>
      <c r="O1396" s="90" t="s">
        <v>2748</v>
      </c>
    </row>
    <row r="1397" spans="1:15">
      <c r="A1397" s="12">
        <f t="shared" si="135"/>
        <v>1394</v>
      </c>
      <c r="B1397" s="12" t="s">
        <v>18</v>
      </c>
      <c r="C1397" s="12" t="s">
        <v>936</v>
      </c>
      <c r="D1397" s="12" t="s">
        <v>414</v>
      </c>
      <c r="E1397" s="89">
        <f t="shared" ca="1" si="136"/>
        <v>40951</v>
      </c>
      <c r="F1397" s="11">
        <f>DATE(66,10,7)</f>
        <v>24387</v>
      </c>
      <c r="G1397" s="12">
        <f t="shared" ca="1" si="132"/>
        <v>46</v>
      </c>
      <c r="H1397" s="12">
        <f t="shared" ca="1" si="133"/>
        <v>-8</v>
      </c>
      <c r="I1397" s="13">
        <f t="shared" ca="1" si="134"/>
        <v>5</v>
      </c>
      <c r="J1397" s="14">
        <f t="shared" ca="1" si="131"/>
        <v>45</v>
      </c>
      <c r="K1397" s="12" t="s">
        <v>41</v>
      </c>
      <c r="L1397" s="12">
        <v>109</v>
      </c>
      <c r="M1397" s="12" t="s">
        <v>40</v>
      </c>
      <c r="N1397" s="12">
        <v>296</v>
      </c>
    </row>
    <row r="1398" spans="1:15">
      <c r="A1398" s="12">
        <f t="shared" si="135"/>
        <v>1395</v>
      </c>
      <c r="B1398" s="12" t="s">
        <v>18</v>
      </c>
      <c r="C1398" s="12" t="s">
        <v>937</v>
      </c>
      <c r="D1398" s="12" t="s">
        <v>414</v>
      </c>
      <c r="E1398" s="89">
        <f t="shared" ca="1" si="136"/>
        <v>40951</v>
      </c>
      <c r="F1398" s="11">
        <f>DATE(87,12,6)</f>
        <v>32117</v>
      </c>
      <c r="G1398" s="12">
        <f t="shared" ca="1" si="132"/>
        <v>25</v>
      </c>
      <c r="H1398" s="12">
        <f t="shared" ca="1" si="133"/>
        <v>-10</v>
      </c>
      <c r="I1398" s="13">
        <f t="shared" ca="1" si="134"/>
        <v>6</v>
      </c>
      <c r="J1398" s="14">
        <f t="shared" ca="1" si="131"/>
        <v>24</v>
      </c>
      <c r="K1398" s="12" t="s">
        <v>41</v>
      </c>
      <c r="L1398" s="12">
        <v>109</v>
      </c>
      <c r="M1398" s="12" t="s">
        <v>44</v>
      </c>
      <c r="N1398" s="12">
        <v>296</v>
      </c>
    </row>
    <row r="1399" spans="1:15">
      <c r="A1399" s="12">
        <f t="shared" si="135"/>
        <v>1396</v>
      </c>
      <c r="B1399" s="12" t="s">
        <v>18</v>
      </c>
      <c r="C1399" s="12" t="s">
        <v>688</v>
      </c>
      <c r="D1399" s="12" t="s">
        <v>414</v>
      </c>
      <c r="E1399" s="89">
        <f t="shared" ca="1" si="136"/>
        <v>40951</v>
      </c>
      <c r="F1399" s="11">
        <f>DATE(92,1,17)</f>
        <v>33620</v>
      </c>
      <c r="G1399" s="12">
        <f t="shared" ca="1" si="132"/>
        <v>20</v>
      </c>
      <c r="H1399" s="12">
        <f t="shared" ca="1" si="133"/>
        <v>1</v>
      </c>
      <c r="I1399" s="13">
        <f t="shared" ca="1" si="134"/>
        <v>-5</v>
      </c>
      <c r="J1399" s="14">
        <f t="shared" ca="1" si="131"/>
        <v>20</v>
      </c>
      <c r="K1399" s="12" t="s">
        <v>40</v>
      </c>
      <c r="L1399" s="12">
        <v>109</v>
      </c>
      <c r="M1399" s="12" t="s">
        <v>44</v>
      </c>
      <c r="N1399" s="12">
        <v>296</v>
      </c>
    </row>
    <row r="1400" spans="1:15">
      <c r="A1400" s="12">
        <f t="shared" si="135"/>
        <v>1397</v>
      </c>
      <c r="B1400" s="12" t="s">
        <v>18</v>
      </c>
      <c r="C1400" s="12" t="s">
        <v>794</v>
      </c>
      <c r="D1400" s="12" t="s">
        <v>414</v>
      </c>
      <c r="E1400" s="89">
        <f t="shared" ca="1" si="136"/>
        <v>40951</v>
      </c>
      <c r="F1400" s="11">
        <f>DATE(97,9,5)</f>
        <v>35678</v>
      </c>
      <c r="G1400" s="12">
        <f t="shared" ca="1" si="132"/>
        <v>15</v>
      </c>
      <c r="H1400" s="12">
        <f t="shared" ca="1" si="133"/>
        <v>-7</v>
      </c>
      <c r="I1400" s="13">
        <f t="shared" ca="1" si="134"/>
        <v>7</v>
      </c>
      <c r="J1400" s="14">
        <f t="shared" ca="1" si="131"/>
        <v>14</v>
      </c>
      <c r="K1400" s="12" t="s">
        <v>40</v>
      </c>
      <c r="L1400" s="12">
        <v>109</v>
      </c>
      <c r="M1400" s="12" t="s">
        <v>44</v>
      </c>
      <c r="N1400" s="12">
        <v>296</v>
      </c>
    </row>
    <row r="1401" spans="1:15">
      <c r="A1401" s="12">
        <f t="shared" si="135"/>
        <v>1398</v>
      </c>
      <c r="B1401" s="12" t="s">
        <v>19</v>
      </c>
      <c r="C1401" s="12" t="s">
        <v>938</v>
      </c>
      <c r="D1401" s="12" t="s">
        <v>411</v>
      </c>
      <c r="E1401" s="89">
        <f t="shared" ca="1" si="136"/>
        <v>40951</v>
      </c>
      <c r="F1401" s="11">
        <f>DATE(42,3,12)</f>
        <v>15412</v>
      </c>
      <c r="G1401" s="12">
        <f t="shared" ca="1" si="132"/>
        <v>70</v>
      </c>
      <c r="H1401" s="12">
        <f t="shared" ca="1" si="133"/>
        <v>-1</v>
      </c>
      <c r="I1401" s="13">
        <f t="shared" ca="1" si="134"/>
        <v>0</v>
      </c>
      <c r="J1401" s="14">
        <f t="shared" ca="1" si="131"/>
        <v>69</v>
      </c>
      <c r="K1401" s="12" t="s">
        <v>40</v>
      </c>
      <c r="L1401" s="12">
        <v>110</v>
      </c>
      <c r="M1401" s="12" t="s">
        <v>40</v>
      </c>
      <c r="N1401" s="12">
        <v>297</v>
      </c>
      <c r="O1401" s="90" t="s">
        <v>2748</v>
      </c>
    </row>
    <row r="1402" spans="1:15">
      <c r="A1402" s="12">
        <f t="shared" si="135"/>
        <v>1399</v>
      </c>
      <c r="B1402" s="12" t="s">
        <v>19</v>
      </c>
      <c r="C1402" s="12" t="s">
        <v>939</v>
      </c>
      <c r="D1402" s="12" t="s">
        <v>938</v>
      </c>
      <c r="E1402" s="89">
        <f t="shared" ca="1" si="136"/>
        <v>40951</v>
      </c>
      <c r="F1402" s="11">
        <f>DATE(46,3,9)</f>
        <v>16870</v>
      </c>
      <c r="G1402" s="12">
        <f t="shared" ca="1" si="132"/>
        <v>66</v>
      </c>
      <c r="H1402" s="12">
        <f t="shared" ca="1" si="133"/>
        <v>-1</v>
      </c>
      <c r="I1402" s="13">
        <f t="shared" ca="1" si="134"/>
        <v>3</v>
      </c>
      <c r="J1402" s="14">
        <f t="shared" ca="1" si="131"/>
        <v>65</v>
      </c>
      <c r="K1402" s="12" t="s">
        <v>41</v>
      </c>
      <c r="L1402" s="12">
        <v>110</v>
      </c>
      <c r="M1402" s="12" t="s">
        <v>40</v>
      </c>
      <c r="N1402" s="12">
        <v>297</v>
      </c>
    </row>
    <row r="1403" spans="1:15">
      <c r="A1403" s="12">
        <f t="shared" si="135"/>
        <v>1400</v>
      </c>
      <c r="B1403" s="12" t="s">
        <v>19</v>
      </c>
      <c r="C1403" s="12" t="s">
        <v>829</v>
      </c>
      <c r="D1403" s="12" t="s">
        <v>602</v>
      </c>
      <c r="E1403" s="89">
        <f t="shared" ca="1" si="136"/>
        <v>40951</v>
      </c>
      <c r="F1403" s="32"/>
      <c r="G1403" s="12">
        <f t="shared" ca="1" si="132"/>
        <v>112</v>
      </c>
      <c r="H1403" s="12">
        <f t="shared" ca="1" si="133"/>
        <v>1</v>
      </c>
      <c r="I1403" s="13">
        <f t="shared" ca="1" si="134"/>
        <v>12</v>
      </c>
      <c r="J1403" s="14">
        <f t="shared" ca="1" si="131"/>
        <v>112</v>
      </c>
      <c r="K1403" s="12" t="s">
        <v>40</v>
      </c>
      <c r="L1403" s="12">
        <v>110</v>
      </c>
      <c r="M1403" s="12" t="s">
        <v>40</v>
      </c>
      <c r="N1403" s="12">
        <v>298</v>
      </c>
      <c r="O1403" s="90" t="s">
        <v>2748</v>
      </c>
    </row>
    <row r="1404" spans="1:15">
      <c r="A1404" s="12">
        <f t="shared" si="135"/>
        <v>1401</v>
      </c>
      <c r="B1404" s="12" t="s">
        <v>19</v>
      </c>
      <c r="C1404" s="12" t="s">
        <v>400</v>
      </c>
      <c r="D1404" s="12" t="s">
        <v>829</v>
      </c>
      <c r="E1404" s="89">
        <f t="shared" ca="1" si="136"/>
        <v>40951</v>
      </c>
      <c r="F1404" s="32"/>
      <c r="G1404" s="12">
        <f t="shared" ca="1" si="132"/>
        <v>112</v>
      </c>
      <c r="H1404" s="12">
        <f t="shared" ca="1" si="133"/>
        <v>1</v>
      </c>
      <c r="I1404" s="13">
        <f t="shared" ca="1" si="134"/>
        <v>12</v>
      </c>
      <c r="J1404" s="14">
        <f t="shared" ca="1" si="131"/>
        <v>112</v>
      </c>
      <c r="K1404" s="12" t="s">
        <v>41</v>
      </c>
      <c r="L1404" s="12">
        <v>110</v>
      </c>
      <c r="M1404" s="12" t="s">
        <v>40</v>
      </c>
      <c r="N1404" s="12">
        <v>298</v>
      </c>
    </row>
    <row r="1405" spans="1:15">
      <c r="A1405" s="12">
        <f t="shared" si="135"/>
        <v>1402</v>
      </c>
      <c r="B1405" s="12" t="s">
        <v>19</v>
      </c>
      <c r="C1405" s="12" t="s">
        <v>623</v>
      </c>
      <c r="D1405" s="12" t="s">
        <v>829</v>
      </c>
      <c r="E1405" s="89">
        <f t="shared" ca="1" si="136"/>
        <v>40951</v>
      </c>
      <c r="F1405" s="11">
        <f>DATE(69,1,7)</f>
        <v>25210</v>
      </c>
      <c r="G1405" s="12">
        <f t="shared" ca="1" si="132"/>
        <v>43</v>
      </c>
      <c r="H1405" s="12">
        <f t="shared" ca="1" si="133"/>
        <v>1</v>
      </c>
      <c r="I1405" s="13">
        <f t="shared" ca="1" si="134"/>
        <v>5</v>
      </c>
      <c r="J1405" s="14">
        <f t="shared" ca="1" si="131"/>
        <v>43</v>
      </c>
      <c r="K1405" s="12" t="s">
        <v>40</v>
      </c>
      <c r="L1405" s="12">
        <v>110</v>
      </c>
      <c r="M1405" s="12" t="s">
        <v>40</v>
      </c>
      <c r="N1405" s="12">
        <v>298</v>
      </c>
    </row>
    <row r="1406" spans="1:15">
      <c r="A1406" s="12">
        <f t="shared" si="135"/>
        <v>1403</v>
      </c>
      <c r="B1406" s="12" t="s">
        <v>19</v>
      </c>
      <c r="C1406" s="12" t="s">
        <v>175</v>
      </c>
      <c r="D1406" s="12" t="s">
        <v>623</v>
      </c>
      <c r="E1406" s="89">
        <f t="shared" ca="1" si="136"/>
        <v>40951</v>
      </c>
      <c r="F1406" s="11">
        <f>DATE(72,4,7)</f>
        <v>26396</v>
      </c>
      <c r="G1406" s="12">
        <f t="shared" ca="1" si="132"/>
        <v>40</v>
      </c>
      <c r="H1406" s="12">
        <f t="shared" ca="1" si="133"/>
        <v>-2</v>
      </c>
      <c r="I1406" s="13">
        <f t="shared" ca="1" si="134"/>
        <v>5</v>
      </c>
      <c r="J1406" s="14">
        <f t="shared" ca="1" si="131"/>
        <v>39</v>
      </c>
      <c r="K1406" s="12" t="s">
        <v>41</v>
      </c>
      <c r="L1406" s="12">
        <v>110</v>
      </c>
      <c r="M1406" s="12" t="s">
        <v>40</v>
      </c>
      <c r="N1406" s="12">
        <v>298</v>
      </c>
    </row>
    <row r="1407" spans="1:15">
      <c r="A1407" s="12">
        <f t="shared" si="135"/>
        <v>1404</v>
      </c>
      <c r="B1407" s="12" t="s">
        <v>19</v>
      </c>
      <c r="C1407" s="12" t="s">
        <v>904</v>
      </c>
      <c r="D1407" s="12" t="s">
        <v>623</v>
      </c>
      <c r="E1407" s="89">
        <f t="shared" ca="1" si="136"/>
        <v>40951</v>
      </c>
      <c r="F1407" s="11">
        <f>DATE(96,6,17)</f>
        <v>35233</v>
      </c>
      <c r="G1407" s="12">
        <f t="shared" ca="1" si="132"/>
        <v>16</v>
      </c>
      <c r="H1407" s="12">
        <f t="shared" ca="1" si="133"/>
        <v>-4</v>
      </c>
      <c r="I1407" s="13">
        <f t="shared" ca="1" si="134"/>
        <v>-5</v>
      </c>
      <c r="J1407" s="14">
        <f t="shared" ca="1" si="131"/>
        <v>15</v>
      </c>
      <c r="K1407" s="12" t="s">
        <v>40</v>
      </c>
      <c r="L1407" s="12">
        <v>110</v>
      </c>
      <c r="M1407" s="12" t="s">
        <v>44</v>
      </c>
      <c r="N1407" s="12">
        <v>298</v>
      </c>
    </row>
    <row r="1408" spans="1:15">
      <c r="A1408" s="12">
        <f t="shared" si="135"/>
        <v>1405</v>
      </c>
      <c r="B1408" s="12" t="s">
        <v>19</v>
      </c>
      <c r="C1408" s="12" t="s">
        <v>437</v>
      </c>
      <c r="D1408" s="12" t="s">
        <v>435</v>
      </c>
      <c r="E1408" s="89">
        <f t="shared" ca="1" si="136"/>
        <v>40951</v>
      </c>
      <c r="F1408" s="11">
        <f>DATE(71,9,28)</f>
        <v>26204</v>
      </c>
      <c r="G1408" s="12">
        <f t="shared" ca="1" si="132"/>
        <v>41</v>
      </c>
      <c r="H1408" s="12">
        <f t="shared" ca="1" si="133"/>
        <v>-7</v>
      </c>
      <c r="I1408" s="13">
        <f t="shared" ca="1" si="134"/>
        <v>-16</v>
      </c>
      <c r="J1408" s="14">
        <f t="shared" ca="1" si="131"/>
        <v>40</v>
      </c>
      <c r="K1408" s="12" t="s">
        <v>40</v>
      </c>
      <c r="L1408" s="12">
        <v>110</v>
      </c>
      <c r="M1408" s="12" t="s">
        <v>40</v>
      </c>
      <c r="N1408" s="12">
        <v>299</v>
      </c>
      <c r="O1408" s="90" t="s">
        <v>2748</v>
      </c>
    </row>
    <row r="1409" spans="1:15">
      <c r="A1409" s="12">
        <f t="shared" si="135"/>
        <v>1406</v>
      </c>
      <c r="B1409" s="12" t="s">
        <v>19</v>
      </c>
      <c r="C1409" s="12" t="s">
        <v>122</v>
      </c>
      <c r="D1409" s="12" t="s">
        <v>940</v>
      </c>
      <c r="E1409" s="89">
        <f t="shared" ca="1" si="136"/>
        <v>40951</v>
      </c>
      <c r="F1409" s="11">
        <f>DATE(72,5,24)</f>
        <v>26443</v>
      </c>
      <c r="G1409" s="12">
        <f t="shared" ca="1" si="132"/>
        <v>40</v>
      </c>
      <c r="H1409" s="12">
        <f t="shared" ca="1" si="133"/>
        <v>-3</v>
      </c>
      <c r="I1409" s="13">
        <f t="shared" ca="1" si="134"/>
        <v>-12</v>
      </c>
      <c r="J1409" s="14">
        <f t="shared" ca="1" si="131"/>
        <v>39</v>
      </c>
      <c r="K1409" s="12" t="s">
        <v>41</v>
      </c>
      <c r="L1409" s="12">
        <v>110</v>
      </c>
      <c r="M1409" s="12" t="s">
        <v>40</v>
      </c>
      <c r="N1409" s="12">
        <v>299</v>
      </c>
    </row>
    <row r="1410" spans="1:15">
      <c r="A1410" s="12">
        <f t="shared" si="135"/>
        <v>1407</v>
      </c>
      <c r="B1410" s="12" t="s">
        <v>19</v>
      </c>
      <c r="C1410" s="12" t="s">
        <v>941</v>
      </c>
      <c r="D1410" s="12" t="s">
        <v>940</v>
      </c>
      <c r="E1410" s="89">
        <f t="shared" ca="1" si="136"/>
        <v>40951</v>
      </c>
      <c r="F1410" s="11">
        <f>DATE(99,5,31)</f>
        <v>36311</v>
      </c>
      <c r="G1410" s="12">
        <f t="shared" ca="1" si="132"/>
        <v>13</v>
      </c>
      <c r="H1410" s="12">
        <f t="shared" ca="1" si="133"/>
        <v>-3</v>
      </c>
      <c r="I1410" s="13">
        <f t="shared" ca="1" si="134"/>
        <v>-19</v>
      </c>
      <c r="J1410" s="14">
        <f t="shared" ca="1" si="131"/>
        <v>12</v>
      </c>
      <c r="K1410" s="12" t="s">
        <v>41</v>
      </c>
      <c r="L1410" s="12">
        <v>110</v>
      </c>
      <c r="M1410" s="12" t="s">
        <v>44</v>
      </c>
      <c r="N1410" s="12">
        <v>299</v>
      </c>
    </row>
    <row r="1411" spans="1:15">
      <c r="A1411" s="12">
        <f t="shared" si="135"/>
        <v>1408</v>
      </c>
      <c r="B1411" s="12" t="s">
        <v>19</v>
      </c>
      <c r="C1411" s="12" t="s">
        <v>942</v>
      </c>
      <c r="D1411" s="12" t="s">
        <v>940</v>
      </c>
      <c r="E1411" s="89">
        <f t="shared" ca="1" si="136"/>
        <v>40951</v>
      </c>
      <c r="F1411" s="11">
        <f>DATE(2003,11,8)</f>
        <v>37933</v>
      </c>
      <c r="G1411" s="12">
        <f t="shared" ca="1" si="132"/>
        <v>9</v>
      </c>
      <c r="H1411" s="12">
        <f t="shared" ca="1" si="133"/>
        <v>-9</v>
      </c>
      <c r="I1411" s="13">
        <f t="shared" ca="1" si="134"/>
        <v>4</v>
      </c>
      <c r="J1411" s="14">
        <f t="shared" ca="1" si="131"/>
        <v>8</v>
      </c>
      <c r="K1411" s="12" t="s">
        <v>40</v>
      </c>
      <c r="L1411" s="12">
        <v>110</v>
      </c>
      <c r="M1411" s="12" t="s">
        <v>44</v>
      </c>
      <c r="N1411" s="12">
        <v>299</v>
      </c>
    </row>
    <row r="1412" spans="1:15">
      <c r="A1412" s="12">
        <f t="shared" si="135"/>
        <v>1409</v>
      </c>
      <c r="B1412" s="12" t="s">
        <v>19</v>
      </c>
      <c r="C1412" s="12" t="s">
        <v>943</v>
      </c>
      <c r="D1412" s="12" t="s">
        <v>411</v>
      </c>
      <c r="E1412" s="89">
        <f t="shared" ca="1" si="136"/>
        <v>40951</v>
      </c>
      <c r="F1412" s="11">
        <f>DATE(36,3,24)</f>
        <v>13233</v>
      </c>
      <c r="G1412" s="12">
        <f t="shared" ca="1" si="132"/>
        <v>76</v>
      </c>
      <c r="H1412" s="12">
        <f t="shared" ca="1" si="133"/>
        <v>-1</v>
      </c>
      <c r="I1412" s="13">
        <f t="shared" ca="1" si="134"/>
        <v>-12</v>
      </c>
      <c r="J1412" s="14">
        <f t="shared" ref="J1412:J1475" ca="1" si="137">IF(H1412&lt;0,G1412-1,IF(H1412&gt;0,G1412,IF(I1412&lt;0,G1412-1,G1412)))</f>
        <v>75</v>
      </c>
      <c r="K1412" s="12" t="s">
        <v>40</v>
      </c>
      <c r="L1412" s="12">
        <v>111</v>
      </c>
      <c r="M1412" s="12" t="s">
        <v>40</v>
      </c>
      <c r="N1412" s="12">
        <v>300</v>
      </c>
      <c r="O1412" s="90" t="s">
        <v>2748</v>
      </c>
    </row>
    <row r="1413" spans="1:15">
      <c r="A1413" s="12">
        <f t="shared" si="135"/>
        <v>1410</v>
      </c>
      <c r="B1413" s="12" t="s">
        <v>19</v>
      </c>
      <c r="C1413" s="12" t="s">
        <v>626</v>
      </c>
      <c r="D1413" s="12" t="s">
        <v>943</v>
      </c>
      <c r="E1413" s="89">
        <f t="shared" ca="1" si="136"/>
        <v>40951</v>
      </c>
      <c r="F1413" s="11">
        <f>DATE(39,12,5)</f>
        <v>14584</v>
      </c>
      <c r="G1413" s="12">
        <f t="shared" ca="1" si="132"/>
        <v>73</v>
      </c>
      <c r="H1413" s="12">
        <f t="shared" ca="1" si="133"/>
        <v>-10</v>
      </c>
      <c r="I1413" s="13">
        <f t="shared" ca="1" si="134"/>
        <v>7</v>
      </c>
      <c r="J1413" s="14">
        <f t="shared" ca="1" si="137"/>
        <v>72</v>
      </c>
      <c r="K1413" s="12" t="s">
        <v>41</v>
      </c>
      <c r="L1413" s="12">
        <v>111</v>
      </c>
      <c r="M1413" s="12" t="s">
        <v>40</v>
      </c>
      <c r="N1413" s="12">
        <v>300</v>
      </c>
    </row>
    <row r="1414" spans="1:15">
      <c r="A1414" s="12">
        <f t="shared" si="135"/>
        <v>1411</v>
      </c>
      <c r="B1414" s="12" t="s">
        <v>19</v>
      </c>
      <c r="C1414" s="12" t="s">
        <v>721</v>
      </c>
      <c r="D1414" s="12" t="s">
        <v>411</v>
      </c>
      <c r="E1414" s="89">
        <f t="shared" ca="1" si="136"/>
        <v>40951</v>
      </c>
      <c r="F1414" s="32"/>
      <c r="G1414" s="12">
        <f t="shared" ca="1" si="132"/>
        <v>112</v>
      </c>
      <c r="H1414" s="12">
        <f t="shared" ca="1" si="133"/>
        <v>1</v>
      </c>
      <c r="I1414" s="13">
        <f t="shared" ca="1" si="134"/>
        <v>12</v>
      </c>
      <c r="J1414" s="14">
        <f t="shared" ca="1" si="137"/>
        <v>112</v>
      </c>
      <c r="K1414" s="12" t="s">
        <v>40</v>
      </c>
      <c r="L1414" s="12">
        <v>111</v>
      </c>
      <c r="M1414" s="12" t="s">
        <v>44</v>
      </c>
      <c r="N1414" s="12">
        <v>300</v>
      </c>
    </row>
    <row r="1415" spans="1:15">
      <c r="A1415" s="12">
        <f t="shared" si="135"/>
        <v>1412</v>
      </c>
      <c r="B1415" s="12" t="s">
        <v>19</v>
      </c>
      <c r="C1415" s="12" t="s">
        <v>944</v>
      </c>
      <c r="D1415" s="12" t="s">
        <v>943</v>
      </c>
      <c r="E1415" s="89">
        <f t="shared" ca="1" si="136"/>
        <v>40951</v>
      </c>
      <c r="F1415" s="11">
        <f>DATE(65,7,29)</f>
        <v>23952</v>
      </c>
      <c r="G1415" s="12">
        <f t="shared" ca="1" si="132"/>
        <v>47</v>
      </c>
      <c r="H1415" s="12">
        <f t="shared" ca="1" si="133"/>
        <v>-5</v>
      </c>
      <c r="I1415" s="13">
        <f t="shared" ca="1" si="134"/>
        <v>-17</v>
      </c>
      <c r="J1415" s="14">
        <f t="shared" ca="1" si="137"/>
        <v>46</v>
      </c>
      <c r="K1415" s="12" t="s">
        <v>40</v>
      </c>
      <c r="L1415" s="12">
        <v>111</v>
      </c>
      <c r="M1415" s="12" t="s">
        <v>40</v>
      </c>
      <c r="N1415" s="12">
        <v>300</v>
      </c>
    </row>
    <row r="1416" spans="1:15">
      <c r="A1416" s="12">
        <f t="shared" si="135"/>
        <v>1413</v>
      </c>
      <c r="B1416" s="12" t="s">
        <v>19</v>
      </c>
      <c r="C1416" s="12" t="s">
        <v>945</v>
      </c>
      <c r="D1416" s="12" t="s">
        <v>944</v>
      </c>
      <c r="E1416" s="89">
        <f t="shared" ca="1" si="136"/>
        <v>40951</v>
      </c>
      <c r="F1416" s="11">
        <f>DATE(69,4,21)</f>
        <v>25314</v>
      </c>
      <c r="G1416" s="12">
        <f t="shared" ca="1" si="132"/>
        <v>43</v>
      </c>
      <c r="H1416" s="12">
        <f t="shared" ca="1" si="133"/>
        <v>-2</v>
      </c>
      <c r="I1416" s="13">
        <f t="shared" ca="1" si="134"/>
        <v>-9</v>
      </c>
      <c r="J1416" s="14">
        <f t="shared" ca="1" si="137"/>
        <v>42</v>
      </c>
      <c r="K1416" s="12" t="s">
        <v>41</v>
      </c>
      <c r="L1416" s="12">
        <v>111</v>
      </c>
      <c r="M1416" s="12" t="s">
        <v>40</v>
      </c>
      <c r="N1416" s="12">
        <v>300</v>
      </c>
    </row>
    <row r="1417" spans="1:15">
      <c r="A1417" s="12">
        <f t="shared" si="135"/>
        <v>1414</v>
      </c>
      <c r="B1417" s="12" t="s">
        <v>19</v>
      </c>
      <c r="C1417" s="12" t="s">
        <v>63</v>
      </c>
      <c r="D1417" s="12" t="s">
        <v>944</v>
      </c>
      <c r="E1417" s="89">
        <f t="shared" ca="1" si="136"/>
        <v>40951</v>
      </c>
      <c r="F1417" s="11">
        <f>DATE(99,1,26)</f>
        <v>36186</v>
      </c>
      <c r="G1417" s="12">
        <f t="shared" ca="1" si="132"/>
        <v>13</v>
      </c>
      <c r="H1417" s="12">
        <f t="shared" ca="1" si="133"/>
        <v>1</v>
      </c>
      <c r="I1417" s="13">
        <f t="shared" ca="1" si="134"/>
        <v>-14</v>
      </c>
      <c r="J1417" s="14">
        <f t="shared" ca="1" si="137"/>
        <v>13</v>
      </c>
      <c r="K1417" s="12" t="s">
        <v>40</v>
      </c>
      <c r="L1417" s="12">
        <v>111</v>
      </c>
      <c r="M1417" s="12" t="s">
        <v>44</v>
      </c>
      <c r="N1417" s="12">
        <v>300</v>
      </c>
    </row>
    <row r="1418" spans="1:15">
      <c r="A1418" s="12">
        <f t="shared" si="135"/>
        <v>1415</v>
      </c>
      <c r="B1418" s="12" t="s">
        <v>19</v>
      </c>
      <c r="C1418" s="12" t="s">
        <v>743</v>
      </c>
      <c r="D1418" s="12" t="s">
        <v>546</v>
      </c>
      <c r="E1418" s="89">
        <f t="shared" ca="1" si="136"/>
        <v>40951</v>
      </c>
      <c r="F1418" s="11">
        <f>DATE(53,4,3)</f>
        <v>19452</v>
      </c>
      <c r="G1418" s="12">
        <f t="shared" ca="1" si="132"/>
        <v>59</v>
      </c>
      <c r="H1418" s="12">
        <f t="shared" ca="1" si="133"/>
        <v>-2</v>
      </c>
      <c r="I1418" s="13">
        <f t="shared" ca="1" si="134"/>
        <v>9</v>
      </c>
      <c r="J1418" s="14">
        <f t="shared" ca="1" si="137"/>
        <v>58</v>
      </c>
      <c r="K1418" s="12" t="s">
        <v>40</v>
      </c>
      <c r="L1418" s="12">
        <v>111</v>
      </c>
      <c r="M1418" s="12" t="s">
        <v>40</v>
      </c>
      <c r="N1418" s="12">
        <v>301</v>
      </c>
      <c r="O1418" s="90" t="s">
        <v>2748</v>
      </c>
    </row>
    <row r="1419" spans="1:15">
      <c r="A1419" s="12">
        <f t="shared" si="135"/>
        <v>1416</v>
      </c>
      <c r="B1419" s="12" t="s">
        <v>19</v>
      </c>
      <c r="C1419" s="12" t="s">
        <v>218</v>
      </c>
      <c r="D1419" s="12" t="s">
        <v>743</v>
      </c>
      <c r="E1419" s="89">
        <f t="shared" ca="1" si="136"/>
        <v>40951</v>
      </c>
      <c r="F1419" s="11">
        <f>DATE(56,5,4)</f>
        <v>20579</v>
      </c>
      <c r="G1419" s="12">
        <f t="shared" ca="1" si="132"/>
        <v>56</v>
      </c>
      <c r="H1419" s="12">
        <f t="shared" ca="1" si="133"/>
        <v>-3</v>
      </c>
      <c r="I1419" s="13">
        <f t="shared" ca="1" si="134"/>
        <v>8</v>
      </c>
      <c r="J1419" s="14">
        <f t="shared" ca="1" si="137"/>
        <v>55</v>
      </c>
      <c r="K1419" s="12" t="s">
        <v>41</v>
      </c>
      <c r="L1419" s="12">
        <v>111</v>
      </c>
      <c r="M1419" s="12" t="s">
        <v>40</v>
      </c>
      <c r="N1419" s="12">
        <v>301</v>
      </c>
    </row>
    <row r="1420" spans="1:15">
      <c r="A1420" s="12">
        <f t="shared" si="135"/>
        <v>1417</v>
      </c>
      <c r="B1420" s="12" t="s">
        <v>19</v>
      </c>
      <c r="C1420" s="12" t="s">
        <v>946</v>
      </c>
      <c r="D1420" s="12" t="s">
        <v>743</v>
      </c>
      <c r="E1420" s="89">
        <f t="shared" ca="1" si="136"/>
        <v>40951</v>
      </c>
      <c r="F1420" s="11">
        <f>DATE(82,8,19)</f>
        <v>30182</v>
      </c>
      <c r="G1420" s="12">
        <f t="shared" ca="1" si="132"/>
        <v>30</v>
      </c>
      <c r="H1420" s="12">
        <f t="shared" ca="1" si="133"/>
        <v>-6</v>
      </c>
      <c r="I1420" s="13">
        <f t="shared" ca="1" si="134"/>
        <v>-7</v>
      </c>
      <c r="J1420" s="14">
        <f t="shared" ca="1" si="137"/>
        <v>29</v>
      </c>
      <c r="K1420" s="12" t="s">
        <v>40</v>
      </c>
      <c r="L1420" s="12">
        <v>111</v>
      </c>
      <c r="M1420" s="12" t="s">
        <v>44</v>
      </c>
      <c r="N1420" s="12">
        <v>301</v>
      </c>
    </row>
    <row r="1421" spans="1:15">
      <c r="A1421" s="12">
        <f t="shared" si="135"/>
        <v>1418</v>
      </c>
      <c r="B1421" s="12" t="s">
        <v>19</v>
      </c>
      <c r="C1421" s="12" t="s">
        <v>947</v>
      </c>
      <c r="D1421" s="12" t="s">
        <v>546</v>
      </c>
      <c r="E1421" s="89">
        <f t="shared" ca="1" si="136"/>
        <v>40951</v>
      </c>
      <c r="F1421" s="11">
        <f>DATE(58,7,1)</f>
        <v>21367</v>
      </c>
      <c r="G1421" s="12">
        <f t="shared" ca="1" si="132"/>
        <v>54</v>
      </c>
      <c r="H1421" s="12">
        <f t="shared" ca="1" si="133"/>
        <v>-5</v>
      </c>
      <c r="I1421" s="13">
        <f t="shared" ca="1" si="134"/>
        <v>11</v>
      </c>
      <c r="J1421" s="14">
        <f t="shared" ca="1" si="137"/>
        <v>53</v>
      </c>
      <c r="K1421" s="12" t="s">
        <v>40</v>
      </c>
      <c r="L1421" s="12">
        <v>111</v>
      </c>
      <c r="M1421" s="12" t="s">
        <v>40</v>
      </c>
      <c r="N1421" s="12">
        <v>302</v>
      </c>
      <c r="O1421" s="90" t="s">
        <v>2748</v>
      </c>
    </row>
    <row r="1422" spans="1:15">
      <c r="A1422" s="12">
        <f t="shared" si="135"/>
        <v>1419</v>
      </c>
      <c r="B1422" s="12" t="s">
        <v>19</v>
      </c>
      <c r="C1422" s="12" t="s">
        <v>102</v>
      </c>
      <c r="D1422" s="12" t="s">
        <v>947</v>
      </c>
      <c r="E1422" s="89">
        <f t="shared" ca="1" si="136"/>
        <v>40951</v>
      </c>
      <c r="F1422" s="11">
        <f>DATE(60,4,30)</f>
        <v>22036</v>
      </c>
      <c r="G1422" s="12">
        <f t="shared" ca="1" si="132"/>
        <v>52</v>
      </c>
      <c r="H1422" s="12">
        <f t="shared" ca="1" si="133"/>
        <v>-2</v>
      </c>
      <c r="I1422" s="13">
        <f t="shared" ca="1" si="134"/>
        <v>-18</v>
      </c>
      <c r="J1422" s="14">
        <f t="shared" ca="1" si="137"/>
        <v>51</v>
      </c>
      <c r="K1422" s="12" t="s">
        <v>41</v>
      </c>
      <c r="L1422" s="12">
        <v>111</v>
      </c>
      <c r="M1422" s="12" t="s">
        <v>40</v>
      </c>
      <c r="N1422" s="12">
        <v>302</v>
      </c>
    </row>
    <row r="1423" spans="1:15">
      <c r="A1423" s="12">
        <f t="shared" si="135"/>
        <v>1420</v>
      </c>
      <c r="B1423" s="12" t="s">
        <v>19</v>
      </c>
      <c r="C1423" s="12" t="s">
        <v>344</v>
      </c>
      <c r="D1423" s="12" t="s">
        <v>947</v>
      </c>
      <c r="E1423" s="89">
        <f t="shared" ca="1" si="136"/>
        <v>40951</v>
      </c>
      <c r="F1423" s="11">
        <f>DATE(84,5,12)</f>
        <v>30814</v>
      </c>
      <c r="G1423" s="12">
        <f t="shared" ca="1" si="132"/>
        <v>28</v>
      </c>
      <c r="H1423" s="12">
        <f t="shared" ca="1" si="133"/>
        <v>-3</v>
      </c>
      <c r="I1423" s="13">
        <f t="shared" ca="1" si="134"/>
        <v>0</v>
      </c>
      <c r="J1423" s="14">
        <f t="shared" ca="1" si="137"/>
        <v>27</v>
      </c>
      <c r="K1423" s="12" t="s">
        <v>41</v>
      </c>
      <c r="L1423" s="12">
        <v>111</v>
      </c>
      <c r="M1423" s="12" t="s">
        <v>44</v>
      </c>
      <c r="N1423" s="12">
        <v>302</v>
      </c>
    </row>
    <row r="1424" spans="1:15">
      <c r="A1424" s="12">
        <f t="shared" si="135"/>
        <v>1421</v>
      </c>
      <c r="B1424" s="12" t="s">
        <v>19</v>
      </c>
      <c r="C1424" s="12" t="s">
        <v>948</v>
      </c>
      <c r="D1424" s="12" t="s">
        <v>947</v>
      </c>
      <c r="E1424" s="89">
        <f t="shared" ca="1" si="136"/>
        <v>40951</v>
      </c>
      <c r="F1424" s="11">
        <f>DATE(86,4,30)</f>
        <v>31532</v>
      </c>
      <c r="G1424" s="12">
        <f t="shared" ca="1" si="132"/>
        <v>26</v>
      </c>
      <c r="H1424" s="12">
        <f t="shared" ca="1" si="133"/>
        <v>-2</v>
      </c>
      <c r="I1424" s="13">
        <f t="shared" ca="1" si="134"/>
        <v>-18</v>
      </c>
      <c r="J1424" s="14">
        <f t="shared" ca="1" si="137"/>
        <v>25</v>
      </c>
      <c r="K1424" s="12" t="s">
        <v>41</v>
      </c>
      <c r="L1424" s="12">
        <v>111</v>
      </c>
      <c r="M1424" s="12" t="s">
        <v>44</v>
      </c>
      <c r="N1424" s="12">
        <v>302</v>
      </c>
    </row>
    <row r="1425" spans="1:15">
      <c r="A1425" s="12">
        <f t="shared" si="135"/>
        <v>1422</v>
      </c>
      <c r="B1425" s="12" t="s">
        <v>19</v>
      </c>
      <c r="C1425" s="12" t="s">
        <v>949</v>
      </c>
      <c r="D1425" s="12" t="s">
        <v>947</v>
      </c>
      <c r="E1425" s="89">
        <f t="shared" ca="1" si="136"/>
        <v>40951</v>
      </c>
      <c r="F1425" s="11">
        <f>DATE(89,9,25)</f>
        <v>32776</v>
      </c>
      <c r="G1425" s="12">
        <f t="shared" ca="1" si="132"/>
        <v>23</v>
      </c>
      <c r="H1425" s="12">
        <f t="shared" ca="1" si="133"/>
        <v>-7</v>
      </c>
      <c r="I1425" s="13">
        <f t="shared" ca="1" si="134"/>
        <v>-13</v>
      </c>
      <c r="J1425" s="14">
        <f t="shared" ca="1" si="137"/>
        <v>22</v>
      </c>
      <c r="K1425" s="12" t="s">
        <v>41</v>
      </c>
      <c r="L1425" s="12">
        <v>111</v>
      </c>
      <c r="M1425" s="12" t="s">
        <v>44</v>
      </c>
      <c r="N1425" s="12">
        <v>302</v>
      </c>
    </row>
    <row r="1426" spans="1:15">
      <c r="A1426" s="12">
        <f t="shared" si="135"/>
        <v>1423</v>
      </c>
      <c r="B1426" s="12" t="s">
        <v>19</v>
      </c>
      <c r="C1426" s="12" t="s">
        <v>950</v>
      </c>
      <c r="D1426" s="12" t="s">
        <v>947</v>
      </c>
      <c r="E1426" s="89">
        <f t="shared" ca="1" si="136"/>
        <v>40951</v>
      </c>
      <c r="F1426" s="11">
        <f>DATE(97,3,23)</f>
        <v>35512</v>
      </c>
      <c r="G1426" s="12">
        <f t="shared" ca="1" si="132"/>
        <v>15</v>
      </c>
      <c r="H1426" s="12">
        <f t="shared" ca="1" si="133"/>
        <v>-1</v>
      </c>
      <c r="I1426" s="13">
        <f t="shared" ca="1" si="134"/>
        <v>-11</v>
      </c>
      <c r="J1426" s="14">
        <f t="shared" ca="1" si="137"/>
        <v>14</v>
      </c>
      <c r="K1426" s="12" t="s">
        <v>40</v>
      </c>
      <c r="L1426" s="12">
        <v>111</v>
      </c>
      <c r="M1426" s="12" t="s">
        <v>44</v>
      </c>
      <c r="N1426" s="12">
        <v>302</v>
      </c>
    </row>
    <row r="1427" spans="1:15">
      <c r="A1427" s="12">
        <f t="shared" si="135"/>
        <v>1424</v>
      </c>
      <c r="B1427" s="12" t="s">
        <v>19</v>
      </c>
      <c r="C1427" s="12" t="s">
        <v>93</v>
      </c>
      <c r="D1427" s="12" t="s">
        <v>951</v>
      </c>
      <c r="E1427" s="89">
        <f t="shared" ca="1" si="136"/>
        <v>40951</v>
      </c>
      <c r="F1427" s="11">
        <f>DATE(66,2,12)</f>
        <v>24150</v>
      </c>
      <c r="G1427" s="12">
        <f t="shared" ca="1" si="132"/>
        <v>46</v>
      </c>
      <c r="H1427" s="12">
        <f t="shared" ca="1" si="133"/>
        <v>0</v>
      </c>
      <c r="I1427" s="13">
        <f t="shared" ca="1" si="134"/>
        <v>0</v>
      </c>
      <c r="J1427" s="14">
        <f t="shared" ca="1" si="137"/>
        <v>46</v>
      </c>
      <c r="K1427" s="12" t="s">
        <v>40</v>
      </c>
      <c r="L1427" s="12">
        <v>112</v>
      </c>
      <c r="M1427" s="12" t="s">
        <v>40</v>
      </c>
      <c r="N1427" s="12">
        <v>303</v>
      </c>
      <c r="O1427" s="90" t="s">
        <v>2748</v>
      </c>
    </row>
    <row r="1428" spans="1:15">
      <c r="A1428" s="12">
        <f t="shared" si="135"/>
        <v>1425</v>
      </c>
      <c r="B1428" s="12" t="s">
        <v>19</v>
      </c>
      <c r="C1428" s="12" t="s">
        <v>530</v>
      </c>
      <c r="D1428" s="12" t="s">
        <v>93</v>
      </c>
      <c r="E1428" s="89">
        <f t="shared" ca="1" si="136"/>
        <v>40951</v>
      </c>
      <c r="F1428" s="11">
        <f>DATE(71,4,29)</f>
        <v>26052</v>
      </c>
      <c r="G1428" s="12">
        <f t="shared" ca="1" si="132"/>
        <v>41</v>
      </c>
      <c r="H1428" s="12">
        <f t="shared" ca="1" si="133"/>
        <v>-2</v>
      </c>
      <c r="I1428" s="13">
        <f t="shared" ca="1" si="134"/>
        <v>-17</v>
      </c>
      <c r="J1428" s="14">
        <f t="shared" ca="1" si="137"/>
        <v>40</v>
      </c>
      <c r="K1428" s="12" t="s">
        <v>41</v>
      </c>
      <c r="L1428" s="12">
        <v>112</v>
      </c>
      <c r="M1428" s="12" t="s">
        <v>40</v>
      </c>
      <c r="N1428" s="12">
        <v>303</v>
      </c>
    </row>
    <row r="1429" spans="1:15">
      <c r="A1429" s="12">
        <f t="shared" si="135"/>
        <v>1426</v>
      </c>
      <c r="B1429" s="12" t="s">
        <v>19</v>
      </c>
      <c r="C1429" s="12" t="s">
        <v>952</v>
      </c>
      <c r="D1429" s="12" t="s">
        <v>93</v>
      </c>
      <c r="E1429" s="89">
        <f t="shared" ca="1" si="136"/>
        <v>40951</v>
      </c>
      <c r="F1429" s="11">
        <f>DATE(94,12,8)</f>
        <v>34676</v>
      </c>
      <c r="G1429" s="12">
        <f t="shared" ca="1" si="132"/>
        <v>18</v>
      </c>
      <c r="H1429" s="12">
        <f t="shared" ca="1" si="133"/>
        <v>-10</v>
      </c>
      <c r="I1429" s="13">
        <f t="shared" ca="1" si="134"/>
        <v>4</v>
      </c>
      <c r="J1429" s="14">
        <f t="shared" ca="1" si="137"/>
        <v>17</v>
      </c>
      <c r="K1429" s="12" t="s">
        <v>41</v>
      </c>
      <c r="L1429" s="12">
        <v>112</v>
      </c>
      <c r="M1429" s="12" t="s">
        <v>44</v>
      </c>
      <c r="N1429" s="12">
        <v>303</v>
      </c>
    </row>
    <row r="1430" spans="1:15">
      <c r="A1430" s="12">
        <f t="shared" si="135"/>
        <v>1427</v>
      </c>
      <c r="B1430" s="12" t="s">
        <v>19</v>
      </c>
      <c r="C1430" s="12" t="s">
        <v>953</v>
      </c>
      <c r="D1430" s="12" t="s">
        <v>954</v>
      </c>
      <c r="E1430" s="89">
        <f t="shared" ca="1" si="136"/>
        <v>40951</v>
      </c>
      <c r="F1430" s="11">
        <f>DATE(43,6,26)</f>
        <v>15883</v>
      </c>
      <c r="G1430" s="12">
        <f t="shared" ca="1" si="132"/>
        <v>69</v>
      </c>
      <c r="H1430" s="12">
        <f t="shared" ca="1" si="133"/>
        <v>-4</v>
      </c>
      <c r="I1430" s="13">
        <f t="shared" ca="1" si="134"/>
        <v>-14</v>
      </c>
      <c r="J1430" s="14">
        <f t="shared" ca="1" si="137"/>
        <v>68</v>
      </c>
      <c r="K1430" s="12" t="s">
        <v>40</v>
      </c>
      <c r="L1430" s="12">
        <v>112</v>
      </c>
      <c r="M1430" s="12" t="s">
        <v>40</v>
      </c>
      <c r="N1430" s="12">
        <v>303</v>
      </c>
    </row>
    <row r="1431" spans="1:15">
      <c r="A1431" s="12">
        <f t="shared" si="135"/>
        <v>1428</v>
      </c>
      <c r="B1431" s="12" t="s">
        <v>19</v>
      </c>
      <c r="C1431" s="12" t="s">
        <v>955</v>
      </c>
      <c r="D1431" s="12" t="s">
        <v>951</v>
      </c>
      <c r="E1431" s="89">
        <f t="shared" ca="1" si="136"/>
        <v>40951</v>
      </c>
      <c r="F1431" s="11">
        <f>DATE(45,6,2)</f>
        <v>16590</v>
      </c>
      <c r="G1431" s="12">
        <f t="shared" ca="1" si="132"/>
        <v>67</v>
      </c>
      <c r="H1431" s="12">
        <f t="shared" ca="1" si="133"/>
        <v>-4</v>
      </c>
      <c r="I1431" s="13">
        <f t="shared" ca="1" si="134"/>
        <v>10</v>
      </c>
      <c r="J1431" s="14">
        <f t="shared" ca="1" si="137"/>
        <v>66</v>
      </c>
      <c r="K1431" s="12" t="s">
        <v>41</v>
      </c>
      <c r="L1431" s="12">
        <v>112</v>
      </c>
      <c r="M1431" s="12" t="s">
        <v>40</v>
      </c>
      <c r="N1431" s="12">
        <v>303</v>
      </c>
    </row>
    <row r="1432" spans="1:15">
      <c r="A1432" s="12">
        <f t="shared" si="135"/>
        <v>1429</v>
      </c>
      <c r="B1432" s="12" t="s">
        <v>19</v>
      </c>
      <c r="C1432" s="12" t="s">
        <v>956</v>
      </c>
      <c r="D1432" s="12" t="s">
        <v>546</v>
      </c>
      <c r="E1432" s="89">
        <f t="shared" ca="1" si="136"/>
        <v>40951</v>
      </c>
      <c r="F1432" s="11">
        <f>DATE(39,12,25)</f>
        <v>14604</v>
      </c>
      <c r="G1432" s="12">
        <f t="shared" ca="1" si="132"/>
        <v>73</v>
      </c>
      <c r="H1432" s="12">
        <f t="shared" ca="1" si="133"/>
        <v>-10</v>
      </c>
      <c r="I1432" s="13">
        <f t="shared" ca="1" si="134"/>
        <v>-13</v>
      </c>
      <c r="J1432" s="14">
        <f t="shared" ca="1" si="137"/>
        <v>72</v>
      </c>
      <c r="K1432" s="12" t="s">
        <v>40</v>
      </c>
      <c r="L1432" s="12">
        <v>112</v>
      </c>
      <c r="M1432" s="12" t="s">
        <v>40</v>
      </c>
      <c r="N1432" s="12">
        <v>304</v>
      </c>
      <c r="O1432" s="90" t="s">
        <v>2748</v>
      </c>
    </row>
    <row r="1433" spans="1:15">
      <c r="A1433" s="12">
        <f t="shared" si="135"/>
        <v>1430</v>
      </c>
      <c r="B1433" s="12" t="s">
        <v>19</v>
      </c>
      <c r="C1433" s="12" t="s">
        <v>831</v>
      </c>
      <c r="D1433" s="12" t="s">
        <v>956</v>
      </c>
      <c r="E1433" s="89">
        <f t="shared" ca="1" si="136"/>
        <v>40951</v>
      </c>
      <c r="F1433" s="11">
        <f>DATE(44,3,1)</f>
        <v>16132</v>
      </c>
      <c r="G1433" s="12">
        <f t="shared" ca="1" si="132"/>
        <v>68</v>
      </c>
      <c r="H1433" s="12">
        <f t="shared" ca="1" si="133"/>
        <v>-1</v>
      </c>
      <c r="I1433" s="13">
        <f t="shared" ca="1" si="134"/>
        <v>11</v>
      </c>
      <c r="J1433" s="14">
        <f t="shared" ca="1" si="137"/>
        <v>67</v>
      </c>
      <c r="K1433" s="12" t="s">
        <v>41</v>
      </c>
      <c r="L1433" s="12">
        <v>112</v>
      </c>
      <c r="M1433" s="12" t="s">
        <v>40</v>
      </c>
      <c r="N1433" s="12">
        <v>304</v>
      </c>
    </row>
    <row r="1434" spans="1:15">
      <c r="A1434" s="12">
        <f t="shared" si="135"/>
        <v>1431</v>
      </c>
      <c r="B1434" s="12" t="s">
        <v>19</v>
      </c>
      <c r="C1434" s="12" t="s">
        <v>807</v>
      </c>
      <c r="D1434" s="12" t="s">
        <v>956</v>
      </c>
      <c r="E1434" s="89">
        <f t="shared" ca="1" si="136"/>
        <v>40951</v>
      </c>
      <c r="F1434" s="11">
        <f>DATE(71,12,31)</f>
        <v>26298</v>
      </c>
      <c r="G1434" s="12">
        <f t="shared" ref="G1434:G1497" ca="1" si="138">YEAR(E1434)-YEAR(F1434)</f>
        <v>41</v>
      </c>
      <c r="H1434" s="12">
        <f t="shared" ref="H1434:H1497" ca="1" si="139">MONTH(E1434)-MONTH(F1434)</f>
        <v>-10</v>
      </c>
      <c r="I1434" s="13">
        <f t="shared" ref="I1434:I1497" ca="1" si="140">DAY(E1434)-DAY(F1434)</f>
        <v>-19</v>
      </c>
      <c r="J1434" s="14">
        <f t="shared" ca="1" si="137"/>
        <v>40</v>
      </c>
      <c r="K1434" s="12" t="s">
        <v>40</v>
      </c>
      <c r="L1434" s="12">
        <v>112</v>
      </c>
      <c r="M1434" s="12" t="s">
        <v>40</v>
      </c>
      <c r="N1434" s="12">
        <v>304</v>
      </c>
    </row>
    <row r="1435" spans="1:15">
      <c r="A1435" s="12">
        <f t="shared" si="135"/>
        <v>1432</v>
      </c>
      <c r="B1435" s="12" t="s">
        <v>19</v>
      </c>
      <c r="C1435" s="12" t="s">
        <v>409</v>
      </c>
      <c r="D1435" s="12" t="s">
        <v>208</v>
      </c>
      <c r="E1435" s="89">
        <f t="shared" ca="1" si="136"/>
        <v>40951</v>
      </c>
      <c r="F1435" s="11">
        <f>DATE(77,3,24)</f>
        <v>28208</v>
      </c>
      <c r="G1435" s="12">
        <f t="shared" ca="1" si="138"/>
        <v>35</v>
      </c>
      <c r="H1435" s="12">
        <f t="shared" ca="1" si="139"/>
        <v>-1</v>
      </c>
      <c r="I1435" s="13">
        <f t="shared" ca="1" si="140"/>
        <v>-12</v>
      </c>
      <c r="J1435" s="14">
        <f t="shared" ca="1" si="137"/>
        <v>34</v>
      </c>
      <c r="K1435" s="12" t="s">
        <v>41</v>
      </c>
      <c r="L1435" s="12">
        <v>112</v>
      </c>
      <c r="M1435" s="12" t="s">
        <v>40</v>
      </c>
      <c r="N1435" s="12">
        <v>304</v>
      </c>
    </row>
    <row r="1436" spans="1:15">
      <c r="A1436" s="12">
        <f t="shared" si="135"/>
        <v>1433</v>
      </c>
      <c r="B1436" s="12" t="s">
        <v>19</v>
      </c>
      <c r="C1436" s="12" t="s">
        <v>346</v>
      </c>
      <c r="D1436" s="12" t="s">
        <v>208</v>
      </c>
      <c r="E1436" s="89">
        <f t="shared" ca="1" si="136"/>
        <v>40951</v>
      </c>
      <c r="F1436" s="11">
        <f>DATE(99,2,12)</f>
        <v>36203</v>
      </c>
      <c r="G1436" s="12">
        <f t="shared" ca="1" si="138"/>
        <v>13</v>
      </c>
      <c r="H1436" s="12">
        <f t="shared" ca="1" si="139"/>
        <v>0</v>
      </c>
      <c r="I1436" s="13">
        <f t="shared" ca="1" si="140"/>
        <v>0</v>
      </c>
      <c r="J1436" s="14">
        <f t="shared" ca="1" si="137"/>
        <v>13</v>
      </c>
      <c r="K1436" s="12" t="s">
        <v>40</v>
      </c>
      <c r="L1436" s="12">
        <v>112</v>
      </c>
      <c r="M1436" s="12" t="s">
        <v>44</v>
      </c>
      <c r="N1436" s="12">
        <v>304</v>
      </c>
    </row>
    <row r="1437" spans="1:15">
      <c r="A1437" s="12">
        <f t="shared" si="135"/>
        <v>1434</v>
      </c>
      <c r="B1437" s="12" t="s">
        <v>19</v>
      </c>
      <c r="C1437" s="12" t="s">
        <v>957</v>
      </c>
      <c r="D1437" s="12" t="s">
        <v>208</v>
      </c>
      <c r="E1437" s="89">
        <f t="shared" ca="1" si="136"/>
        <v>40951</v>
      </c>
      <c r="F1437" s="11">
        <f>DATE(2003,5,5)</f>
        <v>37746</v>
      </c>
      <c r="G1437" s="12">
        <f t="shared" ca="1" si="138"/>
        <v>9</v>
      </c>
      <c r="H1437" s="12">
        <f t="shared" ca="1" si="139"/>
        <v>-3</v>
      </c>
      <c r="I1437" s="13">
        <f t="shared" ca="1" si="140"/>
        <v>7</v>
      </c>
      <c r="J1437" s="14">
        <f t="shared" ca="1" si="137"/>
        <v>8</v>
      </c>
      <c r="K1437" s="12" t="s">
        <v>41</v>
      </c>
      <c r="L1437" s="12">
        <v>112</v>
      </c>
      <c r="M1437" s="12" t="s">
        <v>44</v>
      </c>
      <c r="N1437" s="12">
        <v>304</v>
      </c>
    </row>
    <row r="1438" spans="1:15">
      <c r="A1438" s="12">
        <f t="shared" ref="A1438:A1501" si="141">A1437+1</f>
        <v>1435</v>
      </c>
      <c r="B1438" s="12" t="s">
        <v>20</v>
      </c>
      <c r="C1438" s="12" t="s">
        <v>521</v>
      </c>
      <c r="D1438" s="12" t="s">
        <v>285</v>
      </c>
      <c r="E1438" s="89">
        <f t="shared" ca="1" si="136"/>
        <v>40951</v>
      </c>
      <c r="F1438" s="11">
        <f>DATE(73,1,30)</f>
        <v>26694</v>
      </c>
      <c r="G1438" s="12">
        <f t="shared" ca="1" si="138"/>
        <v>39</v>
      </c>
      <c r="H1438" s="12">
        <f t="shared" ca="1" si="139"/>
        <v>1</v>
      </c>
      <c r="I1438" s="13">
        <f t="shared" ca="1" si="140"/>
        <v>-18</v>
      </c>
      <c r="J1438" s="14">
        <f t="shared" ca="1" si="137"/>
        <v>39</v>
      </c>
      <c r="K1438" s="12" t="s">
        <v>40</v>
      </c>
      <c r="L1438" s="12">
        <v>113</v>
      </c>
      <c r="M1438" s="12" t="s">
        <v>40</v>
      </c>
      <c r="N1438" s="12">
        <v>305</v>
      </c>
      <c r="O1438" s="90" t="s">
        <v>2748</v>
      </c>
    </row>
    <row r="1439" spans="1:15">
      <c r="A1439" s="12">
        <f t="shared" si="141"/>
        <v>1436</v>
      </c>
      <c r="B1439" s="12" t="s">
        <v>20</v>
      </c>
      <c r="C1439" s="12" t="s">
        <v>958</v>
      </c>
      <c r="D1439" s="12" t="s">
        <v>521</v>
      </c>
      <c r="E1439" s="89">
        <f t="shared" ca="1" si="136"/>
        <v>40951</v>
      </c>
      <c r="F1439" s="11">
        <f>DATE(82,2,20)</f>
        <v>30002</v>
      </c>
      <c r="G1439" s="12">
        <f t="shared" ca="1" si="138"/>
        <v>30</v>
      </c>
      <c r="H1439" s="12">
        <f t="shared" ca="1" si="139"/>
        <v>0</v>
      </c>
      <c r="I1439" s="13">
        <f t="shared" ca="1" si="140"/>
        <v>-8</v>
      </c>
      <c r="J1439" s="14">
        <f t="shared" ca="1" si="137"/>
        <v>29</v>
      </c>
      <c r="K1439" s="12" t="s">
        <v>41</v>
      </c>
      <c r="L1439" s="12">
        <v>113</v>
      </c>
      <c r="M1439" s="12" t="s">
        <v>40</v>
      </c>
      <c r="N1439" s="12">
        <v>305</v>
      </c>
    </row>
    <row r="1440" spans="1:15">
      <c r="A1440" s="12">
        <f t="shared" si="141"/>
        <v>1437</v>
      </c>
      <c r="B1440" s="12" t="s">
        <v>20</v>
      </c>
      <c r="C1440" s="12" t="s">
        <v>959</v>
      </c>
      <c r="D1440" s="12" t="s">
        <v>521</v>
      </c>
      <c r="E1440" s="89">
        <f t="shared" ca="1" si="136"/>
        <v>40951</v>
      </c>
      <c r="F1440" s="11">
        <f>DATE(2003,11,4)</f>
        <v>37929</v>
      </c>
      <c r="G1440" s="12">
        <f t="shared" ca="1" si="138"/>
        <v>9</v>
      </c>
      <c r="H1440" s="12">
        <f t="shared" ca="1" si="139"/>
        <v>-9</v>
      </c>
      <c r="I1440" s="13">
        <f t="shared" ca="1" si="140"/>
        <v>8</v>
      </c>
      <c r="J1440" s="14">
        <f t="shared" ca="1" si="137"/>
        <v>8</v>
      </c>
      <c r="K1440" s="12" t="s">
        <v>40</v>
      </c>
      <c r="L1440" s="12">
        <v>113</v>
      </c>
      <c r="M1440" s="12" t="s">
        <v>44</v>
      </c>
      <c r="N1440" s="12">
        <v>305</v>
      </c>
    </row>
    <row r="1441" spans="1:15">
      <c r="A1441" s="12">
        <f t="shared" si="141"/>
        <v>1438</v>
      </c>
      <c r="B1441" s="12" t="s">
        <v>20</v>
      </c>
      <c r="C1441" s="12" t="s">
        <v>960</v>
      </c>
      <c r="D1441" s="12" t="s">
        <v>134</v>
      </c>
      <c r="E1441" s="89">
        <f t="shared" ca="1" si="136"/>
        <v>40951</v>
      </c>
      <c r="F1441" s="11">
        <f>DATE(71,10,1)</f>
        <v>26207</v>
      </c>
      <c r="G1441" s="12">
        <f t="shared" ca="1" si="138"/>
        <v>41</v>
      </c>
      <c r="H1441" s="12">
        <f t="shared" ca="1" si="139"/>
        <v>-8</v>
      </c>
      <c r="I1441" s="13">
        <f t="shared" ca="1" si="140"/>
        <v>11</v>
      </c>
      <c r="J1441" s="14">
        <f t="shared" ca="1" si="137"/>
        <v>40</v>
      </c>
      <c r="K1441" s="12" t="s">
        <v>40</v>
      </c>
      <c r="L1441" s="12">
        <v>113</v>
      </c>
      <c r="M1441" s="12" t="s">
        <v>40</v>
      </c>
      <c r="N1441" s="12">
        <v>306</v>
      </c>
      <c r="O1441" s="90" t="s">
        <v>2748</v>
      </c>
    </row>
    <row r="1442" spans="1:15">
      <c r="A1442" s="12">
        <f t="shared" si="141"/>
        <v>1439</v>
      </c>
      <c r="B1442" s="12" t="s">
        <v>20</v>
      </c>
      <c r="C1442" s="12" t="s">
        <v>125</v>
      </c>
      <c r="D1442" s="12" t="s">
        <v>961</v>
      </c>
      <c r="E1442" s="89">
        <f t="shared" ca="1" si="136"/>
        <v>40951</v>
      </c>
      <c r="F1442" s="11">
        <f>DATE(84,1,16)</f>
        <v>30697</v>
      </c>
      <c r="G1442" s="12">
        <f t="shared" ca="1" si="138"/>
        <v>28</v>
      </c>
      <c r="H1442" s="12">
        <f t="shared" ca="1" si="139"/>
        <v>1</v>
      </c>
      <c r="I1442" s="13">
        <f t="shared" ca="1" si="140"/>
        <v>-4</v>
      </c>
      <c r="J1442" s="14">
        <f t="shared" ca="1" si="137"/>
        <v>28</v>
      </c>
      <c r="K1442" s="12" t="s">
        <v>41</v>
      </c>
      <c r="L1442" s="12">
        <v>113</v>
      </c>
      <c r="M1442" s="12" t="s">
        <v>40</v>
      </c>
      <c r="N1442" s="12">
        <v>306</v>
      </c>
    </row>
    <row r="1443" spans="1:15">
      <c r="A1443" s="12">
        <f t="shared" si="141"/>
        <v>1440</v>
      </c>
      <c r="B1443" s="12" t="s">
        <v>20</v>
      </c>
      <c r="C1443" s="12" t="s">
        <v>962</v>
      </c>
      <c r="D1443" s="12" t="s">
        <v>60</v>
      </c>
      <c r="E1443" s="89">
        <f t="shared" ca="1" si="136"/>
        <v>40951</v>
      </c>
      <c r="F1443" s="11">
        <f>DATE(53,7,13)</f>
        <v>19553</v>
      </c>
      <c r="G1443" s="12">
        <f t="shared" ca="1" si="138"/>
        <v>59</v>
      </c>
      <c r="H1443" s="12">
        <f t="shared" ca="1" si="139"/>
        <v>-5</v>
      </c>
      <c r="I1443" s="13">
        <f t="shared" ca="1" si="140"/>
        <v>-1</v>
      </c>
      <c r="J1443" s="14">
        <f t="shared" ca="1" si="137"/>
        <v>58</v>
      </c>
      <c r="K1443" s="12" t="s">
        <v>40</v>
      </c>
      <c r="L1443" s="12">
        <v>113</v>
      </c>
      <c r="M1443" s="12" t="s">
        <v>40</v>
      </c>
      <c r="N1443" s="12">
        <v>307</v>
      </c>
      <c r="O1443" s="90" t="s">
        <v>2748</v>
      </c>
    </row>
    <row r="1444" spans="1:15">
      <c r="A1444" s="12">
        <f t="shared" si="141"/>
        <v>1441</v>
      </c>
      <c r="B1444" s="12" t="s">
        <v>20</v>
      </c>
      <c r="C1444" s="12" t="s">
        <v>963</v>
      </c>
      <c r="D1444" s="12" t="s">
        <v>962</v>
      </c>
      <c r="E1444" s="89">
        <f t="shared" ref="E1444:E1507" ca="1" si="142">TODAY()</f>
        <v>40951</v>
      </c>
      <c r="F1444" s="11">
        <f>DATE(56,9,4)</f>
        <v>20702</v>
      </c>
      <c r="G1444" s="12">
        <f t="shared" ca="1" si="138"/>
        <v>56</v>
      </c>
      <c r="H1444" s="12">
        <f t="shared" ca="1" si="139"/>
        <v>-7</v>
      </c>
      <c r="I1444" s="13">
        <f t="shared" ca="1" si="140"/>
        <v>8</v>
      </c>
      <c r="J1444" s="14">
        <f t="shared" ca="1" si="137"/>
        <v>55</v>
      </c>
      <c r="K1444" s="12" t="s">
        <v>41</v>
      </c>
      <c r="L1444" s="12">
        <v>113</v>
      </c>
      <c r="M1444" s="12" t="s">
        <v>40</v>
      </c>
      <c r="N1444" s="12">
        <v>307</v>
      </c>
    </row>
    <row r="1445" spans="1:15">
      <c r="A1445" s="12">
        <f t="shared" si="141"/>
        <v>1442</v>
      </c>
      <c r="B1445" s="12" t="s">
        <v>20</v>
      </c>
      <c r="C1445" s="12" t="s">
        <v>964</v>
      </c>
      <c r="D1445" s="12" t="s">
        <v>962</v>
      </c>
      <c r="E1445" s="89">
        <f t="shared" ca="1" si="142"/>
        <v>40951</v>
      </c>
      <c r="F1445" s="11">
        <f>DATE(79,6,17)</f>
        <v>29023</v>
      </c>
      <c r="G1445" s="12">
        <f t="shared" ca="1" si="138"/>
        <v>33</v>
      </c>
      <c r="H1445" s="12">
        <f t="shared" ca="1" si="139"/>
        <v>-4</v>
      </c>
      <c r="I1445" s="13">
        <f t="shared" ca="1" si="140"/>
        <v>-5</v>
      </c>
      <c r="J1445" s="14">
        <f t="shared" ca="1" si="137"/>
        <v>32</v>
      </c>
      <c r="K1445" s="12" t="s">
        <v>40</v>
      </c>
      <c r="L1445" s="12">
        <v>113</v>
      </c>
      <c r="M1445" s="12" t="s">
        <v>40</v>
      </c>
      <c r="N1445" s="12">
        <v>307</v>
      </c>
    </row>
    <row r="1446" spans="1:15">
      <c r="A1446" s="12">
        <f t="shared" si="141"/>
        <v>1443</v>
      </c>
      <c r="B1446" s="12" t="s">
        <v>20</v>
      </c>
      <c r="C1446" s="12" t="s">
        <v>211</v>
      </c>
      <c r="D1446" s="12" t="s">
        <v>964</v>
      </c>
      <c r="E1446" s="89">
        <f t="shared" ca="1" si="142"/>
        <v>40951</v>
      </c>
      <c r="F1446" s="11">
        <f>DATE(79,8,28)</f>
        <v>29095</v>
      </c>
      <c r="G1446" s="12">
        <f t="shared" ca="1" si="138"/>
        <v>33</v>
      </c>
      <c r="H1446" s="12">
        <f t="shared" ca="1" si="139"/>
        <v>-6</v>
      </c>
      <c r="I1446" s="13">
        <f t="shared" ca="1" si="140"/>
        <v>-16</v>
      </c>
      <c r="J1446" s="14">
        <f t="shared" ca="1" si="137"/>
        <v>32</v>
      </c>
      <c r="K1446" s="12" t="s">
        <v>41</v>
      </c>
      <c r="L1446" s="12">
        <v>113</v>
      </c>
      <c r="M1446" s="12" t="s">
        <v>40</v>
      </c>
      <c r="N1446" s="12">
        <v>307</v>
      </c>
    </row>
    <row r="1447" spans="1:15">
      <c r="A1447" s="12">
        <f t="shared" si="141"/>
        <v>1444</v>
      </c>
      <c r="B1447" s="12" t="s">
        <v>20</v>
      </c>
      <c r="E1447" s="89"/>
      <c r="F1447" s="11"/>
      <c r="I1447" s="13"/>
      <c r="N1447" s="12">
        <v>307</v>
      </c>
    </row>
    <row r="1448" spans="1:15">
      <c r="A1448" s="12">
        <f t="shared" si="141"/>
        <v>1445</v>
      </c>
      <c r="B1448" s="12" t="s">
        <v>20</v>
      </c>
      <c r="C1448" s="12" t="s">
        <v>965</v>
      </c>
      <c r="D1448" s="12" t="s">
        <v>964</v>
      </c>
      <c r="E1448" s="89">
        <f t="shared" ca="1" si="142"/>
        <v>40951</v>
      </c>
      <c r="F1448" s="11">
        <f>DATE(2005,11,23)</f>
        <v>38679</v>
      </c>
      <c r="G1448" s="12">
        <f t="shared" ca="1" si="138"/>
        <v>7</v>
      </c>
      <c r="H1448" s="12">
        <f t="shared" ca="1" si="139"/>
        <v>-9</v>
      </c>
      <c r="I1448" s="13">
        <f t="shared" ca="1" si="140"/>
        <v>-11</v>
      </c>
      <c r="J1448" s="14">
        <f t="shared" ca="1" si="137"/>
        <v>6</v>
      </c>
      <c r="K1448" s="12" t="s">
        <v>40</v>
      </c>
      <c r="L1448" s="12">
        <v>113</v>
      </c>
      <c r="M1448" s="12" t="s">
        <v>44</v>
      </c>
      <c r="N1448" s="12">
        <v>307</v>
      </c>
    </row>
    <row r="1449" spans="1:15">
      <c r="A1449" s="12">
        <f t="shared" si="141"/>
        <v>1446</v>
      </c>
      <c r="B1449" s="12" t="s">
        <v>20</v>
      </c>
      <c r="C1449" s="12" t="s">
        <v>315</v>
      </c>
      <c r="D1449" s="12" t="s">
        <v>77</v>
      </c>
      <c r="E1449" s="89">
        <f t="shared" ca="1" si="142"/>
        <v>40951</v>
      </c>
      <c r="F1449" s="11">
        <f>DATE(55,10,1)</f>
        <v>20363</v>
      </c>
      <c r="G1449" s="12">
        <f t="shared" ca="1" si="138"/>
        <v>57</v>
      </c>
      <c r="H1449" s="12">
        <f t="shared" ca="1" si="139"/>
        <v>-8</v>
      </c>
      <c r="I1449" s="13">
        <f t="shared" ca="1" si="140"/>
        <v>11</v>
      </c>
      <c r="J1449" s="14">
        <f t="shared" ca="1" si="137"/>
        <v>56</v>
      </c>
      <c r="K1449" s="12" t="s">
        <v>40</v>
      </c>
      <c r="L1449" s="12">
        <v>114</v>
      </c>
      <c r="M1449" s="12" t="s">
        <v>40</v>
      </c>
      <c r="N1449" s="12">
        <v>308</v>
      </c>
      <c r="O1449" s="90" t="s">
        <v>2748</v>
      </c>
    </row>
    <row r="1450" spans="1:15">
      <c r="A1450" s="12">
        <f t="shared" si="141"/>
        <v>1447</v>
      </c>
      <c r="B1450" s="12" t="s">
        <v>20</v>
      </c>
      <c r="C1450" s="12" t="s">
        <v>113</v>
      </c>
      <c r="D1450" s="12" t="s">
        <v>315</v>
      </c>
      <c r="E1450" s="89">
        <f t="shared" ca="1" si="142"/>
        <v>40951</v>
      </c>
      <c r="F1450" s="11">
        <f>DATE(66,2,2)</f>
        <v>24140</v>
      </c>
      <c r="G1450" s="12">
        <f t="shared" ca="1" si="138"/>
        <v>46</v>
      </c>
      <c r="H1450" s="12">
        <f t="shared" ca="1" si="139"/>
        <v>0</v>
      </c>
      <c r="I1450" s="13">
        <f t="shared" ca="1" si="140"/>
        <v>10</v>
      </c>
      <c r="J1450" s="14">
        <f t="shared" ca="1" si="137"/>
        <v>46</v>
      </c>
      <c r="K1450" s="12" t="s">
        <v>41</v>
      </c>
      <c r="L1450" s="12">
        <v>114</v>
      </c>
      <c r="M1450" s="12" t="s">
        <v>40</v>
      </c>
      <c r="N1450" s="12">
        <v>308</v>
      </c>
    </row>
    <row r="1451" spans="1:15">
      <c r="A1451" s="12">
        <f t="shared" si="141"/>
        <v>1448</v>
      </c>
      <c r="B1451" s="12" t="s">
        <v>20</v>
      </c>
      <c r="C1451" s="12" t="s">
        <v>180</v>
      </c>
      <c r="D1451" s="12" t="s">
        <v>315</v>
      </c>
      <c r="E1451" s="89">
        <f t="shared" ca="1" si="142"/>
        <v>40951</v>
      </c>
      <c r="F1451" s="11">
        <f>DATE(90,5,11)</f>
        <v>33004</v>
      </c>
      <c r="G1451" s="12">
        <f t="shared" ca="1" si="138"/>
        <v>22</v>
      </c>
      <c r="H1451" s="12">
        <f t="shared" ca="1" si="139"/>
        <v>-3</v>
      </c>
      <c r="I1451" s="13">
        <f t="shared" ca="1" si="140"/>
        <v>1</v>
      </c>
      <c r="J1451" s="14">
        <f t="shared" ca="1" si="137"/>
        <v>21</v>
      </c>
      <c r="K1451" s="12" t="s">
        <v>41</v>
      </c>
      <c r="L1451" s="12">
        <v>114</v>
      </c>
      <c r="M1451" s="12" t="s">
        <v>44</v>
      </c>
      <c r="N1451" s="12">
        <v>308</v>
      </c>
    </row>
    <row r="1452" spans="1:15">
      <c r="A1452" s="12">
        <f t="shared" si="141"/>
        <v>1449</v>
      </c>
      <c r="B1452" s="12" t="s">
        <v>20</v>
      </c>
      <c r="C1452" s="12" t="s">
        <v>966</v>
      </c>
      <c r="D1452" s="12" t="s">
        <v>315</v>
      </c>
      <c r="E1452" s="89">
        <f t="shared" ca="1" si="142"/>
        <v>40951</v>
      </c>
      <c r="F1452" s="11">
        <f>DATE(93,9,1)</f>
        <v>34213</v>
      </c>
      <c r="G1452" s="12">
        <f t="shared" ca="1" si="138"/>
        <v>19</v>
      </c>
      <c r="H1452" s="12">
        <f t="shared" ca="1" si="139"/>
        <v>-7</v>
      </c>
      <c r="I1452" s="13">
        <f t="shared" ca="1" si="140"/>
        <v>11</v>
      </c>
      <c r="J1452" s="14">
        <f t="shared" ca="1" si="137"/>
        <v>18</v>
      </c>
      <c r="K1452" s="12" t="s">
        <v>40</v>
      </c>
      <c r="L1452" s="12">
        <v>114</v>
      </c>
      <c r="M1452" s="12" t="s">
        <v>44</v>
      </c>
      <c r="N1452" s="12">
        <v>308</v>
      </c>
    </row>
    <row r="1453" spans="1:15">
      <c r="A1453" s="12">
        <f t="shared" si="141"/>
        <v>1450</v>
      </c>
      <c r="B1453" s="12" t="s">
        <v>20</v>
      </c>
      <c r="C1453" s="12" t="s">
        <v>113</v>
      </c>
      <c r="D1453" s="12" t="s">
        <v>77</v>
      </c>
      <c r="E1453" s="89">
        <f t="shared" ca="1" si="142"/>
        <v>40951</v>
      </c>
      <c r="F1453" s="32"/>
      <c r="G1453" s="12">
        <f t="shared" ca="1" si="138"/>
        <v>112</v>
      </c>
      <c r="H1453" s="12">
        <f t="shared" ca="1" si="139"/>
        <v>1</v>
      </c>
      <c r="I1453" s="13">
        <f t="shared" ca="1" si="140"/>
        <v>12</v>
      </c>
      <c r="J1453" s="14">
        <f t="shared" ca="1" si="137"/>
        <v>112</v>
      </c>
      <c r="K1453" s="12" t="s">
        <v>41</v>
      </c>
      <c r="L1453" s="12">
        <v>114</v>
      </c>
      <c r="M1453" s="12" t="s">
        <v>44</v>
      </c>
      <c r="N1453" s="12">
        <v>308</v>
      </c>
    </row>
    <row r="1454" spans="1:15">
      <c r="A1454" s="12">
        <f t="shared" si="141"/>
        <v>1451</v>
      </c>
      <c r="B1454" s="12" t="s">
        <v>20</v>
      </c>
      <c r="C1454" s="12" t="s">
        <v>967</v>
      </c>
      <c r="D1454" s="12" t="s">
        <v>969</v>
      </c>
      <c r="E1454" s="89">
        <f t="shared" ca="1" si="142"/>
        <v>40951</v>
      </c>
      <c r="F1454" s="11">
        <f>DATE(42,5,12)</f>
        <v>15473</v>
      </c>
      <c r="G1454" s="12">
        <f t="shared" ca="1" si="138"/>
        <v>70</v>
      </c>
      <c r="H1454" s="12">
        <f t="shared" ca="1" si="139"/>
        <v>-3</v>
      </c>
      <c r="I1454" s="13">
        <f t="shared" ca="1" si="140"/>
        <v>0</v>
      </c>
      <c r="J1454" s="14">
        <f t="shared" ca="1" si="137"/>
        <v>69</v>
      </c>
      <c r="K1454" s="12" t="s">
        <v>40</v>
      </c>
      <c r="L1454" s="12">
        <v>114</v>
      </c>
      <c r="M1454" s="12" t="s">
        <v>40</v>
      </c>
      <c r="N1454" s="12">
        <v>309</v>
      </c>
      <c r="O1454" s="90" t="s">
        <v>2748</v>
      </c>
    </row>
    <row r="1455" spans="1:15">
      <c r="A1455" s="12">
        <f t="shared" si="141"/>
        <v>1452</v>
      </c>
      <c r="B1455" s="12" t="s">
        <v>20</v>
      </c>
      <c r="C1455" s="12" t="s">
        <v>552</v>
      </c>
      <c r="D1455" s="12" t="s">
        <v>967</v>
      </c>
      <c r="E1455" s="89">
        <f t="shared" ca="1" si="142"/>
        <v>40951</v>
      </c>
      <c r="F1455" s="11">
        <f>DATE(47,1,30)</f>
        <v>17197</v>
      </c>
      <c r="G1455" s="12">
        <f t="shared" ca="1" si="138"/>
        <v>65</v>
      </c>
      <c r="H1455" s="12">
        <f t="shared" ca="1" si="139"/>
        <v>1</v>
      </c>
      <c r="I1455" s="13">
        <f t="shared" ca="1" si="140"/>
        <v>-18</v>
      </c>
      <c r="J1455" s="14">
        <f t="shared" ca="1" si="137"/>
        <v>65</v>
      </c>
      <c r="K1455" s="12" t="s">
        <v>41</v>
      </c>
      <c r="L1455" s="12">
        <v>114</v>
      </c>
      <c r="M1455" s="12" t="s">
        <v>40</v>
      </c>
      <c r="N1455" s="12">
        <v>309</v>
      </c>
    </row>
    <row r="1456" spans="1:15">
      <c r="A1456" s="12">
        <f t="shared" si="141"/>
        <v>1453</v>
      </c>
      <c r="B1456" s="12" t="s">
        <v>20</v>
      </c>
      <c r="C1456" s="12" t="s">
        <v>968</v>
      </c>
      <c r="D1456" s="12" t="s">
        <v>969</v>
      </c>
      <c r="E1456" s="89">
        <f t="shared" ca="1" si="142"/>
        <v>40951</v>
      </c>
      <c r="F1456" s="11">
        <f>DATE(23,10,23)</f>
        <v>8697</v>
      </c>
      <c r="G1456" s="12">
        <f t="shared" ca="1" si="138"/>
        <v>89</v>
      </c>
      <c r="H1456" s="12">
        <f t="shared" ca="1" si="139"/>
        <v>-8</v>
      </c>
      <c r="I1456" s="13">
        <f t="shared" ca="1" si="140"/>
        <v>-11</v>
      </c>
      <c r="J1456" s="14">
        <f t="shared" ca="1" si="137"/>
        <v>88</v>
      </c>
      <c r="K1456" s="12" t="s">
        <v>41</v>
      </c>
      <c r="L1456" s="12">
        <v>114</v>
      </c>
      <c r="M1456" s="12" t="s">
        <v>40</v>
      </c>
      <c r="N1456" s="12">
        <v>309</v>
      </c>
    </row>
    <row r="1457" spans="1:15">
      <c r="A1457" s="12">
        <f t="shared" si="141"/>
        <v>1454</v>
      </c>
      <c r="B1457" s="12" t="s">
        <v>20</v>
      </c>
      <c r="C1457" s="12" t="s">
        <v>970</v>
      </c>
      <c r="D1457" s="12" t="s">
        <v>967</v>
      </c>
      <c r="E1457" s="89">
        <f t="shared" ca="1" si="142"/>
        <v>40951</v>
      </c>
      <c r="F1457" s="11">
        <f>DATE(71,2,22)</f>
        <v>25986</v>
      </c>
      <c r="G1457" s="12">
        <f t="shared" ca="1" si="138"/>
        <v>41</v>
      </c>
      <c r="H1457" s="12">
        <f t="shared" ca="1" si="139"/>
        <v>0</v>
      </c>
      <c r="I1457" s="13">
        <f t="shared" ca="1" si="140"/>
        <v>-10</v>
      </c>
      <c r="J1457" s="14">
        <f t="shared" ca="1" si="137"/>
        <v>40</v>
      </c>
      <c r="K1457" s="12" t="s">
        <v>40</v>
      </c>
      <c r="L1457" s="12">
        <v>114</v>
      </c>
      <c r="M1457" s="12" t="s">
        <v>40</v>
      </c>
      <c r="N1457" s="12">
        <v>309</v>
      </c>
    </row>
    <row r="1458" spans="1:15">
      <c r="A1458" s="12">
        <f t="shared" si="141"/>
        <v>1455</v>
      </c>
      <c r="B1458" s="12" t="s">
        <v>20</v>
      </c>
      <c r="C1458" s="12" t="s">
        <v>779</v>
      </c>
      <c r="D1458" s="12" t="s">
        <v>970</v>
      </c>
      <c r="E1458" s="89">
        <f t="shared" ca="1" si="142"/>
        <v>40951</v>
      </c>
      <c r="F1458" s="11">
        <f>DATE(74,8,9)</f>
        <v>27250</v>
      </c>
      <c r="G1458" s="12">
        <f t="shared" ca="1" si="138"/>
        <v>38</v>
      </c>
      <c r="H1458" s="12">
        <f t="shared" ca="1" si="139"/>
        <v>-6</v>
      </c>
      <c r="I1458" s="13">
        <f t="shared" ca="1" si="140"/>
        <v>3</v>
      </c>
      <c r="J1458" s="14">
        <f t="shared" ca="1" si="137"/>
        <v>37</v>
      </c>
      <c r="K1458" s="12" t="s">
        <v>41</v>
      </c>
      <c r="L1458" s="12">
        <v>114</v>
      </c>
      <c r="M1458" s="12" t="s">
        <v>40</v>
      </c>
      <c r="N1458" s="12">
        <v>309</v>
      </c>
    </row>
    <row r="1459" spans="1:15">
      <c r="A1459" s="12">
        <f t="shared" si="141"/>
        <v>1456</v>
      </c>
      <c r="B1459" s="12" t="s">
        <v>20</v>
      </c>
      <c r="C1459" s="12" t="s">
        <v>971</v>
      </c>
      <c r="D1459" s="12" t="s">
        <v>970</v>
      </c>
      <c r="E1459" s="89">
        <f t="shared" ca="1" si="142"/>
        <v>40951</v>
      </c>
      <c r="F1459" s="11">
        <f>DATE(2001,2,22)</f>
        <v>36944</v>
      </c>
      <c r="G1459" s="12">
        <f t="shared" ca="1" si="138"/>
        <v>11</v>
      </c>
      <c r="H1459" s="12">
        <f t="shared" ca="1" si="139"/>
        <v>0</v>
      </c>
      <c r="I1459" s="13">
        <f t="shared" ca="1" si="140"/>
        <v>-10</v>
      </c>
      <c r="J1459" s="14">
        <f t="shared" ca="1" si="137"/>
        <v>10</v>
      </c>
      <c r="K1459" s="12" t="s">
        <v>40</v>
      </c>
      <c r="L1459" s="12">
        <v>114</v>
      </c>
      <c r="M1459" s="12" t="s">
        <v>44</v>
      </c>
      <c r="N1459" s="12">
        <v>309</v>
      </c>
    </row>
    <row r="1460" spans="1:15">
      <c r="A1460" s="12">
        <f t="shared" si="141"/>
        <v>1457</v>
      </c>
      <c r="B1460" s="12" t="s">
        <v>20</v>
      </c>
      <c r="C1460" s="12" t="s">
        <v>972</v>
      </c>
      <c r="D1460" s="12" t="s">
        <v>973</v>
      </c>
      <c r="E1460" s="89">
        <f t="shared" ca="1" si="142"/>
        <v>40951</v>
      </c>
      <c r="F1460" s="11">
        <f>DATE(59,12,28)</f>
        <v>21912</v>
      </c>
      <c r="G1460" s="12">
        <f t="shared" ca="1" si="138"/>
        <v>53</v>
      </c>
      <c r="H1460" s="12">
        <f t="shared" ca="1" si="139"/>
        <v>-10</v>
      </c>
      <c r="I1460" s="13">
        <f t="shared" ca="1" si="140"/>
        <v>-16</v>
      </c>
      <c r="J1460" s="14">
        <f t="shared" ca="1" si="137"/>
        <v>52</v>
      </c>
      <c r="K1460" s="12" t="s">
        <v>40</v>
      </c>
      <c r="L1460" s="12">
        <v>114</v>
      </c>
      <c r="M1460" s="12" t="s">
        <v>40</v>
      </c>
      <c r="N1460" s="12">
        <v>310</v>
      </c>
      <c r="O1460" s="90" t="s">
        <v>2748</v>
      </c>
    </row>
    <row r="1461" spans="1:15">
      <c r="A1461" s="12">
        <f t="shared" si="141"/>
        <v>1458</v>
      </c>
      <c r="B1461" s="12" t="s">
        <v>20</v>
      </c>
      <c r="C1461" s="12" t="s">
        <v>305</v>
      </c>
      <c r="D1461" s="12" t="s">
        <v>973</v>
      </c>
      <c r="E1461" s="89">
        <f t="shared" ca="1" si="142"/>
        <v>40951</v>
      </c>
      <c r="F1461" s="11">
        <f>DATE(82,6,280)</f>
        <v>30382</v>
      </c>
      <c r="G1461" s="12">
        <f t="shared" ca="1" si="138"/>
        <v>29</v>
      </c>
      <c r="H1461" s="12">
        <f t="shared" ca="1" si="139"/>
        <v>-1</v>
      </c>
      <c r="I1461" s="13">
        <f t="shared" ca="1" si="140"/>
        <v>5</v>
      </c>
      <c r="J1461" s="14">
        <f t="shared" ca="1" si="137"/>
        <v>28</v>
      </c>
      <c r="K1461" s="12" t="s">
        <v>40</v>
      </c>
      <c r="L1461" s="12">
        <v>114</v>
      </c>
      <c r="M1461" s="12" t="s">
        <v>44</v>
      </c>
      <c r="N1461" s="12">
        <v>310</v>
      </c>
    </row>
    <row r="1462" spans="1:15">
      <c r="A1462" s="12">
        <f t="shared" si="141"/>
        <v>1459</v>
      </c>
      <c r="B1462" s="12" t="s">
        <v>20</v>
      </c>
      <c r="C1462" s="12" t="s">
        <v>974</v>
      </c>
      <c r="D1462" s="12" t="s">
        <v>973</v>
      </c>
      <c r="E1462" s="89">
        <f t="shared" ca="1" si="142"/>
        <v>40951</v>
      </c>
      <c r="F1462" s="11">
        <f>DATE(84,11,6)</f>
        <v>30992</v>
      </c>
      <c r="G1462" s="12">
        <f t="shared" ca="1" si="138"/>
        <v>28</v>
      </c>
      <c r="H1462" s="12">
        <f t="shared" ca="1" si="139"/>
        <v>-9</v>
      </c>
      <c r="I1462" s="13">
        <f t="shared" ca="1" si="140"/>
        <v>6</v>
      </c>
      <c r="J1462" s="14">
        <f t="shared" ca="1" si="137"/>
        <v>27</v>
      </c>
      <c r="K1462" s="12" t="s">
        <v>40</v>
      </c>
      <c r="L1462" s="12">
        <v>114</v>
      </c>
      <c r="M1462" s="12" t="s">
        <v>44</v>
      </c>
      <c r="N1462" s="12">
        <v>310</v>
      </c>
    </row>
    <row r="1463" spans="1:15">
      <c r="A1463" s="12">
        <f t="shared" si="141"/>
        <v>1460</v>
      </c>
      <c r="B1463" s="12" t="s">
        <v>20</v>
      </c>
      <c r="C1463" s="12" t="s">
        <v>234</v>
      </c>
      <c r="D1463" s="12" t="s">
        <v>973</v>
      </c>
      <c r="E1463" s="89">
        <f t="shared" ca="1" si="142"/>
        <v>40951</v>
      </c>
      <c r="F1463" s="11">
        <f>DATE(92,12,8)</f>
        <v>33946</v>
      </c>
      <c r="G1463" s="12">
        <f t="shared" ca="1" si="138"/>
        <v>20</v>
      </c>
      <c r="H1463" s="12">
        <f t="shared" ca="1" si="139"/>
        <v>-10</v>
      </c>
      <c r="I1463" s="13">
        <f t="shared" ca="1" si="140"/>
        <v>4</v>
      </c>
      <c r="J1463" s="14">
        <f t="shared" ca="1" si="137"/>
        <v>19</v>
      </c>
      <c r="K1463" s="12" t="s">
        <v>40</v>
      </c>
      <c r="L1463" s="12">
        <v>114</v>
      </c>
      <c r="M1463" s="12" t="s">
        <v>44</v>
      </c>
      <c r="N1463" s="12">
        <v>310</v>
      </c>
    </row>
    <row r="1464" spans="1:15">
      <c r="A1464" s="12">
        <f t="shared" si="141"/>
        <v>1461</v>
      </c>
      <c r="B1464" s="12" t="s">
        <v>20</v>
      </c>
      <c r="C1464" s="12" t="s">
        <v>480</v>
      </c>
      <c r="D1464" s="12" t="s">
        <v>70</v>
      </c>
      <c r="E1464" s="89">
        <f t="shared" ca="1" si="142"/>
        <v>40951</v>
      </c>
      <c r="F1464" s="32"/>
      <c r="G1464" s="12">
        <f t="shared" ca="1" si="138"/>
        <v>112</v>
      </c>
      <c r="H1464" s="12">
        <f t="shared" ca="1" si="139"/>
        <v>1</v>
      </c>
      <c r="I1464" s="13">
        <f t="shared" ca="1" si="140"/>
        <v>12</v>
      </c>
      <c r="J1464" s="14">
        <f t="shared" ca="1" si="137"/>
        <v>112</v>
      </c>
      <c r="K1464" s="12" t="s">
        <v>41</v>
      </c>
      <c r="L1464" s="12">
        <v>115</v>
      </c>
      <c r="M1464" s="12" t="s">
        <v>40</v>
      </c>
      <c r="N1464" s="12">
        <v>311</v>
      </c>
      <c r="O1464" s="90" t="s">
        <v>2748</v>
      </c>
    </row>
    <row r="1465" spans="1:15">
      <c r="A1465" s="12">
        <f t="shared" si="141"/>
        <v>1462</v>
      </c>
      <c r="B1465" s="12" t="s">
        <v>20</v>
      </c>
      <c r="C1465" s="12" t="s">
        <v>788</v>
      </c>
      <c r="D1465" s="12" t="s">
        <v>70</v>
      </c>
      <c r="E1465" s="89">
        <f t="shared" ca="1" si="142"/>
        <v>40951</v>
      </c>
      <c r="F1465" s="11">
        <f>DATE(61,1,20)</f>
        <v>22301</v>
      </c>
      <c r="G1465" s="12">
        <f t="shared" ca="1" si="138"/>
        <v>51</v>
      </c>
      <c r="H1465" s="12">
        <f t="shared" ca="1" si="139"/>
        <v>1</v>
      </c>
      <c r="I1465" s="13">
        <f t="shared" ca="1" si="140"/>
        <v>-8</v>
      </c>
      <c r="J1465" s="14">
        <f t="shared" ca="1" si="137"/>
        <v>51</v>
      </c>
      <c r="K1465" s="12" t="s">
        <v>40</v>
      </c>
      <c r="L1465" s="12">
        <v>115</v>
      </c>
      <c r="M1465" s="12" t="s">
        <v>40</v>
      </c>
      <c r="N1465" s="12">
        <v>311</v>
      </c>
    </row>
    <row r="1466" spans="1:15">
      <c r="A1466" s="12">
        <f t="shared" si="141"/>
        <v>1463</v>
      </c>
      <c r="B1466" s="12" t="s">
        <v>20</v>
      </c>
      <c r="C1466" s="12" t="s">
        <v>810</v>
      </c>
      <c r="D1466" s="12" t="s">
        <v>892</v>
      </c>
      <c r="E1466" s="89">
        <f t="shared" ca="1" si="142"/>
        <v>40951</v>
      </c>
      <c r="F1466" s="11">
        <f>DATE(66,2,26)</f>
        <v>24164</v>
      </c>
      <c r="G1466" s="12">
        <f t="shared" ca="1" si="138"/>
        <v>46</v>
      </c>
      <c r="H1466" s="12">
        <f t="shared" ca="1" si="139"/>
        <v>0</v>
      </c>
      <c r="I1466" s="13">
        <f t="shared" ca="1" si="140"/>
        <v>-14</v>
      </c>
      <c r="J1466" s="14">
        <f t="shared" ca="1" si="137"/>
        <v>45</v>
      </c>
      <c r="K1466" s="12" t="s">
        <v>41</v>
      </c>
      <c r="L1466" s="12">
        <v>115</v>
      </c>
      <c r="M1466" s="12" t="s">
        <v>40</v>
      </c>
      <c r="N1466" s="12">
        <v>311</v>
      </c>
    </row>
    <row r="1467" spans="1:15">
      <c r="A1467" s="12">
        <f t="shared" si="141"/>
        <v>1464</v>
      </c>
      <c r="B1467" s="12" t="s">
        <v>20</v>
      </c>
      <c r="C1467" s="12" t="s">
        <v>392</v>
      </c>
      <c r="D1467" s="12" t="s">
        <v>892</v>
      </c>
      <c r="E1467" s="89">
        <f t="shared" ca="1" si="142"/>
        <v>40951</v>
      </c>
      <c r="F1467" s="11">
        <f>DATE(2004,12,210)</f>
        <v>38531</v>
      </c>
      <c r="G1467" s="12">
        <f t="shared" ca="1" si="138"/>
        <v>7</v>
      </c>
      <c r="H1467" s="12">
        <f t="shared" ca="1" si="139"/>
        <v>-4</v>
      </c>
      <c r="I1467" s="13">
        <f t="shared" ca="1" si="140"/>
        <v>-16</v>
      </c>
      <c r="J1467" s="14">
        <f t="shared" ca="1" si="137"/>
        <v>6</v>
      </c>
      <c r="K1467" s="12" t="s">
        <v>40</v>
      </c>
      <c r="L1467" s="12">
        <v>115</v>
      </c>
      <c r="M1467" s="12" t="s">
        <v>44</v>
      </c>
      <c r="N1467" s="12">
        <v>311</v>
      </c>
    </row>
    <row r="1468" spans="1:15">
      <c r="A1468" s="12">
        <f t="shared" si="141"/>
        <v>1465</v>
      </c>
      <c r="B1468" s="12" t="s">
        <v>20</v>
      </c>
      <c r="C1468" s="12" t="s">
        <v>975</v>
      </c>
      <c r="D1468" s="12" t="s">
        <v>892</v>
      </c>
      <c r="E1468" s="89">
        <f t="shared" ca="1" si="142"/>
        <v>40951</v>
      </c>
      <c r="F1468" s="11">
        <f>DATE(63,6,12)</f>
        <v>23174</v>
      </c>
      <c r="G1468" s="12">
        <f t="shared" ca="1" si="138"/>
        <v>49</v>
      </c>
      <c r="H1468" s="12">
        <f t="shared" ca="1" si="139"/>
        <v>-4</v>
      </c>
      <c r="I1468" s="13">
        <f t="shared" ca="1" si="140"/>
        <v>0</v>
      </c>
      <c r="J1468" s="14">
        <f t="shared" ca="1" si="137"/>
        <v>48</v>
      </c>
      <c r="K1468" s="12" t="s">
        <v>40</v>
      </c>
      <c r="L1468" s="12">
        <v>115</v>
      </c>
      <c r="M1468" s="12" t="s">
        <v>40</v>
      </c>
      <c r="N1468" s="12">
        <v>311</v>
      </c>
    </row>
    <row r="1469" spans="1:15">
      <c r="A1469" s="12">
        <f t="shared" si="141"/>
        <v>1466</v>
      </c>
      <c r="B1469" s="12" t="s">
        <v>20</v>
      </c>
      <c r="C1469" s="12" t="s">
        <v>976</v>
      </c>
      <c r="D1469" s="12" t="s">
        <v>975</v>
      </c>
      <c r="E1469" s="89">
        <f t="shared" ca="1" si="142"/>
        <v>40951</v>
      </c>
      <c r="F1469" s="11">
        <f>DATE(71,5,1)</f>
        <v>26054</v>
      </c>
      <c r="G1469" s="12">
        <f t="shared" ca="1" si="138"/>
        <v>41</v>
      </c>
      <c r="H1469" s="12">
        <f t="shared" ca="1" si="139"/>
        <v>-3</v>
      </c>
      <c r="I1469" s="13">
        <f t="shared" ca="1" si="140"/>
        <v>11</v>
      </c>
      <c r="J1469" s="14">
        <f t="shared" ca="1" si="137"/>
        <v>40</v>
      </c>
      <c r="K1469" s="12" t="s">
        <v>41</v>
      </c>
      <c r="L1469" s="12">
        <v>115</v>
      </c>
      <c r="M1469" s="12" t="s">
        <v>40</v>
      </c>
      <c r="N1469" s="12">
        <v>311</v>
      </c>
    </row>
    <row r="1470" spans="1:15">
      <c r="A1470" s="12">
        <f t="shared" si="141"/>
        <v>1467</v>
      </c>
      <c r="B1470" s="12" t="s">
        <v>20</v>
      </c>
      <c r="C1470" s="12" t="s">
        <v>977</v>
      </c>
      <c r="D1470" s="12" t="s">
        <v>975</v>
      </c>
      <c r="E1470" s="89">
        <f t="shared" ca="1" si="142"/>
        <v>40951</v>
      </c>
      <c r="F1470" s="11">
        <f>DATE(90,8,4)</f>
        <v>33089</v>
      </c>
      <c r="G1470" s="12">
        <f t="shared" ca="1" si="138"/>
        <v>22</v>
      </c>
      <c r="H1470" s="12">
        <f t="shared" ca="1" si="139"/>
        <v>-6</v>
      </c>
      <c r="I1470" s="13">
        <f t="shared" ca="1" si="140"/>
        <v>8</v>
      </c>
      <c r="J1470" s="14">
        <f t="shared" ca="1" si="137"/>
        <v>21</v>
      </c>
      <c r="K1470" s="12" t="s">
        <v>40</v>
      </c>
      <c r="L1470" s="12">
        <v>115</v>
      </c>
      <c r="M1470" s="12" t="s">
        <v>44</v>
      </c>
      <c r="N1470" s="12">
        <v>311</v>
      </c>
    </row>
    <row r="1471" spans="1:15">
      <c r="A1471" s="12">
        <f t="shared" si="141"/>
        <v>1468</v>
      </c>
      <c r="B1471" s="12" t="s">
        <v>20</v>
      </c>
      <c r="C1471" s="12" t="s">
        <v>978</v>
      </c>
      <c r="D1471" s="12" t="s">
        <v>975</v>
      </c>
      <c r="E1471" s="89">
        <f t="shared" ca="1" si="142"/>
        <v>40951</v>
      </c>
      <c r="F1471" s="11">
        <f>DATE(93,2,27)</f>
        <v>34027</v>
      </c>
      <c r="G1471" s="12">
        <f t="shared" ca="1" si="138"/>
        <v>19</v>
      </c>
      <c r="H1471" s="12">
        <f t="shared" ca="1" si="139"/>
        <v>0</v>
      </c>
      <c r="I1471" s="13">
        <f t="shared" ca="1" si="140"/>
        <v>-15</v>
      </c>
      <c r="J1471" s="14">
        <f t="shared" ca="1" si="137"/>
        <v>18</v>
      </c>
      <c r="K1471" s="12" t="s">
        <v>40</v>
      </c>
      <c r="L1471" s="12">
        <v>115</v>
      </c>
      <c r="M1471" s="12" t="s">
        <v>44</v>
      </c>
      <c r="N1471" s="12">
        <v>311</v>
      </c>
    </row>
    <row r="1472" spans="1:15">
      <c r="A1472" s="12">
        <f t="shared" si="141"/>
        <v>1469</v>
      </c>
      <c r="B1472" s="12" t="s">
        <v>20</v>
      </c>
      <c r="C1472" s="12" t="s">
        <v>979</v>
      </c>
      <c r="D1472" s="12" t="s">
        <v>975</v>
      </c>
      <c r="E1472" s="89">
        <f t="shared" ca="1" si="142"/>
        <v>40951</v>
      </c>
      <c r="F1472" s="11">
        <f>DATE(96,12,18)</f>
        <v>35417</v>
      </c>
      <c r="G1472" s="12">
        <f t="shared" ca="1" si="138"/>
        <v>16</v>
      </c>
      <c r="H1472" s="12">
        <f t="shared" ca="1" si="139"/>
        <v>-10</v>
      </c>
      <c r="I1472" s="13">
        <f t="shared" ca="1" si="140"/>
        <v>-6</v>
      </c>
      <c r="J1472" s="14">
        <f t="shared" ca="1" si="137"/>
        <v>15</v>
      </c>
      <c r="K1472" s="12" t="s">
        <v>41</v>
      </c>
      <c r="L1472" s="12">
        <v>115</v>
      </c>
      <c r="M1472" s="12" t="s">
        <v>44</v>
      </c>
      <c r="N1472" s="12">
        <v>311</v>
      </c>
    </row>
    <row r="1473" spans="1:15">
      <c r="A1473" s="12">
        <f t="shared" si="141"/>
        <v>1470</v>
      </c>
      <c r="B1473" s="12" t="s">
        <v>20</v>
      </c>
      <c r="C1473" s="12" t="s">
        <v>193</v>
      </c>
      <c r="D1473" s="12" t="s">
        <v>316</v>
      </c>
      <c r="E1473" s="89">
        <f t="shared" ca="1" si="142"/>
        <v>40951</v>
      </c>
      <c r="F1473" s="11">
        <f>DATE(48,7,24)</f>
        <v>17738</v>
      </c>
      <c r="G1473" s="12">
        <f t="shared" ca="1" si="138"/>
        <v>64</v>
      </c>
      <c r="H1473" s="12">
        <f t="shared" ca="1" si="139"/>
        <v>-5</v>
      </c>
      <c r="I1473" s="13">
        <f t="shared" ca="1" si="140"/>
        <v>-12</v>
      </c>
      <c r="J1473" s="14">
        <f t="shared" ca="1" si="137"/>
        <v>63</v>
      </c>
      <c r="K1473" s="12" t="s">
        <v>40</v>
      </c>
      <c r="L1473" s="12">
        <v>115</v>
      </c>
      <c r="M1473" s="12" t="s">
        <v>40</v>
      </c>
      <c r="N1473" s="12">
        <v>312</v>
      </c>
      <c r="O1473" s="90" t="s">
        <v>2748</v>
      </c>
    </row>
    <row r="1474" spans="1:15">
      <c r="A1474" s="12">
        <f t="shared" si="141"/>
        <v>1471</v>
      </c>
      <c r="B1474" s="12" t="s">
        <v>20</v>
      </c>
      <c r="C1474" s="12" t="s">
        <v>980</v>
      </c>
      <c r="D1474" s="12" t="s">
        <v>193</v>
      </c>
      <c r="E1474" s="89">
        <f t="shared" ca="1" si="142"/>
        <v>40951</v>
      </c>
      <c r="F1474" s="11">
        <f>DATE(51,12,24)</f>
        <v>18986</v>
      </c>
      <c r="G1474" s="12">
        <f t="shared" ca="1" si="138"/>
        <v>61</v>
      </c>
      <c r="H1474" s="12">
        <f t="shared" ca="1" si="139"/>
        <v>-10</v>
      </c>
      <c r="I1474" s="13">
        <f t="shared" ca="1" si="140"/>
        <v>-12</v>
      </c>
      <c r="J1474" s="14">
        <f t="shared" ca="1" si="137"/>
        <v>60</v>
      </c>
      <c r="K1474" s="12" t="s">
        <v>41</v>
      </c>
      <c r="L1474" s="12">
        <v>115</v>
      </c>
      <c r="M1474" s="12" t="s">
        <v>40</v>
      </c>
      <c r="N1474" s="12">
        <v>312</v>
      </c>
    </row>
    <row r="1475" spans="1:15">
      <c r="A1475" s="12">
        <f t="shared" si="141"/>
        <v>1472</v>
      </c>
      <c r="B1475" s="12" t="s">
        <v>20</v>
      </c>
      <c r="C1475" s="12" t="s">
        <v>981</v>
      </c>
      <c r="D1475" s="12" t="s">
        <v>193</v>
      </c>
      <c r="E1475" s="89">
        <f t="shared" ca="1" si="142"/>
        <v>40951</v>
      </c>
      <c r="F1475" s="11">
        <f>DATE(83,11,1)</f>
        <v>30621</v>
      </c>
      <c r="G1475" s="12">
        <f t="shared" ca="1" si="138"/>
        <v>29</v>
      </c>
      <c r="H1475" s="12">
        <f t="shared" ca="1" si="139"/>
        <v>-9</v>
      </c>
      <c r="I1475" s="13">
        <f t="shared" ca="1" si="140"/>
        <v>11</v>
      </c>
      <c r="J1475" s="14">
        <f t="shared" ca="1" si="137"/>
        <v>28</v>
      </c>
      <c r="K1475" s="12" t="s">
        <v>41</v>
      </c>
      <c r="L1475" s="12">
        <v>115</v>
      </c>
      <c r="M1475" s="12" t="s">
        <v>44</v>
      </c>
      <c r="N1475" s="12">
        <v>312</v>
      </c>
    </row>
    <row r="1476" spans="1:15">
      <c r="A1476" s="12">
        <f t="shared" si="141"/>
        <v>1473</v>
      </c>
      <c r="B1476" s="12" t="s">
        <v>20</v>
      </c>
      <c r="C1476" s="12" t="s">
        <v>885</v>
      </c>
      <c r="D1476" s="12" t="s">
        <v>417</v>
      </c>
      <c r="E1476" s="89">
        <f t="shared" ca="1" si="142"/>
        <v>40951</v>
      </c>
      <c r="F1476" s="32"/>
      <c r="G1476" s="12">
        <f t="shared" ca="1" si="138"/>
        <v>112</v>
      </c>
      <c r="H1476" s="12">
        <f t="shared" ca="1" si="139"/>
        <v>1</v>
      </c>
      <c r="I1476" s="13">
        <f t="shared" ca="1" si="140"/>
        <v>12</v>
      </c>
      <c r="J1476" s="14">
        <f t="shared" ref="J1476:J1539" ca="1" si="143">IF(H1476&lt;0,G1476-1,IF(H1476&gt;0,G1476,IF(I1476&lt;0,G1476-1,G1476)))</f>
        <v>112</v>
      </c>
      <c r="K1476" s="12" t="s">
        <v>40</v>
      </c>
      <c r="L1476" s="12">
        <v>116</v>
      </c>
      <c r="M1476" s="12" t="s">
        <v>40</v>
      </c>
      <c r="N1476" s="12">
        <v>313</v>
      </c>
      <c r="O1476" s="90" t="s">
        <v>2748</v>
      </c>
    </row>
    <row r="1477" spans="1:15">
      <c r="A1477" s="12">
        <f t="shared" si="141"/>
        <v>1474</v>
      </c>
      <c r="B1477" s="12" t="s">
        <v>20</v>
      </c>
      <c r="C1477" s="12" t="s">
        <v>439</v>
      </c>
      <c r="D1477" s="12" t="s">
        <v>885</v>
      </c>
      <c r="E1477" s="89">
        <f t="shared" ca="1" si="142"/>
        <v>40951</v>
      </c>
      <c r="F1477" s="11">
        <f>DATE(60,10,30)</f>
        <v>22219</v>
      </c>
      <c r="G1477" s="12">
        <f t="shared" ca="1" si="138"/>
        <v>52</v>
      </c>
      <c r="H1477" s="12">
        <f t="shared" ca="1" si="139"/>
        <v>-8</v>
      </c>
      <c r="I1477" s="13">
        <f t="shared" ca="1" si="140"/>
        <v>-18</v>
      </c>
      <c r="J1477" s="14">
        <f t="shared" ca="1" si="143"/>
        <v>51</v>
      </c>
      <c r="K1477" s="12" t="s">
        <v>40</v>
      </c>
      <c r="L1477" s="12">
        <v>116</v>
      </c>
      <c r="M1477" s="12" t="s">
        <v>40</v>
      </c>
      <c r="N1477" s="12">
        <v>313</v>
      </c>
    </row>
    <row r="1478" spans="1:15">
      <c r="A1478" s="12">
        <f t="shared" si="141"/>
        <v>1475</v>
      </c>
      <c r="B1478" s="12" t="s">
        <v>20</v>
      </c>
      <c r="C1478" s="12" t="s">
        <v>62</v>
      </c>
      <c r="D1478" s="12" t="s">
        <v>439</v>
      </c>
      <c r="E1478" s="89">
        <f t="shared" ca="1" si="142"/>
        <v>40951</v>
      </c>
      <c r="F1478" s="11">
        <f>DATE(65,4,28)</f>
        <v>23860</v>
      </c>
      <c r="G1478" s="12">
        <f t="shared" ca="1" si="138"/>
        <v>47</v>
      </c>
      <c r="H1478" s="12">
        <f t="shared" ca="1" si="139"/>
        <v>-2</v>
      </c>
      <c r="I1478" s="13">
        <f t="shared" ca="1" si="140"/>
        <v>-16</v>
      </c>
      <c r="J1478" s="14">
        <f t="shared" ca="1" si="143"/>
        <v>46</v>
      </c>
      <c r="K1478" s="12" t="s">
        <v>41</v>
      </c>
      <c r="L1478" s="12">
        <v>116</v>
      </c>
      <c r="M1478" s="12" t="s">
        <v>40</v>
      </c>
      <c r="N1478" s="12">
        <v>313</v>
      </c>
    </row>
    <row r="1479" spans="1:15">
      <c r="A1479" s="12">
        <f t="shared" si="141"/>
        <v>1476</v>
      </c>
      <c r="B1479" s="12" t="s">
        <v>20</v>
      </c>
      <c r="C1479" s="12" t="s">
        <v>125</v>
      </c>
      <c r="D1479" s="12" t="s">
        <v>439</v>
      </c>
      <c r="E1479" s="89">
        <f t="shared" ca="1" si="142"/>
        <v>40951</v>
      </c>
      <c r="F1479" s="11">
        <f>DATE(2001,11,16)</f>
        <v>37211</v>
      </c>
      <c r="G1479" s="12">
        <f t="shared" ca="1" si="138"/>
        <v>11</v>
      </c>
      <c r="H1479" s="12">
        <f t="shared" ca="1" si="139"/>
        <v>-9</v>
      </c>
      <c r="I1479" s="13">
        <f t="shared" ca="1" si="140"/>
        <v>-4</v>
      </c>
      <c r="J1479" s="14">
        <f t="shared" ca="1" si="143"/>
        <v>10</v>
      </c>
      <c r="K1479" s="12" t="s">
        <v>40</v>
      </c>
      <c r="L1479" s="12">
        <v>116</v>
      </c>
      <c r="M1479" s="12" t="s">
        <v>44</v>
      </c>
      <c r="N1479" s="12">
        <v>313</v>
      </c>
    </row>
    <row r="1480" spans="1:15">
      <c r="A1480" s="12">
        <f t="shared" si="141"/>
        <v>1477</v>
      </c>
      <c r="B1480" s="12" t="s">
        <v>20</v>
      </c>
      <c r="C1480" s="12" t="s">
        <v>142</v>
      </c>
      <c r="D1480" s="12" t="s">
        <v>885</v>
      </c>
      <c r="E1480" s="89">
        <f t="shared" ca="1" si="142"/>
        <v>40951</v>
      </c>
      <c r="F1480" s="11">
        <f>DATE(64,11,9)</f>
        <v>23690</v>
      </c>
      <c r="G1480" s="12">
        <f t="shared" ca="1" si="138"/>
        <v>48</v>
      </c>
      <c r="H1480" s="12">
        <f t="shared" ca="1" si="139"/>
        <v>-9</v>
      </c>
      <c r="I1480" s="13">
        <f t="shared" ca="1" si="140"/>
        <v>3</v>
      </c>
      <c r="J1480" s="14">
        <f t="shared" ca="1" si="143"/>
        <v>47</v>
      </c>
      <c r="K1480" s="12" t="s">
        <v>40</v>
      </c>
      <c r="L1480" s="12">
        <v>116</v>
      </c>
      <c r="M1480" s="12" t="s">
        <v>40</v>
      </c>
      <c r="N1480" s="12">
        <v>313</v>
      </c>
    </row>
    <row r="1481" spans="1:15">
      <c r="A1481" s="12">
        <f t="shared" si="141"/>
        <v>1478</v>
      </c>
      <c r="B1481" s="12" t="s">
        <v>20</v>
      </c>
      <c r="C1481" s="12" t="s">
        <v>175</v>
      </c>
      <c r="D1481" s="12" t="s">
        <v>142</v>
      </c>
      <c r="E1481" s="89">
        <f t="shared" ca="1" si="142"/>
        <v>40951</v>
      </c>
      <c r="F1481" s="11">
        <f>DATE(73,3,16)</f>
        <v>26739</v>
      </c>
      <c r="G1481" s="12">
        <f t="shared" ca="1" si="138"/>
        <v>39</v>
      </c>
      <c r="H1481" s="12">
        <f t="shared" ca="1" si="139"/>
        <v>-1</v>
      </c>
      <c r="I1481" s="13">
        <f t="shared" ca="1" si="140"/>
        <v>-4</v>
      </c>
      <c r="J1481" s="14">
        <f t="shared" ca="1" si="143"/>
        <v>38</v>
      </c>
      <c r="K1481" s="12" t="s">
        <v>41</v>
      </c>
      <c r="L1481" s="12">
        <v>116</v>
      </c>
      <c r="M1481" s="12" t="s">
        <v>40</v>
      </c>
      <c r="N1481" s="12">
        <v>313</v>
      </c>
    </row>
    <row r="1482" spans="1:15">
      <c r="A1482" s="12">
        <f t="shared" si="141"/>
        <v>1479</v>
      </c>
      <c r="B1482" s="12" t="s">
        <v>20</v>
      </c>
      <c r="C1482" s="12" t="s">
        <v>770</v>
      </c>
      <c r="D1482" s="12" t="s">
        <v>142</v>
      </c>
      <c r="E1482" s="89">
        <f t="shared" ca="1" si="142"/>
        <v>40951</v>
      </c>
      <c r="F1482" s="11">
        <f>DATE(99,9,26)</f>
        <v>36429</v>
      </c>
      <c r="G1482" s="12">
        <f t="shared" ca="1" si="138"/>
        <v>13</v>
      </c>
      <c r="H1482" s="12">
        <f t="shared" ca="1" si="139"/>
        <v>-7</v>
      </c>
      <c r="I1482" s="13">
        <f t="shared" ca="1" si="140"/>
        <v>-14</v>
      </c>
      <c r="J1482" s="14">
        <f t="shared" ca="1" si="143"/>
        <v>12</v>
      </c>
      <c r="K1482" s="12" t="s">
        <v>40</v>
      </c>
      <c r="L1482" s="12">
        <v>116</v>
      </c>
      <c r="M1482" s="12" t="s">
        <v>44</v>
      </c>
      <c r="N1482" s="12">
        <v>313</v>
      </c>
    </row>
    <row r="1483" spans="1:15">
      <c r="A1483" s="12">
        <f t="shared" si="141"/>
        <v>1480</v>
      </c>
      <c r="B1483" s="12" t="s">
        <v>20</v>
      </c>
      <c r="C1483" s="12" t="s">
        <v>206</v>
      </c>
      <c r="D1483" s="12" t="s">
        <v>885</v>
      </c>
      <c r="E1483" s="89">
        <f t="shared" ca="1" si="142"/>
        <v>40951</v>
      </c>
      <c r="F1483" s="11">
        <f>DATE(2001,7,30)</f>
        <v>37102</v>
      </c>
      <c r="G1483" s="12">
        <f t="shared" ca="1" si="138"/>
        <v>11</v>
      </c>
      <c r="H1483" s="12">
        <f t="shared" ca="1" si="139"/>
        <v>-5</v>
      </c>
      <c r="I1483" s="13">
        <f t="shared" ca="1" si="140"/>
        <v>-18</v>
      </c>
      <c r="J1483" s="14">
        <f t="shared" ca="1" si="143"/>
        <v>10</v>
      </c>
      <c r="K1483" s="12" t="s">
        <v>41</v>
      </c>
      <c r="L1483" s="12">
        <v>116</v>
      </c>
      <c r="M1483" s="12" t="s">
        <v>44</v>
      </c>
      <c r="N1483" s="12">
        <v>313</v>
      </c>
    </row>
    <row r="1484" spans="1:15">
      <c r="A1484" s="12">
        <f t="shared" si="141"/>
        <v>1481</v>
      </c>
      <c r="B1484" s="12" t="s">
        <v>20</v>
      </c>
      <c r="C1484" s="12" t="s">
        <v>367</v>
      </c>
      <c r="D1484" s="12" t="s">
        <v>367</v>
      </c>
      <c r="E1484" s="89">
        <f t="shared" ca="1" si="142"/>
        <v>40951</v>
      </c>
      <c r="F1484" s="11">
        <f>DATE(67,4,24)</f>
        <v>24586</v>
      </c>
      <c r="G1484" s="12">
        <f t="shared" ca="1" si="138"/>
        <v>45</v>
      </c>
      <c r="H1484" s="12">
        <f t="shared" ca="1" si="139"/>
        <v>-2</v>
      </c>
      <c r="I1484" s="13">
        <f t="shared" ca="1" si="140"/>
        <v>-12</v>
      </c>
      <c r="J1484" s="14">
        <f t="shared" ca="1" si="143"/>
        <v>44</v>
      </c>
      <c r="K1484" s="12" t="s">
        <v>40</v>
      </c>
      <c r="L1484" s="12">
        <v>116</v>
      </c>
      <c r="M1484" s="12" t="s">
        <v>40</v>
      </c>
      <c r="N1484" s="12">
        <v>313</v>
      </c>
    </row>
    <row r="1485" spans="1:15">
      <c r="A1485" s="12">
        <f t="shared" si="141"/>
        <v>1482</v>
      </c>
      <c r="B1485" s="12" t="s">
        <v>20</v>
      </c>
      <c r="C1485" s="12" t="s">
        <v>194</v>
      </c>
      <c r="D1485" s="12" t="s">
        <v>367</v>
      </c>
      <c r="E1485" s="89">
        <f t="shared" ca="1" si="142"/>
        <v>40951</v>
      </c>
      <c r="F1485" s="11">
        <f>DATE(68,12,18)</f>
        <v>25190</v>
      </c>
      <c r="G1485" s="12">
        <f t="shared" ca="1" si="138"/>
        <v>44</v>
      </c>
      <c r="H1485" s="12">
        <f t="shared" ca="1" si="139"/>
        <v>-10</v>
      </c>
      <c r="I1485" s="13">
        <f t="shared" ca="1" si="140"/>
        <v>-6</v>
      </c>
      <c r="J1485" s="14">
        <f t="shared" ca="1" si="143"/>
        <v>43</v>
      </c>
      <c r="K1485" s="12" t="s">
        <v>41</v>
      </c>
      <c r="L1485" s="12">
        <v>116</v>
      </c>
      <c r="M1485" s="12" t="s">
        <v>40</v>
      </c>
      <c r="N1485" s="12">
        <v>313</v>
      </c>
    </row>
    <row r="1486" spans="1:15">
      <c r="A1486" s="12">
        <f t="shared" si="141"/>
        <v>1483</v>
      </c>
      <c r="B1486" s="12" t="s">
        <v>20</v>
      </c>
      <c r="C1486" s="12" t="s">
        <v>263</v>
      </c>
      <c r="D1486" s="12" t="s">
        <v>367</v>
      </c>
      <c r="E1486" s="89">
        <f t="shared" ca="1" si="142"/>
        <v>40951</v>
      </c>
      <c r="F1486" s="11">
        <f>DATE(2002,3,27)</f>
        <v>37342</v>
      </c>
      <c r="G1486" s="12">
        <f t="shared" ca="1" si="138"/>
        <v>10</v>
      </c>
      <c r="H1486" s="12">
        <f t="shared" ca="1" si="139"/>
        <v>-1</v>
      </c>
      <c r="I1486" s="13">
        <f t="shared" ca="1" si="140"/>
        <v>-15</v>
      </c>
      <c r="J1486" s="14">
        <f t="shared" ca="1" si="143"/>
        <v>9</v>
      </c>
      <c r="K1486" s="12" t="s">
        <v>40</v>
      </c>
      <c r="L1486" s="12">
        <v>116</v>
      </c>
      <c r="M1486" s="12" t="s">
        <v>44</v>
      </c>
      <c r="N1486" s="12">
        <v>313</v>
      </c>
    </row>
    <row r="1487" spans="1:15">
      <c r="A1487" s="12">
        <f t="shared" si="141"/>
        <v>1484</v>
      </c>
      <c r="B1487" s="12" t="s">
        <v>20</v>
      </c>
      <c r="C1487" s="12" t="s">
        <v>341</v>
      </c>
      <c r="D1487" s="12" t="s">
        <v>885</v>
      </c>
      <c r="E1487" s="89">
        <f t="shared" ca="1" si="142"/>
        <v>40951</v>
      </c>
      <c r="F1487" s="11">
        <f>DATE(68,8,9)</f>
        <v>25059</v>
      </c>
      <c r="G1487" s="12">
        <f t="shared" ca="1" si="138"/>
        <v>44</v>
      </c>
      <c r="H1487" s="12">
        <f t="shared" ca="1" si="139"/>
        <v>-6</v>
      </c>
      <c r="I1487" s="13">
        <f t="shared" ca="1" si="140"/>
        <v>3</v>
      </c>
      <c r="J1487" s="14">
        <f t="shared" ca="1" si="143"/>
        <v>43</v>
      </c>
      <c r="K1487" s="12" t="s">
        <v>40</v>
      </c>
      <c r="L1487" s="12">
        <v>116</v>
      </c>
      <c r="M1487" s="12" t="s">
        <v>40</v>
      </c>
      <c r="N1487" s="12">
        <v>313</v>
      </c>
    </row>
    <row r="1488" spans="1:15">
      <c r="A1488" s="12">
        <f t="shared" si="141"/>
        <v>1485</v>
      </c>
      <c r="B1488" s="12" t="s">
        <v>20</v>
      </c>
      <c r="C1488" s="12" t="s">
        <v>626</v>
      </c>
      <c r="D1488" s="12" t="s">
        <v>341</v>
      </c>
      <c r="E1488" s="89">
        <f t="shared" ca="1" si="142"/>
        <v>40951</v>
      </c>
      <c r="F1488" s="11">
        <f>DATE(70,7,1)</f>
        <v>25750</v>
      </c>
      <c r="G1488" s="12">
        <f t="shared" ca="1" si="138"/>
        <v>42</v>
      </c>
      <c r="H1488" s="12">
        <f t="shared" ca="1" si="139"/>
        <v>-5</v>
      </c>
      <c r="I1488" s="13">
        <f t="shared" ca="1" si="140"/>
        <v>11</v>
      </c>
      <c r="J1488" s="14">
        <f t="shared" ca="1" si="143"/>
        <v>41</v>
      </c>
      <c r="K1488" s="12" t="s">
        <v>41</v>
      </c>
      <c r="L1488" s="12">
        <v>116</v>
      </c>
      <c r="M1488" s="12" t="s">
        <v>40</v>
      </c>
      <c r="N1488" s="12">
        <v>313</v>
      </c>
    </row>
    <row r="1489" spans="1:15">
      <c r="A1489" s="12">
        <f t="shared" si="141"/>
        <v>1486</v>
      </c>
      <c r="B1489" s="12" t="s">
        <v>20</v>
      </c>
      <c r="C1489" s="12" t="s">
        <v>613</v>
      </c>
      <c r="D1489" s="12" t="s">
        <v>341</v>
      </c>
      <c r="E1489" s="89">
        <f t="shared" ca="1" si="142"/>
        <v>40951</v>
      </c>
      <c r="F1489" s="11">
        <f>DATE(98,1,28)</f>
        <v>35823</v>
      </c>
      <c r="G1489" s="12">
        <f t="shared" ca="1" si="138"/>
        <v>14</v>
      </c>
      <c r="H1489" s="12">
        <f t="shared" ca="1" si="139"/>
        <v>1</v>
      </c>
      <c r="I1489" s="13">
        <f t="shared" ca="1" si="140"/>
        <v>-16</v>
      </c>
      <c r="J1489" s="14">
        <f t="shared" ca="1" si="143"/>
        <v>14</v>
      </c>
      <c r="K1489" s="12" t="s">
        <v>41</v>
      </c>
      <c r="L1489" s="12">
        <v>116</v>
      </c>
      <c r="M1489" s="12" t="s">
        <v>40</v>
      </c>
      <c r="N1489" s="12">
        <v>313</v>
      </c>
    </row>
    <row r="1490" spans="1:15">
      <c r="A1490" s="12">
        <f t="shared" si="141"/>
        <v>1487</v>
      </c>
      <c r="B1490" s="12" t="s">
        <v>20</v>
      </c>
      <c r="C1490" s="12" t="s">
        <v>202</v>
      </c>
      <c r="D1490" s="12" t="s">
        <v>341</v>
      </c>
      <c r="E1490" s="89">
        <f t="shared" ca="1" si="142"/>
        <v>40951</v>
      </c>
      <c r="F1490" s="11">
        <f>DATE(2002,5,27)</f>
        <v>37403</v>
      </c>
      <c r="G1490" s="12">
        <f t="shared" ca="1" si="138"/>
        <v>10</v>
      </c>
      <c r="H1490" s="12">
        <f t="shared" ca="1" si="139"/>
        <v>-3</v>
      </c>
      <c r="I1490" s="13">
        <f t="shared" ca="1" si="140"/>
        <v>-15</v>
      </c>
      <c r="J1490" s="14">
        <f t="shared" ca="1" si="143"/>
        <v>9</v>
      </c>
      <c r="K1490" s="12" t="s">
        <v>41</v>
      </c>
      <c r="L1490" s="12">
        <v>116</v>
      </c>
      <c r="M1490" s="12" t="s">
        <v>40</v>
      </c>
      <c r="N1490" s="12">
        <v>313</v>
      </c>
    </row>
    <row r="1491" spans="1:15">
      <c r="A1491" s="12">
        <f t="shared" si="141"/>
        <v>1488</v>
      </c>
      <c r="B1491" s="12" t="s">
        <v>20</v>
      </c>
      <c r="C1491" s="12" t="s">
        <v>277</v>
      </c>
      <c r="D1491" s="12" t="s">
        <v>60</v>
      </c>
      <c r="E1491" s="89">
        <f t="shared" ca="1" si="142"/>
        <v>40951</v>
      </c>
      <c r="F1491" s="11">
        <f>DATE(60,6,22)</f>
        <v>22089</v>
      </c>
      <c r="G1491" s="12">
        <f t="shared" ca="1" si="138"/>
        <v>52</v>
      </c>
      <c r="H1491" s="12">
        <f t="shared" ca="1" si="139"/>
        <v>-4</v>
      </c>
      <c r="I1491" s="13">
        <f t="shared" ca="1" si="140"/>
        <v>-10</v>
      </c>
      <c r="J1491" s="14">
        <f t="shared" ca="1" si="143"/>
        <v>51</v>
      </c>
      <c r="K1491" s="12" t="s">
        <v>40</v>
      </c>
      <c r="L1491" s="12">
        <v>116</v>
      </c>
      <c r="M1491" s="12" t="s">
        <v>40</v>
      </c>
      <c r="N1491" s="12">
        <v>314</v>
      </c>
      <c r="O1491" s="90" t="s">
        <v>2748</v>
      </c>
    </row>
    <row r="1492" spans="1:15">
      <c r="A1492" s="12">
        <f t="shared" si="141"/>
        <v>1489</v>
      </c>
      <c r="B1492" s="12" t="s">
        <v>20</v>
      </c>
      <c r="C1492" s="12" t="s">
        <v>810</v>
      </c>
      <c r="D1492" s="12" t="s">
        <v>277</v>
      </c>
      <c r="E1492" s="89">
        <f t="shared" ca="1" si="142"/>
        <v>40951</v>
      </c>
      <c r="F1492" s="11">
        <f>DATE(66,12,6)</f>
        <v>24447</v>
      </c>
      <c r="G1492" s="12">
        <f t="shared" ca="1" si="138"/>
        <v>46</v>
      </c>
      <c r="H1492" s="12">
        <f t="shared" ca="1" si="139"/>
        <v>-10</v>
      </c>
      <c r="I1492" s="13">
        <f t="shared" ca="1" si="140"/>
        <v>6</v>
      </c>
      <c r="J1492" s="14">
        <f t="shared" ca="1" si="143"/>
        <v>45</v>
      </c>
      <c r="K1492" s="12" t="s">
        <v>41</v>
      </c>
      <c r="L1492" s="12">
        <v>116</v>
      </c>
      <c r="M1492" s="12" t="s">
        <v>40</v>
      </c>
      <c r="N1492" s="12">
        <v>314</v>
      </c>
    </row>
    <row r="1493" spans="1:15">
      <c r="A1493" s="12">
        <f t="shared" si="141"/>
        <v>1490</v>
      </c>
      <c r="B1493" s="12" t="s">
        <v>20</v>
      </c>
      <c r="C1493" s="12" t="s">
        <v>376</v>
      </c>
      <c r="D1493" s="12" t="s">
        <v>277</v>
      </c>
      <c r="E1493" s="89">
        <f t="shared" ca="1" si="142"/>
        <v>40951</v>
      </c>
      <c r="F1493" s="11">
        <f>DATE(86,4,24)</f>
        <v>31526</v>
      </c>
      <c r="G1493" s="12">
        <f t="shared" ca="1" si="138"/>
        <v>26</v>
      </c>
      <c r="H1493" s="12">
        <f t="shared" ca="1" si="139"/>
        <v>-2</v>
      </c>
      <c r="I1493" s="13">
        <f t="shared" ca="1" si="140"/>
        <v>-12</v>
      </c>
      <c r="J1493" s="14">
        <f t="shared" ca="1" si="143"/>
        <v>25</v>
      </c>
      <c r="K1493" s="12" t="s">
        <v>40</v>
      </c>
      <c r="L1493" s="12">
        <v>116</v>
      </c>
      <c r="M1493" s="12" t="s">
        <v>44</v>
      </c>
      <c r="N1493" s="12">
        <v>314</v>
      </c>
    </row>
    <row r="1494" spans="1:15">
      <c r="A1494" s="12">
        <f t="shared" si="141"/>
        <v>1491</v>
      </c>
      <c r="B1494" s="12" t="s">
        <v>20</v>
      </c>
      <c r="C1494" s="12" t="s">
        <v>824</v>
      </c>
      <c r="D1494" s="12" t="s">
        <v>277</v>
      </c>
      <c r="E1494" s="89">
        <f t="shared" ca="1" si="142"/>
        <v>40951</v>
      </c>
      <c r="F1494" s="11">
        <f>DATE(93,4,15)</f>
        <v>34074</v>
      </c>
      <c r="G1494" s="12">
        <f t="shared" ca="1" si="138"/>
        <v>19</v>
      </c>
      <c r="H1494" s="12">
        <f t="shared" ca="1" si="139"/>
        <v>-2</v>
      </c>
      <c r="I1494" s="13">
        <f t="shared" ca="1" si="140"/>
        <v>-3</v>
      </c>
      <c r="J1494" s="14">
        <f t="shared" ca="1" si="143"/>
        <v>18</v>
      </c>
      <c r="K1494" s="12" t="s">
        <v>40</v>
      </c>
      <c r="L1494" s="12">
        <v>116</v>
      </c>
      <c r="M1494" s="12" t="s">
        <v>44</v>
      </c>
      <c r="N1494" s="12">
        <v>314</v>
      </c>
    </row>
    <row r="1495" spans="1:15">
      <c r="A1495" s="12">
        <f t="shared" si="141"/>
        <v>1492</v>
      </c>
      <c r="B1495" s="12" t="s">
        <v>20</v>
      </c>
      <c r="C1495" s="12" t="s">
        <v>208</v>
      </c>
      <c r="D1495" s="12" t="s">
        <v>60</v>
      </c>
      <c r="E1495" s="89">
        <f t="shared" ca="1" si="142"/>
        <v>40951</v>
      </c>
      <c r="F1495" s="11">
        <f>DATE(47,5,15)</f>
        <v>17302</v>
      </c>
      <c r="G1495" s="12">
        <f t="shared" ca="1" si="138"/>
        <v>65</v>
      </c>
      <c r="H1495" s="12">
        <f t="shared" ca="1" si="139"/>
        <v>-3</v>
      </c>
      <c r="I1495" s="13">
        <f t="shared" ca="1" si="140"/>
        <v>-3</v>
      </c>
      <c r="J1495" s="14">
        <f t="shared" ca="1" si="143"/>
        <v>64</v>
      </c>
      <c r="K1495" s="12" t="s">
        <v>40</v>
      </c>
      <c r="L1495" s="12">
        <v>117</v>
      </c>
      <c r="M1495" s="12" t="s">
        <v>40</v>
      </c>
      <c r="N1495" s="12">
        <v>315</v>
      </c>
      <c r="O1495" s="90" t="s">
        <v>2748</v>
      </c>
    </row>
    <row r="1496" spans="1:15">
      <c r="A1496" s="12">
        <f t="shared" si="141"/>
        <v>1493</v>
      </c>
      <c r="B1496" s="12" t="s">
        <v>20</v>
      </c>
      <c r="C1496" s="12" t="s">
        <v>261</v>
      </c>
      <c r="D1496" s="12" t="s">
        <v>208</v>
      </c>
      <c r="E1496" s="89">
        <f t="shared" ca="1" si="142"/>
        <v>40951</v>
      </c>
      <c r="F1496" s="11">
        <f>DATE(55,4,28)</f>
        <v>20207</v>
      </c>
      <c r="G1496" s="12">
        <f t="shared" ca="1" si="138"/>
        <v>57</v>
      </c>
      <c r="H1496" s="12">
        <f t="shared" ca="1" si="139"/>
        <v>-2</v>
      </c>
      <c r="I1496" s="13">
        <f t="shared" ca="1" si="140"/>
        <v>-16</v>
      </c>
      <c r="J1496" s="14">
        <f t="shared" ca="1" si="143"/>
        <v>56</v>
      </c>
      <c r="K1496" s="12" t="s">
        <v>41</v>
      </c>
      <c r="L1496" s="12">
        <v>117</v>
      </c>
      <c r="M1496" s="12" t="s">
        <v>40</v>
      </c>
      <c r="N1496" s="12">
        <v>315</v>
      </c>
    </row>
    <row r="1497" spans="1:15">
      <c r="A1497" s="12">
        <f t="shared" si="141"/>
        <v>1494</v>
      </c>
      <c r="B1497" s="12" t="s">
        <v>20</v>
      </c>
      <c r="C1497" s="12" t="s">
        <v>982</v>
      </c>
      <c r="D1497" s="12" t="s">
        <v>208</v>
      </c>
      <c r="E1497" s="89">
        <f t="shared" ca="1" si="142"/>
        <v>40951</v>
      </c>
      <c r="F1497" s="11">
        <f>DATE(80,10,12)</f>
        <v>29506</v>
      </c>
      <c r="G1497" s="12">
        <f t="shared" ca="1" si="138"/>
        <v>32</v>
      </c>
      <c r="H1497" s="12">
        <f t="shared" ca="1" si="139"/>
        <v>-8</v>
      </c>
      <c r="I1497" s="13">
        <f t="shared" ca="1" si="140"/>
        <v>0</v>
      </c>
      <c r="J1497" s="14">
        <f t="shared" ca="1" si="143"/>
        <v>31</v>
      </c>
      <c r="K1497" s="12" t="s">
        <v>40</v>
      </c>
      <c r="L1497" s="12">
        <v>117</v>
      </c>
      <c r="M1497" s="12" t="s">
        <v>44</v>
      </c>
      <c r="N1497" s="12">
        <v>315</v>
      </c>
    </row>
    <row r="1498" spans="1:15">
      <c r="A1498" s="12">
        <f t="shared" si="141"/>
        <v>1495</v>
      </c>
      <c r="B1498" s="12" t="s">
        <v>20</v>
      </c>
      <c r="C1498" s="12" t="s">
        <v>246</v>
      </c>
      <c r="D1498" s="12" t="s">
        <v>208</v>
      </c>
      <c r="E1498" s="89">
        <f t="shared" ca="1" si="142"/>
        <v>40951</v>
      </c>
      <c r="F1498" s="11">
        <f>DATE(86,1,23)</f>
        <v>31435</v>
      </c>
      <c r="G1498" s="12">
        <f t="shared" ref="G1498:G1561" ca="1" si="144">YEAR(E1498)-YEAR(F1498)</f>
        <v>26</v>
      </c>
      <c r="H1498" s="12">
        <f t="shared" ref="H1498:H1561" ca="1" si="145">MONTH(E1498)-MONTH(F1498)</f>
        <v>1</v>
      </c>
      <c r="I1498" s="13">
        <f t="shared" ref="I1498:I1561" ca="1" si="146">DAY(E1498)-DAY(F1498)</f>
        <v>-11</v>
      </c>
      <c r="J1498" s="14">
        <f t="shared" ca="1" si="143"/>
        <v>26</v>
      </c>
      <c r="K1498" s="12" t="s">
        <v>41</v>
      </c>
      <c r="L1498" s="12">
        <v>117</v>
      </c>
      <c r="M1498" s="12" t="s">
        <v>44</v>
      </c>
      <c r="N1498" s="12">
        <v>315</v>
      </c>
    </row>
    <row r="1499" spans="1:15">
      <c r="A1499" s="12">
        <f t="shared" si="141"/>
        <v>1496</v>
      </c>
      <c r="B1499" s="12" t="s">
        <v>20</v>
      </c>
      <c r="C1499" s="12" t="s">
        <v>503</v>
      </c>
      <c r="D1499" s="12" t="s">
        <v>983</v>
      </c>
      <c r="E1499" s="89">
        <f t="shared" ca="1" si="142"/>
        <v>40951</v>
      </c>
      <c r="F1499" s="32"/>
      <c r="G1499" s="12">
        <f t="shared" ca="1" si="144"/>
        <v>112</v>
      </c>
      <c r="H1499" s="12">
        <f t="shared" ca="1" si="145"/>
        <v>1</v>
      </c>
      <c r="I1499" s="13">
        <f t="shared" ca="1" si="146"/>
        <v>12</v>
      </c>
      <c r="J1499" s="14">
        <f t="shared" ca="1" si="143"/>
        <v>112</v>
      </c>
      <c r="K1499" s="12" t="s">
        <v>41</v>
      </c>
      <c r="L1499" s="12">
        <v>117</v>
      </c>
      <c r="M1499" s="12" t="s">
        <v>44</v>
      </c>
      <c r="N1499" s="12">
        <v>316</v>
      </c>
      <c r="O1499" s="90" t="s">
        <v>2748</v>
      </c>
    </row>
    <row r="1500" spans="1:15">
      <c r="A1500" s="12">
        <f t="shared" si="141"/>
        <v>1497</v>
      </c>
      <c r="B1500" s="12" t="s">
        <v>20</v>
      </c>
      <c r="C1500" s="12" t="s">
        <v>984</v>
      </c>
      <c r="D1500" s="12" t="s">
        <v>983</v>
      </c>
      <c r="E1500" s="89">
        <f t="shared" ca="1" si="142"/>
        <v>40951</v>
      </c>
      <c r="F1500" s="32"/>
      <c r="G1500" s="12">
        <f t="shared" ca="1" si="144"/>
        <v>112</v>
      </c>
      <c r="H1500" s="12">
        <f t="shared" ca="1" si="145"/>
        <v>1</v>
      </c>
      <c r="I1500" s="13">
        <f t="shared" ca="1" si="146"/>
        <v>12</v>
      </c>
      <c r="J1500" s="14">
        <f t="shared" ca="1" si="143"/>
        <v>112</v>
      </c>
      <c r="K1500" s="12" t="s">
        <v>41</v>
      </c>
      <c r="L1500" s="12">
        <v>117</v>
      </c>
      <c r="M1500" s="12" t="s">
        <v>44</v>
      </c>
      <c r="N1500" s="12">
        <v>316</v>
      </c>
    </row>
    <row r="1501" spans="1:15">
      <c r="A1501" s="12">
        <f t="shared" si="141"/>
        <v>1498</v>
      </c>
      <c r="B1501" s="12" t="s">
        <v>20</v>
      </c>
      <c r="C1501" s="12" t="s">
        <v>591</v>
      </c>
      <c r="D1501" s="12" t="s">
        <v>985</v>
      </c>
      <c r="E1501" s="89">
        <f t="shared" ca="1" si="142"/>
        <v>40951</v>
      </c>
      <c r="F1501" s="11">
        <f>DATE(52,7,20)</f>
        <v>19195</v>
      </c>
      <c r="G1501" s="12">
        <f t="shared" ca="1" si="144"/>
        <v>60</v>
      </c>
      <c r="H1501" s="12">
        <f t="shared" ca="1" si="145"/>
        <v>-5</v>
      </c>
      <c r="I1501" s="13">
        <f t="shared" ca="1" si="146"/>
        <v>-8</v>
      </c>
      <c r="J1501" s="14">
        <f t="shared" ca="1" si="143"/>
        <v>59</v>
      </c>
      <c r="K1501" s="12" t="s">
        <v>40</v>
      </c>
      <c r="L1501" s="12">
        <v>117</v>
      </c>
      <c r="M1501" s="12" t="s">
        <v>40</v>
      </c>
      <c r="N1501" s="12">
        <v>317</v>
      </c>
      <c r="O1501" s="90" t="s">
        <v>2748</v>
      </c>
    </row>
    <row r="1502" spans="1:15">
      <c r="A1502" s="12">
        <f t="shared" ref="A1502:A1565" si="147">A1501+1</f>
        <v>1499</v>
      </c>
      <c r="B1502" s="12" t="s">
        <v>20</v>
      </c>
      <c r="C1502" s="12" t="s">
        <v>200</v>
      </c>
      <c r="D1502" s="12" t="s">
        <v>591</v>
      </c>
      <c r="E1502" s="89">
        <f t="shared" ca="1" si="142"/>
        <v>40951</v>
      </c>
      <c r="F1502" s="11">
        <f>DATE(54,11,23)</f>
        <v>20051</v>
      </c>
      <c r="G1502" s="12">
        <f t="shared" ca="1" si="144"/>
        <v>58</v>
      </c>
      <c r="H1502" s="12">
        <f t="shared" ca="1" si="145"/>
        <v>-9</v>
      </c>
      <c r="I1502" s="13">
        <f t="shared" ca="1" si="146"/>
        <v>-11</v>
      </c>
      <c r="J1502" s="14">
        <f t="shared" ca="1" si="143"/>
        <v>57</v>
      </c>
      <c r="K1502" s="12" t="s">
        <v>41</v>
      </c>
      <c r="L1502" s="12">
        <v>117</v>
      </c>
      <c r="M1502" s="12" t="s">
        <v>40</v>
      </c>
      <c r="N1502" s="12">
        <v>317</v>
      </c>
    </row>
    <row r="1503" spans="1:15">
      <c r="A1503" s="12">
        <f t="shared" si="147"/>
        <v>1500</v>
      </c>
      <c r="B1503" s="12" t="s">
        <v>20</v>
      </c>
      <c r="C1503" s="12" t="s">
        <v>986</v>
      </c>
      <c r="D1503" s="12" t="s">
        <v>591</v>
      </c>
      <c r="E1503" s="89">
        <f t="shared" ca="1" si="142"/>
        <v>40951</v>
      </c>
      <c r="F1503" s="11">
        <f>DATE(81,8,22)</f>
        <v>29820</v>
      </c>
      <c r="G1503" s="12">
        <f t="shared" ca="1" si="144"/>
        <v>31</v>
      </c>
      <c r="H1503" s="12">
        <f t="shared" ca="1" si="145"/>
        <v>-6</v>
      </c>
      <c r="I1503" s="13">
        <f t="shared" ca="1" si="146"/>
        <v>-10</v>
      </c>
      <c r="J1503" s="14">
        <f t="shared" ca="1" si="143"/>
        <v>30</v>
      </c>
      <c r="K1503" s="12" t="s">
        <v>40</v>
      </c>
      <c r="L1503" s="12">
        <v>117</v>
      </c>
      <c r="M1503" s="12" t="s">
        <v>44</v>
      </c>
      <c r="N1503" s="12">
        <v>317</v>
      </c>
    </row>
    <row r="1504" spans="1:15">
      <c r="A1504" s="12">
        <f t="shared" si="147"/>
        <v>1501</v>
      </c>
      <c r="B1504" s="12" t="s">
        <v>20</v>
      </c>
      <c r="C1504" s="12" t="s">
        <v>987</v>
      </c>
      <c r="D1504" s="12" t="s">
        <v>591</v>
      </c>
      <c r="E1504" s="89">
        <f t="shared" ca="1" si="142"/>
        <v>40951</v>
      </c>
      <c r="F1504" s="11">
        <f>DATE(94,2,24)</f>
        <v>34389</v>
      </c>
      <c r="G1504" s="12">
        <f t="shared" ca="1" si="144"/>
        <v>18</v>
      </c>
      <c r="H1504" s="12">
        <f t="shared" ca="1" si="145"/>
        <v>0</v>
      </c>
      <c r="I1504" s="13">
        <f t="shared" ca="1" si="146"/>
        <v>-12</v>
      </c>
      <c r="J1504" s="14">
        <f t="shared" ca="1" si="143"/>
        <v>17</v>
      </c>
      <c r="K1504" s="12" t="s">
        <v>41</v>
      </c>
      <c r="L1504" s="12">
        <v>117</v>
      </c>
      <c r="M1504" s="12" t="s">
        <v>44</v>
      </c>
      <c r="N1504" s="12">
        <v>317</v>
      </c>
    </row>
    <row r="1505" spans="1:15">
      <c r="A1505" s="12">
        <f t="shared" si="147"/>
        <v>1502</v>
      </c>
      <c r="B1505" s="12" t="s">
        <v>20</v>
      </c>
      <c r="C1505" s="12" t="s">
        <v>988</v>
      </c>
      <c r="D1505" s="12" t="s">
        <v>99</v>
      </c>
      <c r="E1505" s="89">
        <f t="shared" ca="1" si="142"/>
        <v>40951</v>
      </c>
      <c r="F1505" s="11">
        <f>DATE(40,9,11)</f>
        <v>14865</v>
      </c>
      <c r="G1505" s="12">
        <f t="shared" ca="1" si="144"/>
        <v>72</v>
      </c>
      <c r="H1505" s="12">
        <f t="shared" ca="1" si="145"/>
        <v>-7</v>
      </c>
      <c r="I1505" s="13">
        <f t="shared" ca="1" si="146"/>
        <v>1</v>
      </c>
      <c r="J1505" s="14">
        <f t="shared" ca="1" si="143"/>
        <v>71</v>
      </c>
      <c r="K1505" s="12" t="s">
        <v>41</v>
      </c>
      <c r="L1505" s="12">
        <v>118</v>
      </c>
      <c r="M1505" s="12" t="s">
        <v>40</v>
      </c>
      <c r="N1505" s="12">
        <v>318</v>
      </c>
      <c r="O1505" s="90" t="s">
        <v>2748</v>
      </c>
    </row>
    <row r="1506" spans="1:15">
      <c r="A1506" s="12">
        <f t="shared" si="147"/>
        <v>1503</v>
      </c>
      <c r="B1506" s="12" t="s">
        <v>20</v>
      </c>
      <c r="C1506" s="12" t="s">
        <v>210</v>
      </c>
      <c r="D1506" s="12" t="s">
        <v>99</v>
      </c>
      <c r="E1506" s="89">
        <f t="shared" ca="1" si="142"/>
        <v>40951</v>
      </c>
      <c r="F1506" s="11">
        <f>DATE(68,4,2)</f>
        <v>24930</v>
      </c>
      <c r="G1506" s="12">
        <f t="shared" ca="1" si="144"/>
        <v>44</v>
      </c>
      <c r="H1506" s="12">
        <f t="shared" ca="1" si="145"/>
        <v>-2</v>
      </c>
      <c r="I1506" s="13">
        <f t="shared" ca="1" si="146"/>
        <v>10</v>
      </c>
      <c r="J1506" s="14">
        <f t="shared" ca="1" si="143"/>
        <v>43</v>
      </c>
      <c r="K1506" s="12" t="s">
        <v>40</v>
      </c>
      <c r="L1506" s="12">
        <v>118</v>
      </c>
      <c r="M1506" s="12" t="s">
        <v>40</v>
      </c>
      <c r="N1506" s="12">
        <v>318</v>
      </c>
    </row>
    <row r="1507" spans="1:15">
      <c r="A1507" s="12">
        <f t="shared" si="147"/>
        <v>1504</v>
      </c>
      <c r="B1507" s="12" t="s">
        <v>20</v>
      </c>
      <c r="C1507" s="12" t="s">
        <v>583</v>
      </c>
      <c r="D1507" s="12" t="s">
        <v>210</v>
      </c>
      <c r="E1507" s="89">
        <f t="shared" ca="1" si="142"/>
        <v>40951</v>
      </c>
      <c r="F1507" s="11">
        <f>DATE(75,1,25)</f>
        <v>27419</v>
      </c>
      <c r="G1507" s="12">
        <f t="shared" ca="1" si="144"/>
        <v>37</v>
      </c>
      <c r="H1507" s="12">
        <f t="shared" ca="1" si="145"/>
        <v>1</v>
      </c>
      <c r="I1507" s="13">
        <f t="shared" ca="1" si="146"/>
        <v>-13</v>
      </c>
      <c r="J1507" s="14">
        <f t="shared" ca="1" si="143"/>
        <v>37</v>
      </c>
      <c r="K1507" s="12" t="s">
        <v>41</v>
      </c>
      <c r="L1507" s="12">
        <v>118</v>
      </c>
      <c r="M1507" s="12" t="s">
        <v>40</v>
      </c>
      <c r="N1507" s="12">
        <v>318</v>
      </c>
    </row>
    <row r="1508" spans="1:15">
      <c r="A1508" s="12">
        <f t="shared" si="147"/>
        <v>1505</v>
      </c>
      <c r="B1508" s="12" t="s">
        <v>20</v>
      </c>
      <c r="C1508" s="12" t="s">
        <v>145</v>
      </c>
      <c r="D1508" s="12" t="s">
        <v>210</v>
      </c>
      <c r="E1508" s="89">
        <f t="shared" ref="E1508:E1571" ca="1" si="148">TODAY()</f>
        <v>40951</v>
      </c>
      <c r="F1508" s="11">
        <f>DATE(95,12,31)</f>
        <v>35064</v>
      </c>
      <c r="G1508" s="12">
        <f t="shared" ca="1" si="144"/>
        <v>17</v>
      </c>
      <c r="H1508" s="12">
        <f t="shared" ca="1" si="145"/>
        <v>-10</v>
      </c>
      <c r="I1508" s="13">
        <f t="shared" ca="1" si="146"/>
        <v>-19</v>
      </c>
      <c r="J1508" s="14">
        <f t="shared" ca="1" si="143"/>
        <v>16</v>
      </c>
      <c r="K1508" s="12" t="s">
        <v>41</v>
      </c>
      <c r="L1508" s="12">
        <v>118</v>
      </c>
      <c r="M1508" s="12" t="s">
        <v>44</v>
      </c>
      <c r="N1508" s="12">
        <v>318</v>
      </c>
    </row>
    <row r="1509" spans="1:15">
      <c r="A1509" s="12">
        <f t="shared" si="147"/>
        <v>1506</v>
      </c>
      <c r="B1509" s="12" t="s">
        <v>20</v>
      </c>
      <c r="C1509" s="12" t="s">
        <v>228</v>
      </c>
      <c r="D1509" s="12" t="s">
        <v>210</v>
      </c>
      <c r="E1509" s="89">
        <f t="shared" ca="1" si="148"/>
        <v>40951</v>
      </c>
      <c r="F1509" s="11">
        <f>DATE(98,2,2)</f>
        <v>35828</v>
      </c>
      <c r="G1509" s="12">
        <f t="shared" ca="1" si="144"/>
        <v>14</v>
      </c>
      <c r="H1509" s="12">
        <f t="shared" ca="1" si="145"/>
        <v>0</v>
      </c>
      <c r="I1509" s="13">
        <f t="shared" ca="1" si="146"/>
        <v>10</v>
      </c>
      <c r="J1509" s="14">
        <f t="shared" ca="1" si="143"/>
        <v>14</v>
      </c>
      <c r="K1509" s="12" t="s">
        <v>40</v>
      </c>
      <c r="L1509" s="12">
        <v>118</v>
      </c>
      <c r="M1509" s="12" t="s">
        <v>44</v>
      </c>
      <c r="N1509" s="12">
        <v>318</v>
      </c>
    </row>
    <row r="1510" spans="1:15">
      <c r="A1510" s="12">
        <f t="shared" si="147"/>
        <v>1507</v>
      </c>
      <c r="B1510" s="12" t="s">
        <v>20</v>
      </c>
      <c r="C1510" s="12" t="s">
        <v>989</v>
      </c>
      <c r="D1510" s="12" t="s">
        <v>99</v>
      </c>
      <c r="E1510" s="89">
        <f t="shared" ca="1" si="148"/>
        <v>40951</v>
      </c>
      <c r="F1510" s="11">
        <f>DATE(70,7,5)</f>
        <v>25754</v>
      </c>
      <c r="G1510" s="12">
        <f t="shared" ca="1" si="144"/>
        <v>42</v>
      </c>
      <c r="H1510" s="12">
        <f t="shared" ca="1" si="145"/>
        <v>-5</v>
      </c>
      <c r="I1510" s="13">
        <f t="shared" ca="1" si="146"/>
        <v>7</v>
      </c>
      <c r="J1510" s="14">
        <f t="shared" ca="1" si="143"/>
        <v>41</v>
      </c>
      <c r="K1510" s="12" t="s">
        <v>40</v>
      </c>
      <c r="L1510" s="12">
        <v>118</v>
      </c>
      <c r="M1510" s="12" t="s">
        <v>40</v>
      </c>
      <c r="N1510" s="12">
        <v>318</v>
      </c>
    </row>
    <row r="1511" spans="1:15">
      <c r="A1511" s="12">
        <f t="shared" si="147"/>
        <v>1508</v>
      </c>
      <c r="B1511" s="12" t="s">
        <v>20</v>
      </c>
      <c r="C1511" s="12" t="s">
        <v>167</v>
      </c>
      <c r="D1511" s="12" t="s">
        <v>989</v>
      </c>
      <c r="E1511" s="89">
        <f t="shared" ca="1" si="148"/>
        <v>40951</v>
      </c>
      <c r="F1511" s="11">
        <f>DATE(77,3,23)</f>
        <v>28207</v>
      </c>
      <c r="G1511" s="12">
        <f t="shared" ca="1" si="144"/>
        <v>35</v>
      </c>
      <c r="H1511" s="12">
        <f t="shared" ca="1" si="145"/>
        <v>-1</v>
      </c>
      <c r="I1511" s="13">
        <f t="shared" ca="1" si="146"/>
        <v>-11</v>
      </c>
      <c r="J1511" s="14">
        <f t="shared" ca="1" si="143"/>
        <v>34</v>
      </c>
      <c r="K1511" s="12" t="s">
        <v>41</v>
      </c>
      <c r="L1511" s="12">
        <v>118</v>
      </c>
      <c r="M1511" s="12" t="s">
        <v>40</v>
      </c>
      <c r="N1511" s="12">
        <v>318</v>
      </c>
    </row>
    <row r="1512" spans="1:15">
      <c r="A1512" s="12">
        <f t="shared" si="147"/>
        <v>1509</v>
      </c>
      <c r="B1512" s="12" t="s">
        <v>20</v>
      </c>
      <c r="C1512" s="12" t="s">
        <v>151</v>
      </c>
      <c r="D1512" s="12" t="s">
        <v>989</v>
      </c>
      <c r="E1512" s="89">
        <f t="shared" ca="1" si="148"/>
        <v>40951</v>
      </c>
      <c r="F1512" s="11">
        <f>DATE(2000,2,27)</f>
        <v>36583</v>
      </c>
      <c r="G1512" s="12">
        <f t="shared" ca="1" si="144"/>
        <v>12</v>
      </c>
      <c r="H1512" s="12">
        <f t="shared" ca="1" si="145"/>
        <v>0</v>
      </c>
      <c r="I1512" s="13">
        <f t="shared" ca="1" si="146"/>
        <v>-15</v>
      </c>
      <c r="J1512" s="14">
        <f t="shared" ca="1" si="143"/>
        <v>11</v>
      </c>
      <c r="K1512" s="12" t="s">
        <v>40</v>
      </c>
      <c r="L1512" s="12">
        <v>118</v>
      </c>
      <c r="M1512" s="12" t="s">
        <v>44</v>
      </c>
      <c r="N1512" s="12">
        <v>318</v>
      </c>
    </row>
    <row r="1513" spans="1:15">
      <c r="A1513" s="12">
        <f t="shared" si="147"/>
        <v>1510</v>
      </c>
      <c r="B1513" s="12" t="s">
        <v>20</v>
      </c>
      <c r="C1513" s="12" t="s">
        <v>600</v>
      </c>
      <c r="D1513" s="12" t="s">
        <v>985</v>
      </c>
      <c r="E1513" s="89">
        <f t="shared" ca="1" si="148"/>
        <v>40951</v>
      </c>
      <c r="F1513" s="11">
        <f>DATE(59,10,19)</f>
        <v>21842</v>
      </c>
      <c r="G1513" s="12">
        <f t="shared" ca="1" si="144"/>
        <v>53</v>
      </c>
      <c r="H1513" s="12">
        <f t="shared" ca="1" si="145"/>
        <v>-8</v>
      </c>
      <c r="I1513" s="13">
        <f t="shared" ca="1" si="146"/>
        <v>-7</v>
      </c>
      <c r="J1513" s="14">
        <f t="shared" ca="1" si="143"/>
        <v>52</v>
      </c>
      <c r="K1513" s="12" t="s">
        <v>40</v>
      </c>
      <c r="L1513" s="12">
        <v>118</v>
      </c>
      <c r="M1513" s="12" t="s">
        <v>40</v>
      </c>
      <c r="N1513" s="12">
        <v>319</v>
      </c>
      <c r="O1513" s="90" t="s">
        <v>2748</v>
      </c>
    </row>
    <row r="1514" spans="1:15">
      <c r="A1514" s="12">
        <f t="shared" si="147"/>
        <v>1511</v>
      </c>
      <c r="B1514" s="12" t="s">
        <v>20</v>
      </c>
      <c r="C1514" s="12" t="s">
        <v>991</v>
      </c>
      <c r="D1514" s="12" t="s">
        <v>463</v>
      </c>
      <c r="E1514" s="89">
        <f t="shared" ca="1" si="148"/>
        <v>40951</v>
      </c>
      <c r="F1514" s="32"/>
      <c r="G1514" s="12">
        <f t="shared" ca="1" si="144"/>
        <v>112</v>
      </c>
      <c r="H1514" s="12">
        <f t="shared" ca="1" si="145"/>
        <v>1</v>
      </c>
      <c r="I1514" s="13">
        <f t="shared" ca="1" si="146"/>
        <v>12</v>
      </c>
      <c r="J1514" s="14">
        <f t="shared" ca="1" si="143"/>
        <v>112</v>
      </c>
      <c r="K1514" s="12" t="s">
        <v>41</v>
      </c>
      <c r="L1514" s="12">
        <v>118</v>
      </c>
      <c r="M1514" s="12" t="s">
        <v>40</v>
      </c>
      <c r="N1514" s="12">
        <v>319</v>
      </c>
    </row>
    <row r="1515" spans="1:15">
      <c r="A1515" s="12">
        <f t="shared" si="147"/>
        <v>1512</v>
      </c>
      <c r="B1515" s="12" t="s">
        <v>20</v>
      </c>
      <c r="C1515" s="12" t="s">
        <v>992</v>
      </c>
      <c r="D1515" s="12" t="s">
        <v>463</v>
      </c>
      <c r="E1515" s="89">
        <f t="shared" ca="1" si="148"/>
        <v>40951</v>
      </c>
      <c r="F1515" s="11">
        <f>DATE(89,12,8)</f>
        <v>32850</v>
      </c>
      <c r="G1515" s="12">
        <f t="shared" ca="1" si="144"/>
        <v>23</v>
      </c>
      <c r="H1515" s="12">
        <f t="shared" ca="1" si="145"/>
        <v>-10</v>
      </c>
      <c r="I1515" s="13">
        <f t="shared" ca="1" si="146"/>
        <v>4</v>
      </c>
      <c r="J1515" s="14">
        <f t="shared" ca="1" si="143"/>
        <v>22</v>
      </c>
      <c r="K1515" s="12" t="s">
        <v>41</v>
      </c>
      <c r="L1515" s="12">
        <v>118</v>
      </c>
      <c r="M1515" s="12" t="s">
        <v>44</v>
      </c>
      <c r="N1515" s="12">
        <v>319</v>
      </c>
    </row>
    <row r="1516" spans="1:15">
      <c r="A1516" s="12">
        <f t="shared" si="147"/>
        <v>1513</v>
      </c>
      <c r="B1516" s="12" t="s">
        <v>20</v>
      </c>
      <c r="C1516" s="12" t="s">
        <v>993</v>
      </c>
      <c r="D1516" s="12" t="s">
        <v>463</v>
      </c>
      <c r="E1516" s="89">
        <f t="shared" ca="1" si="148"/>
        <v>40951</v>
      </c>
      <c r="F1516" s="11">
        <f>DATE(91,1,19)</f>
        <v>33257</v>
      </c>
      <c r="G1516" s="12">
        <f t="shared" ca="1" si="144"/>
        <v>21</v>
      </c>
      <c r="H1516" s="12">
        <f t="shared" ca="1" si="145"/>
        <v>1</v>
      </c>
      <c r="I1516" s="13">
        <f t="shared" ca="1" si="146"/>
        <v>-7</v>
      </c>
      <c r="J1516" s="14">
        <f t="shared" ca="1" si="143"/>
        <v>21</v>
      </c>
      <c r="K1516" s="12" t="s">
        <v>41</v>
      </c>
      <c r="L1516" s="12">
        <v>118</v>
      </c>
      <c r="M1516" s="12" t="s">
        <v>44</v>
      </c>
      <c r="N1516" s="12">
        <v>319</v>
      </c>
    </row>
    <row r="1517" spans="1:15">
      <c r="A1517" s="12">
        <f t="shared" si="147"/>
        <v>1514</v>
      </c>
      <c r="B1517" s="12" t="s">
        <v>20</v>
      </c>
      <c r="C1517" s="12" t="s">
        <v>722</v>
      </c>
      <c r="D1517" s="12" t="s">
        <v>463</v>
      </c>
      <c r="E1517" s="89">
        <f t="shared" ca="1" si="148"/>
        <v>40951</v>
      </c>
      <c r="F1517" s="11">
        <f>DATE(93,2,3)</f>
        <v>34003</v>
      </c>
      <c r="G1517" s="12">
        <f t="shared" ca="1" si="144"/>
        <v>19</v>
      </c>
      <c r="H1517" s="12">
        <f t="shared" ca="1" si="145"/>
        <v>0</v>
      </c>
      <c r="I1517" s="13">
        <f t="shared" ca="1" si="146"/>
        <v>9</v>
      </c>
      <c r="J1517" s="14">
        <f t="shared" ca="1" si="143"/>
        <v>19</v>
      </c>
      <c r="K1517" s="12" t="s">
        <v>41</v>
      </c>
      <c r="L1517" s="12">
        <v>118</v>
      </c>
      <c r="M1517" s="12" t="s">
        <v>44</v>
      </c>
      <c r="N1517" s="12">
        <v>319</v>
      </c>
    </row>
    <row r="1518" spans="1:15">
      <c r="A1518" s="12">
        <f t="shared" si="147"/>
        <v>1515</v>
      </c>
      <c r="B1518" s="12" t="s">
        <v>20</v>
      </c>
      <c r="C1518" s="12" t="s">
        <v>903</v>
      </c>
      <c r="D1518" s="12" t="s">
        <v>316</v>
      </c>
      <c r="E1518" s="89">
        <f t="shared" ca="1" si="148"/>
        <v>40951</v>
      </c>
      <c r="F1518" s="11">
        <f>DATE(51,10,150)</f>
        <v>19051</v>
      </c>
      <c r="G1518" s="12">
        <f t="shared" ca="1" si="144"/>
        <v>60</v>
      </c>
      <c r="H1518" s="12">
        <f t="shared" ca="1" si="145"/>
        <v>0</v>
      </c>
      <c r="I1518" s="13">
        <f t="shared" ca="1" si="146"/>
        <v>-15</v>
      </c>
      <c r="J1518" s="14">
        <f t="shared" ca="1" si="143"/>
        <v>59</v>
      </c>
      <c r="K1518" s="12" t="s">
        <v>40</v>
      </c>
      <c r="L1518" s="12">
        <v>118</v>
      </c>
      <c r="M1518" s="12" t="s">
        <v>40</v>
      </c>
      <c r="N1518" s="12">
        <v>320</v>
      </c>
      <c r="O1518" s="90" t="s">
        <v>2748</v>
      </c>
    </row>
    <row r="1519" spans="1:15">
      <c r="A1519" s="12">
        <f t="shared" si="147"/>
        <v>1516</v>
      </c>
      <c r="B1519" s="12" t="s">
        <v>20</v>
      </c>
      <c r="C1519" s="12" t="s">
        <v>990</v>
      </c>
      <c r="D1519" s="12" t="s">
        <v>903</v>
      </c>
      <c r="E1519" s="89">
        <f t="shared" ca="1" si="148"/>
        <v>40951</v>
      </c>
      <c r="F1519" s="11">
        <f>DATE(57,3,16)</f>
        <v>20895</v>
      </c>
      <c r="G1519" s="12">
        <f t="shared" ca="1" si="144"/>
        <v>55</v>
      </c>
      <c r="H1519" s="12">
        <f t="shared" ca="1" si="145"/>
        <v>-1</v>
      </c>
      <c r="I1519" s="13">
        <f t="shared" ca="1" si="146"/>
        <v>-4</v>
      </c>
      <c r="J1519" s="14">
        <f t="shared" ca="1" si="143"/>
        <v>54</v>
      </c>
      <c r="K1519" s="12" t="s">
        <v>41</v>
      </c>
      <c r="L1519" s="12">
        <v>118</v>
      </c>
      <c r="M1519" s="12" t="s">
        <v>40</v>
      </c>
      <c r="N1519" s="12">
        <v>320</v>
      </c>
    </row>
    <row r="1520" spans="1:15">
      <c r="A1520" s="12">
        <f t="shared" si="147"/>
        <v>1517</v>
      </c>
      <c r="B1520" s="12" t="s">
        <v>20</v>
      </c>
      <c r="C1520" s="12" t="s">
        <v>118</v>
      </c>
      <c r="D1520" s="12" t="s">
        <v>903</v>
      </c>
      <c r="E1520" s="89">
        <f t="shared" ca="1" si="148"/>
        <v>40951</v>
      </c>
      <c r="F1520" s="11">
        <f>DATE(80,7,16)</f>
        <v>29418</v>
      </c>
      <c r="G1520" s="12">
        <f t="shared" ca="1" si="144"/>
        <v>32</v>
      </c>
      <c r="H1520" s="12">
        <f t="shared" ca="1" si="145"/>
        <v>-5</v>
      </c>
      <c r="I1520" s="13">
        <f t="shared" ca="1" si="146"/>
        <v>-4</v>
      </c>
      <c r="J1520" s="14">
        <f t="shared" ca="1" si="143"/>
        <v>31</v>
      </c>
      <c r="K1520" s="12" t="s">
        <v>40</v>
      </c>
      <c r="L1520" s="12">
        <v>118</v>
      </c>
      <c r="M1520" s="12" t="s">
        <v>44</v>
      </c>
      <c r="N1520" s="12">
        <v>320</v>
      </c>
    </row>
    <row r="1521" spans="1:15">
      <c r="A1521" s="12">
        <f t="shared" si="147"/>
        <v>1518</v>
      </c>
      <c r="B1521" s="12" t="s">
        <v>20</v>
      </c>
      <c r="C1521" s="12" t="s">
        <v>920</v>
      </c>
      <c r="D1521" s="12" t="s">
        <v>903</v>
      </c>
      <c r="E1521" s="89">
        <f t="shared" ca="1" si="148"/>
        <v>40951</v>
      </c>
      <c r="F1521" s="11">
        <f>DATE(82,6,11)</f>
        <v>30113</v>
      </c>
      <c r="G1521" s="12">
        <f t="shared" ca="1" si="144"/>
        <v>30</v>
      </c>
      <c r="H1521" s="12">
        <f t="shared" ca="1" si="145"/>
        <v>-4</v>
      </c>
      <c r="I1521" s="13">
        <f t="shared" ca="1" si="146"/>
        <v>1</v>
      </c>
      <c r="J1521" s="14">
        <f t="shared" ca="1" si="143"/>
        <v>29</v>
      </c>
      <c r="K1521" s="12" t="s">
        <v>41</v>
      </c>
      <c r="L1521" s="12">
        <v>118</v>
      </c>
      <c r="M1521" s="12" t="s">
        <v>44</v>
      </c>
      <c r="N1521" s="12">
        <v>320</v>
      </c>
    </row>
    <row r="1522" spans="1:15">
      <c r="A1522" s="12">
        <f t="shared" si="147"/>
        <v>1519</v>
      </c>
      <c r="B1522" s="12" t="s">
        <v>20</v>
      </c>
      <c r="C1522" s="12" t="s">
        <v>743</v>
      </c>
      <c r="D1522" s="12" t="s">
        <v>286</v>
      </c>
      <c r="E1522" s="89">
        <f t="shared" ca="1" si="148"/>
        <v>40951</v>
      </c>
      <c r="F1522" s="11">
        <f>DATE(37,2,1)</f>
        <v>13547</v>
      </c>
      <c r="G1522" s="12">
        <f t="shared" ca="1" si="144"/>
        <v>75</v>
      </c>
      <c r="H1522" s="12">
        <f t="shared" ca="1" si="145"/>
        <v>0</v>
      </c>
      <c r="I1522" s="13">
        <f t="shared" ca="1" si="146"/>
        <v>11</v>
      </c>
      <c r="J1522" s="14">
        <f t="shared" ca="1" si="143"/>
        <v>75</v>
      </c>
      <c r="K1522" s="12" t="s">
        <v>40</v>
      </c>
      <c r="L1522" s="12">
        <v>119</v>
      </c>
      <c r="M1522" s="12" t="s">
        <v>40</v>
      </c>
      <c r="N1522" s="12">
        <v>321</v>
      </c>
      <c r="O1522" s="90" t="s">
        <v>2748</v>
      </c>
    </row>
    <row r="1523" spans="1:15">
      <c r="A1523" s="12">
        <f t="shared" si="147"/>
        <v>1520</v>
      </c>
      <c r="B1523" s="12" t="s">
        <v>20</v>
      </c>
      <c r="C1523" s="12" t="s">
        <v>994</v>
      </c>
      <c r="D1523" s="12" t="s">
        <v>743</v>
      </c>
      <c r="E1523" s="89">
        <f t="shared" ca="1" si="148"/>
        <v>40951</v>
      </c>
      <c r="F1523" s="32"/>
      <c r="G1523" s="12">
        <f t="shared" ca="1" si="144"/>
        <v>112</v>
      </c>
      <c r="H1523" s="12">
        <f t="shared" ca="1" si="145"/>
        <v>1</v>
      </c>
      <c r="I1523" s="13">
        <f t="shared" ca="1" si="146"/>
        <v>12</v>
      </c>
      <c r="J1523" s="14">
        <f t="shared" ca="1" si="143"/>
        <v>112</v>
      </c>
      <c r="K1523" s="12" t="s">
        <v>41</v>
      </c>
      <c r="L1523" s="12">
        <v>119</v>
      </c>
      <c r="M1523" s="12" t="s">
        <v>40</v>
      </c>
      <c r="N1523" s="12">
        <v>321</v>
      </c>
    </row>
    <row r="1524" spans="1:15">
      <c r="A1524" s="12">
        <f t="shared" si="147"/>
        <v>1521</v>
      </c>
      <c r="B1524" s="12" t="s">
        <v>20</v>
      </c>
      <c r="C1524" s="12" t="s">
        <v>767</v>
      </c>
      <c r="D1524" s="12" t="s">
        <v>743</v>
      </c>
      <c r="E1524" s="89">
        <f t="shared" ca="1" si="148"/>
        <v>40951</v>
      </c>
      <c r="F1524" s="11">
        <f>DATE(63,12,29)</f>
        <v>23374</v>
      </c>
      <c r="G1524" s="12">
        <f t="shared" ca="1" si="144"/>
        <v>49</v>
      </c>
      <c r="H1524" s="12">
        <f t="shared" ca="1" si="145"/>
        <v>-10</v>
      </c>
      <c r="I1524" s="13">
        <f t="shared" ca="1" si="146"/>
        <v>-17</v>
      </c>
      <c r="J1524" s="14">
        <f t="shared" ca="1" si="143"/>
        <v>48</v>
      </c>
      <c r="K1524" s="12" t="s">
        <v>40</v>
      </c>
      <c r="L1524" s="12">
        <v>119</v>
      </c>
      <c r="M1524" s="12" t="s">
        <v>40</v>
      </c>
      <c r="N1524" s="12">
        <v>321</v>
      </c>
    </row>
    <row r="1525" spans="1:15">
      <c r="A1525" s="12">
        <f t="shared" si="147"/>
        <v>1522</v>
      </c>
      <c r="B1525" s="12" t="s">
        <v>20</v>
      </c>
      <c r="C1525" s="12" t="s">
        <v>487</v>
      </c>
      <c r="D1525" s="12" t="s">
        <v>767</v>
      </c>
      <c r="E1525" s="89">
        <f t="shared" ca="1" si="148"/>
        <v>40951</v>
      </c>
      <c r="F1525" s="11">
        <f>DATE(68,12,150)</f>
        <v>25322</v>
      </c>
      <c r="G1525" s="12">
        <f t="shared" ca="1" si="144"/>
        <v>43</v>
      </c>
      <c r="H1525" s="12">
        <f t="shared" ca="1" si="145"/>
        <v>-2</v>
      </c>
      <c r="I1525" s="13">
        <f t="shared" ca="1" si="146"/>
        <v>-17</v>
      </c>
      <c r="J1525" s="14">
        <f t="shared" ca="1" si="143"/>
        <v>42</v>
      </c>
      <c r="K1525" s="12" t="s">
        <v>41</v>
      </c>
      <c r="L1525" s="12">
        <v>119</v>
      </c>
      <c r="M1525" s="12" t="s">
        <v>40</v>
      </c>
      <c r="N1525" s="12">
        <v>321</v>
      </c>
    </row>
    <row r="1526" spans="1:15">
      <c r="A1526" s="12">
        <f t="shared" si="147"/>
        <v>1523</v>
      </c>
      <c r="B1526" s="12" t="s">
        <v>20</v>
      </c>
      <c r="C1526" s="12" t="s">
        <v>995</v>
      </c>
      <c r="D1526" s="12" t="s">
        <v>767</v>
      </c>
      <c r="E1526" s="89">
        <f t="shared" ca="1" si="148"/>
        <v>40951</v>
      </c>
      <c r="F1526" s="11">
        <f>DATE(92,8,3)</f>
        <v>33819</v>
      </c>
      <c r="G1526" s="12">
        <f t="shared" ca="1" si="144"/>
        <v>20</v>
      </c>
      <c r="H1526" s="12">
        <f t="shared" ca="1" si="145"/>
        <v>-6</v>
      </c>
      <c r="I1526" s="13">
        <f t="shared" ca="1" si="146"/>
        <v>9</v>
      </c>
      <c r="J1526" s="14">
        <f t="shared" ca="1" si="143"/>
        <v>19</v>
      </c>
      <c r="K1526" s="12" t="s">
        <v>41</v>
      </c>
      <c r="L1526" s="12">
        <v>119</v>
      </c>
      <c r="M1526" s="12" t="s">
        <v>44</v>
      </c>
      <c r="N1526" s="12">
        <v>321</v>
      </c>
    </row>
    <row r="1527" spans="1:15">
      <c r="A1527" s="12">
        <f t="shared" si="147"/>
        <v>1524</v>
      </c>
      <c r="B1527" s="12" t="s">
        <v>20</v>
      </c>
      <c r="C1527" s="12" t="s">
        <v>211</v>
      </c>
      <c r="D1527" s="12" t="s">
        <v>767</v>
      </c>
      <c r="E1527" s="89">
        <f t="shared" ca="1" si="148"/>
        <v>40951</v>
      </c>
      <c r="F1527" s="11">
        <f>DATE(94,9,16)</f>
        <v>34593</v>
      </c>
      <c r="G1527" s="12">
        <f t="shared" ca="1" si="144"/>
        <v>18</v>
      </c>
      <c r="H1527" s="12">
        <f t="shared" ca="1" si="145"/>
        <v>-7</v>
      </c>
      <c r="I1527" s="13">
        <f t="shared" ca="1" si="146"/>
        <v>-4</v>
      </c>
      <c r="J1527" s="14">
        <f t="shared" ca="1" si="143"/>
        <v>17</v>
      </c>
      <c r="K1527" s="12" t="s">
        <v>41</v>
      </c>
      <c r="L1527" s="12">
        <v>119</v>
      </c>
      <c r="M1527" s="12" t="s">
        <v>44</v>
      </c>
      <c r="N1527" s="12">
        <v>321</v>
      </c>
    </row>
    <row r="1528" spans="1:15">
      <c r="A1528" s="12">
        <f t="shared" si="147"/>
        <v>1525</v>
      </c>
      <c r="B1528" s="12" t="s">
        <v>20</v>
      </c>
      <c r="C1528" s="12" t="s">
        <v>865</v>
      </c>
      <c r="D1528" s="12" t="s">
        <v>996</v>
      </c>
      <c r="E1528" s="89">
        <f t="shared" ca="1" si="148"/>
        <v>40951</v>
      </c>
      <c r="F1528" s="11">
        <f>DATE(60,1,17)</f>
        <v>21932</v>
      </c>
      <c r="G1528" s="12">
        <f t="shared" ca="1" si="144"/>
        <v>52</v>
      </c>
      <c r="H1528" s="12">
        <f t="shared" ca="1" si="145"/>
        <v>1</v>
      </c>
      <c r="I1528" s="13">
        <f t="shared" ca="1" si="146"/>
        <v>-5</v>
      </c>
      <c r="J1528" s="14">
        <f t="shared" ca="1" si="143"/>
        <v>52</v>
      </c>
      <c r="K1528" s="12" t="s">
        <v>41</v>
      </c>
      <c r="L1528" s="12">
        <v>119</v>
      </c>
      <c r="M1528" s="12" t="s">
        <v>40</v>
      </c>
      <c r="N1528" s="12">
        <v>322</v>
      </c>
      <c r="O1528" s="90" t="s">
        <v>2748</v>
      </c>
    </row>
    <row r="1529" spans="1:15">
      <c r="A1529" s="12">
        <f t="shared" si="147"/>
        <v>1526</v>
      </c>
      <c r="B1529" s="12" t="s">
        <v>20</v>
      </c>
      <c r="C1529" s="12" t="s">
        <v>403</v>
      </c>
      <c r="D1529" s="12" t="s">
        <v>996</v>
      </c>
      <c r="E1529" s="89">
        <f t="shared" ca="1" si="148"/>
        <v>40951</v>
      </c>
      <c r="F1529" s="11">
        <f>DATE(83,5,24)</f>
        <v>30460</v>
      </c>
      <c r="G1529" s="12">
        <f t="shared" ca="1" si="144"/>
        <v>29</v>
      </c>
      <c r="H1529" s="12">
        <f t="shared" ca="1" si="145"/>
        <v>-3</v>
      </c>
      <c r="I1529" s="13">
        <f t="shared" ca="1" si="146"/>
        <v>-12</v>
      </c>
      <c r="J1529" s="14">
        <f t="shared" ca="1" si="143"/>
        <v>28</v>
      </c>
      <c r="K1529" s="12" t="s">
        <v>41</v>
      </c>
      <c r="L1529" s="12">
        <v>119</v>
      </c>
      <c r="M1529" s="12" t="s">
        <v>44</v>
      </c>
      <c r="N1529" s="12">
        <v>322</v>
      </c>
    </row>
    <row r="1530" spans="1:15">
      <c r="A1530" s="12">
        <f t="shared" si="147"/>
        <v>1527</v>
      </c>
      <c r="B1530" s="12" t="s">
        <v>20</v>
      </c>
      <c r="C1530" s="12" t="s">
        <v>776</v>
      </c>
      <c r="D1530" s="12" t="s">
        <v>996</v>
      </c>
      <c r="E1530" s="89">
        <f t="shared" ca="1" si="148"/>
        <v>40951</v>
      </c>
      <c r="F1530" s="11">
        <f>DATE(84,9,28)</f>
        <v>30953</v>
      </c>
      <c r="G1530" s="12">
        <f t="shared" ca="1" si="144"/>
        <v>28</v>
      </c>
      <c r="H1530" s="12">
        <f t="shared" ca="1" si="145"/>
        <v>-7</v>
      </c>
      <c r="I1530" s="13">
        <f t="shared" ca="1" si="146"/>
        <v>-16</v>
      </c>
      <c r="J1530" s="14">
        <f t="shared" ca="1" si="143"/>
        <v>27</v>
      </c>
      <c r="K1530" s="12" t="s">
        <v>41</v>
      </c>
      <c r="L1530" s="12">
        <v>119</v>
      </c>
      <c r="M1530" s="12" t="s">
        <v>44</v>
      </c>
      <c r="N1530" s="12">
        <v>322</v>
      </c>
    </row>
    <row r="1531" spans="1:15">
      <c r="A1531" s="12">
        <f t="shared" si="147"/>
        <v>1528</v>
      </c>
      <c r="B1531" s="12" t="s">
        <v>20</v>
      </c>
      <c r="C1531" s="12" t="s">
        <v>376</v>
      </c>
      <c r="D1531" s="12" t="s">
        <v>996</v>
      </c>
      <c r="E1531" s="89">
        <f t="shared" ca="1" si="148"/>
        <v>40951</v>
      </c>
      <c r="F1531" s="11">
        <f>DATE(88,8,6)</f>
        <v>32361</v>
      </c>
      <c r="G1531" s="12">
        <f t="shared" ca="1" si="144"/>
        <v>24</v>
      </c>
      <c r="H1531" s="12">
        <f t="shared" ca="1" si="145"/>
        <v>-6</v>
      </c>
      <c r="I1531" s="13">
        <f t="shared" ca="1" si="146"/>
        <v>6</v>
      </c>
      <c r="J1531" s="14">
        <f t="shared" ca="1" si="143"/>
        <v>23</v>
      </c>
      <c r="K1531" s="12" t="s">
        <v>40</v>
      </c>
      <c r="L1531" s="12">
        <v>119</v>
      </c>
      <c r="M1531" s="12" t="s">
        <v>44</v>
      </c>
      <c r="N1531" s="12">
        <v>322</v>
      </c>
    </row>
    <row r="1532" spans="1:15">
      <c r="A1532" s="12">
        <f t="shared" si="147"/>
        <v>1529</v>
      </c>
      <c r="B1532" s="12" t="s">
        <v>20</v>
      </c>
      <c r="C1532" s="12" t="s">
        <v>997</v>
      </c>
      <c r="D1532" s="12" t="s">
        <v>134</v>
      </c>
      <c r="E1532" s="89">
        <f t="shared" ca="1" si="148"/>
        <v>40951</v>
      </c>
      <c r="F1532" s="11">
        <f>DATE(60,12,17)</f>
        <v>22267</v>
      </c>
      <c r="G1532" s="12">
        <f t="shared" ca="1" si="144"/>
        <v>52</v>
      </c>
      <c r="H1532" s="12">
        <f t="shared" ca="1" si="145"/>
        <v>-10</v>
      </c>
      <c r="I1532" s="13">
        <f t="shared" ca="1" si="146"/>
        <v>-5</v>
      </c>
      <c r="J1532" s="14">
        <f t="shared" ca="1" si="143"/>
        <v>51</v>
      </c>
      <c r="K1532" s="12" t="s">
        <v>40</v>
      </c>
      <c r="L1532" s="12">
        <v>119</v>
      </c>
      <c r="M1532" s="12" t="s">
        <v>40</v>
      </c>
      <c r="N1532" s="12">
        <v>323</v>
      </c>
      <c r="O1532" s="90" t="s">
        <v>2748</v>
      </c>
    </row>
    <row r="1533" spans="1:15">
      <c r="A1533" s="12">
        <f t="shared" si="147"/>
        <v>1530</v>
      </c>
      <c r="B1533" s="12" t="s">
        <v>20</v>
      </c>
      <c r="C1533" s="12" t="s">
        <v>62</v>
      </c>
      <c r="D1533" s="12" t="s">
        <v>997</v>
      </c>
      <c r="E1533" s="89">
        <f t="shared" ca="1" si="148"/>
        <v>40951</v>
      </c>
      <c r="F1533" s="11">
        <f>DATE(68,2,21)</f>
        <v>24889</v>
      </c>
      <c r="G1533" s="12">
        <f t="shared" ca="1" si="144"/>
        <v>44</v>
      </c>
      <c r="H1533" s="12">
        <f t="shared" ca="1" si="145"/>
        <v>0</v>
      </c>
      <c r="I1533" s="13">
        <f t="shared" ca="1" si="146"/>
        <v>-9</v>
      </c>
      <c r="J1533" s="14">
        <f t="shared" ca="1" si="143"/>
        <v>43</v>
      </c>
      <c r="K1533" s="12" t="s">
        <v>41</v>
      </c>
      <c r="L1533" s="12">
        <v>119</v>
      </c>
      <c r="M1533" s="12" t="s">
        <v>40</v>
      </c>
      <c r="N1533" s="12">
        <v>323</v>
      </c>
    </row>
    <row r="1534" spans="1:15">
      <c r="A1534" s="12">
        <f t="shared" si="147"/>
        <v>1531</v>
      </c>
      <c r="B1534" s="12" t="s">
        <v>20</v>
      </c>
      <c r="C1534" s="12" t="s">
        <v>998</v>
      </c>
      <c r="D1534" s="12" t="s">
        <v>997</v>
      </c>
      <c r="E1534" s="89">
        <f t="shared" ca="1" si="148"/>
        <v>40951</v>
      </c>
      <c r="F1534" s="11">
        <f>DATE(87,11,1)</f>
        <v>32082</v>
      </c>
      <c r="G1534" s="12">
        <f t="shared" ca="1" si="144"/>
        <v>25</v>
      </c>
      <c r="H1534" s="12">
        <f t="shared" ca="1" si="145"/>
        <v>-9</v>
      </c>
      <c r="I1534" s="13">
        <f t="shared" ca="1" si="146"/>
        <v>11</v>
      </c>
      <c r="J1534" s="14">
        <f t="shared" ca="1" si="143"/>
        <v>24</v>
      </c>
      <c r="K1534" s="12" t="s">
        <v>41</v>
      </c>
      <c r="L1534" s="12">
        <v>119</v>
      </c>
      <c r="M1534" s="12" t="s">
        <v>44</v>
      </c>
      <c r="N1534" s="12">
        <v>323</v>
      </c>
    </row>
    <row r="1535" spans="1:15">
      <c r="A1535" s="12">
        <f t="shared" si="147"/>
        <v>1532</v>
      </c>
      <c r="B1535" s="12" t="s">
        <v>20</v>
      </c>
      <c r="C1535" s="12" t="s">
        <v>999</v>
      </c>
      <c r="D1535" s="12" t="s">
        <v>997</v>
      </c>
      <c r="E1535" s="89">
        <f t="shared" ca="1" si="148"/>
        <v>40951</v>
      </c>
      <c r="F1535" s="11">
        <f>DATE(94,2,24)</f>
        <v>34389</v>
      </c>
      <c r="G1535" s="12">
        <f t="shared" ca="1" si="144"/>
        <v>18</v>
      </c>
      <c r="H1535" s="12">
        <f t="shared" ca="1" si="145"/>
        <v>0</v>
      </c>
      <c r="I1535" s="13">
        <f t="shared" ca="1" si="146"/>
        <v>-12</v>
      </c>
      <c r="J1535" s="14">
        <f t="shared" ca="1" si="143"/>
        <v>17</v>
      </c>
      <c r="K1535" s="12" t="s">
        <v>41</v>
      </c>
      <c r="L1535" s="12">
        <v>119</v>
      </c>
      <c r="M1535" s="12" t="s">
        <v>44</v>
      </c>
      <c r="N1535" s="12">
        <v>323</v>
      </c>
    </row>
    <row r="1536" spans="1:15">
      <c r="A1536" s="12">
        <f t="shared" si="147"/>
        <v>1533</v>
      </c>
      <c r="B1536" s="12" t="s">
        <v>20</v>
      </c>
      <c r="C1536" s="12" t="s">
        <v>1000</v>
      </c>
      <c r="D1536" s="12" t="s">
        <v>60</v>
      </c>
      <c r="E1536" s="89">
        <f t="shared" ca="1" si="148"/>
        <v>40951</v>
      </c>
      <c r="F1536" s="11">
        <f>DATE(46,1,16)</f>
        <v>16818</v>
      </c>
      <c r="G1536" s="12">
        <f t="shared" ca="1" si="144"/>
        <v>66</v>
      </c>
      <c r="H1536" s="12">
        <f t="shared" ca="1" si="145"/>
        <v>1</v>
      </c>
      <c r="I1536" s="13">
        <f t="shared" ca="1" si="146"/>
        <v>-4</v>
      </c>
      <c r="J1536" s="14">
        <f t="shared" ca="1" si="143"/>
        <v>66</v>
      </c>
      <c r="K1536" s="12" t="s">
        <v>40</v>
      </c>
      <c r="L1536" s="12">
        <v>120</v>
      </c>
      <c r="M1536" s="12" t="s">
        <v>40</v>
      </c>
      <c r="N1536" s="12">
        <v>324</v>
      </c>
      <c r="O1536" s="90" t="s">
        <v>2748</v>
      </c>
    </row>
    <row r="1537" spans="1:15">
      <c r="A1537" s="12">
        <f t="shared" si="147"/>
        <v>1534</v>
      </c>
      <c r="B1537" s="12" t="s">
        <v>20</v>
      </c>
      <c r="C1537" s="12" t="s">
        <v>1001</v>
      </c>
      <c r="D1537" s="12" t="s">
        <v>1000</v>
      </c>
      <c r="E1537" s="89">
        <f t="shared" ca="1" si="148"/>
        <v>40951</v>
      </c>
      <c r="F1537" s="11">
        <f>DATE(53,7,15)</f>
        <v>19555</v>
      </c>
      <c r="G1537" s="12">
        <f t="shared" ca="1" si="144"/>
        <v>59</v>
      </c>
      <c r="H1537" s="12">
        <f t="shared" ca="1" si="145"/>
        <v>-5</v>
      </c>
      <c r="I1537" s="13">
        <f t="shared" ca="1" si="146"/>
        <v>-3</v>
      </c>
      <c r="J1537" s="14">
        <f t="shared" ca="1" si="143"/>
        <v>58</v>
      </c>
      <c r="K1537" s="12" t="s">
        <v>40</v>
      </c>
      <c r="L1537" s="12">
        <v>120</v>
      </c>
      <c r="M1537" s="12" t="s">
        <v>40</v>
      </c>
      <c r="N1537" s="12">
        <v>324</v>
      </c>
    </row>
    <row r="1538" spans="1:15">
      <c r="A1538" s="12">
        <f t="shared" si="147"/>
        <v>1535</v>
      </c>
      <c r="B1538" s="12" t="s">
        <v>20</v>
      </c>
      <c r="C1538" s="12" t="s">
        <v>986</v>
      </c>
      <c r="D1538" s="12" t="s">
        <v>1000</v>
      </c>
      <c r="E1538" s="89">
        <f t="shared" ca="1" si="148"/>
        <v>40951</v>
      </c>
      <c r="F1538" s="11">
        <f>DATE(76,9,14)</f>
        <v>28017</v>
      </c>
      <c r="G1538" s="12">
        <f t="shared" ca="1" si="144"/>
        <v>36</v>
      </c>
      <c r="H1538" s="12">
        <f t="shared" ca="1" si="145"/>
        <v>-7</v>
      </c>
      <c r="I1538" s="13">
        <f t="shared" ca="1" si="146"/>
        <v>-2</v>
      </c>
      <c r="J1538" s="14">
        <f t="shared" ca="1" si="143"/>
        <v>35</v>
      </c>
      <c r="K1538" s="12" t="s">
        <v>41</v>
      </c>
      <c r="L1538" s="12">
        <v>120</v>
      </c>
      <c r="M1538" s="12" t="s">
        <v>44</v>
      </c>
      <c r="N1538" s="12">
        <v>324</v>
      </c>
    </row>
    <row r="1539" spans="1:15">
      <c r="A1539" s="12">
        <f t="shared" si="147"/>
        <v>1536</v>
      </c>
      <c r="B1539" s="12" t="s">
        <v>20</v>
      </c>
      <c r="C1539" s="12" t="s">
        <v>1002</v>
      </c>
      <c r="D1539" s="12" t="s">
        <v>1000</v>
      </c>
      <c r="E1539" s="89">
        <f t="shared" ca="1" si="148"/>
        <v>40951</v>
      </c>
      <c r="F1539" s="11">
        <f>DATE(80,7,7)</f>
        <v>29409</v>
      </c>
      <c r="G1539" s="12">
        <f t="shared" ca="1" si="144"/>
        <v>32</v>
      </c>
      <c r="H1539" s="12">
        <f t="shared" ca="1" si="145"/>
        <v>-5</v>
      </c>
      <c r="I1539" s="13">
        <f t="shared" ca="1" si="146"/>
        <v>5</v>
      </c>
      <c r="J1539" s="14">
        <f t="shared" ca="1" si="143"/>
        <v>31</v>
      </c>
      <c r="K1539" s="12" t="s">
        <v>41</v>
      </c>
      <c r="L1539" s="12">
        <v>120</v>
      </c>
      <c r="M1539" s="12" t="s">
        <v>44</v>
      </c>
      <c r="N1539" s="12">
        <v>324</v>
      </c>
    </row>
    <row r="1540" spans="1:15">
      <c r="A1540" s="12">
        <f t="shared" si="147"/>
        <v>1537</v>
      </c>
      <c r="B1540" s="12" t="s">
        <v>20</v>
      </c>
      <c r="C1540" s="12" t="s">
        <v>1003</v>
      </c>
      <c r="D1540" s="12" t="s">
        <v>1002</v>
      </c>
      <c r="E1540" s="89">
        <f t="shared" ca="1" si="148"/>
        <v>40951</v>
      </c>
      <c r="F1540" s="11">
        <f>DATE(83,10,14)</f>
        <v>30603</v>
      </c>
      <c r="G1540" s="12">
        <f t="shared" ca="1" si="144"/>
        <v>29</v>
      </c>
      <c r="H1540" s="12">
        <f t="shared" ca="1" si="145"/>
        <v>-8</v>
      </c>
      <c r="I1540" s="13">
        <f t="shared" ca="1" si="146"/>
        <v>-2</v>
      </c>
      <c r="J1540" s="14">
        <f t="shared" ref="J1540:J1603" ca="1" si="149">IF(H1540&lt;0,G1540-1,IF(H1540&gt;0,G1540,IF(I1540&lt;0,G1540-1,G1540)))</f>
        <v>28</v>
      </c>
      <c r="K1540" s="12" t="s">
        <v>40</v>
      </c>
      <c r="L1540" s="12">
        <v>120</v>
      </c>
      <c r="M1540" s="12" t="s">
        <v>40</v>
      </c>
      <c r="N1540" s="12">
        <v>324</v>
      </c>
    </row>
    <row r="1541" spans="1:15">
      <c r="A1541" s="12">
        <f t="shared" si="147"/>
        <v>1538</v>
      </c>
      <c r="B1541" s="12" t="s">
        <v>20</v>
      </c>
      <c r="C1541" s="12" t="s">
        <v>1004</v>
      </c>
      <c r="D1541" s="12" t="s">
        <v>60</v>
      </c>
      <c r="E1541" s="89">
        <f t="shared" ca="1" si="148"/>
        <v>40951</v>
      </c>
      <c r="F1541" s="11">
        <f>DATE(59,4,4)</f>
        <v>21644</v>
      </c>
      <c r="G1541" s="12">
        <f t="shared" ca="1" si="144"/>
        <v>53</v>
      </c>
      <c r="H1541" s="12">
        <f t="shared" ca="1" si="145"/>
        <v>-2</v>
      </c>
      <c r="I1541" s="13">
        <f t="shared" ca="1" si="146"/>
        <v>8</v>
      </c>
      <c r="J1541" s="14">
        <f t="shared" ca="1" si="149"/>
        <v>52</v>
      </c>
      <c r="K1541" s="12" t="s">
        <v>41</v>
      </c>
      <c r="L1541" s="12">
        <v>120</v>
      </c>
      <c r="M1541" s="12" t="s">
        <v>44</v>
      </c>
      <c r="N1541" s="12">
        <v>324</v>
      </c>
    </row>
    <row r="1542" spans="1:15">
      <c r="A1542" s="12">
        <f t="shared" si="147"/>
        <v>1539</v>
      </c>
      <c r="B1542" s="12" t="s">
        <v>20</v>
      </c>
      <c r="C1542" s="12" t="s">
        <v>933</v>
      </c>
      <c r="D1542" s="12" t="s">
        <v>77</v>
      </c>
      <c r="E1542" s="89">
        <f t="shared" ca="1" si="148"/>
        <v>40951</v>
      </c>
      <c r="F1542" s="11">
        <f>DATE(46,10,25)</f>
        <v>17100</v>
      </c>
      <c r="G1542" s="12">
        <f t="shared" ca="1" si="144"/>
        <v>66</v>
      </c>
      <c r="H1542" s="12">
        <f t="shared" ca="1" si="145"/>
        <v>-8</v>
      </c>
      <c r="I1542" s="13">
        <f t="shared" ca="1" si="146"/>
        <v>-13</v>
      </c>
      <c r="J1542" s="14">
        <f t="shared" ca="1" si="149"/>
        <v>65</v>
      </c>
      <c r="K1542" s="12" t="s">
        <v>40</v>
      </c>
      <c r="L1542" s="12">
        <v>120</v>
      </c>
      <c r="M1542" s="12" t="s">
        <v>40</v>
      </c>
      <c r="N1542" s="12">
        <v>325</v>
      </c>
      <c r="O1542" s="90" t="s">
        <v>2748</v>
      </c>
    </row>
    <row r="1543" spans="1:15">
      <c r="A1543" s="12">
        <f t="shared" si="147"/>
        <v>1540</v>
      </c>
      <c r="B1543" s="12" t="s">
        <v>20</v>
      </c>
      <c r="C1543" s="12" t="s">
        <v>1005</v>
      </c>
      <c r="D1543" s="12" t="s">
        <v>933</v>
      </c>
      <c r="E1543" s="89">
        <f t="shared" ca="1" si="148"/>
        <v>40951</v>
      </c>
      <c r="F1543" s="11">
        <f>DATE(51,10,90)</f>
        <v>18991</v>
      </c>
      <c r="G1543" s="12">
        <f t="shared" ca="1" si="144"/>
        <v>61</v>
      </c>
      <c r="H1543" s="12">
        <f t="shared" ca="1" si="145"/>
        <v>-10</v>
      </c>
      <c r="I1543" s="13">
        <f t="shared" ca="1" si="146"/>
        <v>-17</v>
      </c>
      <c r="J1543" s="14">
        <f t="shared" ca="1" si="149"/>
        <v>60</v>
      </c>
      <c r="K1543" s="12" t="s">
        <v>40</v>
      </c>
      <c r="L1543" s="12">
        <v>120</v>
      </c>
      <c r="M1543" s="12" t="s">
        <v>40</v>
      </c>
      <c r="N1543" s="12">
        <v>325</v>
      </c>
    </row>
    <row r="1544" spans="1:15">
      <c r="A1544" s="12">
        <f t="shared" si="147"/>
        <v>1541</v>
      </c>
      <c r="B1544" s="12" t="s">
        <v>20</v>
      </c>
      <c r="C1544" s="12" t="s">
        <v>228</v>
      </c>
      <c r="D1544" s="12" t="s">
        <v>933</v>
      </c>
      <c r="E1544" s="89">
        <f t="shared" ca="1" si="148"/>
        <v>40951</v>
      </c>
      <c r="F1544" s="11">
        <f>DATE(75,11,24)</f>
        <v>27722</v>
      </c>
      <c r="G1544" s="12">
        <f t="shared" ca="1" si="144"/>
        <v>37</v>
      </c>
      <c r="H1544" s="12">
        <f t="shared" ca="1" si="145"/>
        <v>-9</v>
      </c>
      <c r="I1544" s="13">
        <f t="shared" ca="1" si="146"/>
        <v>-12</v>
      </c>
      <c r="J1544" s="14">
        <f t="shared" ca="1" si="149"/>
        <v>36</v>
      </c>
      <c r="K1544" s="12" t="s">
        <v>40</v>
      </c>
      <c r="L1544" s="12">
        <v>120</v>
      </c>
      <c r="M1544" s="12" t="s">
        <v>40</v>
      </c>
      <c r="N1544" s="12">
        <v>325</v>
      </c>
    </row>
    <row r="1545" spans="1:15">
      <c r="A1545" s="12">
        <f t="shared" si="147"/>
        <v>1542</v>
      </c>
      <c r="B1545" s="12" t="s">
        <v>20</v>
      </c>
      <c r="C1545" s="12" t="s">
        <v>1006</v>
      </c>
      <c r="D1545" s="12" t="s">
        <v>748</v>
      </c>
      <c r="E1545" s="89">
        <f t="shared" ca="1" si="148"/>
        <v>40951</v>
      </c>
      <c r="F1545" s="11">
        <f>DATE(78,10,26)</f>
        <v>28789</v>
      </c>
      <c r="G1545" s="12">
        <f t="shared" ca="1" si="144"/>
        <v>34</v>
      </c>
      <c r="H1545" s="12">
        <f t="shared" ca="1" si="145"/>
        <v>-8</v>
      </c>
      <c r="I1545" s="13">
        <f t="shared" ca="1" si="146"/>
        <v>-14</v>
      </c>
      <c r="J1545" s="14">
        <f t="shared" ca="1" si="149"/>
        <v>33</v>
      </c>
      <c r="K1545" s="12" t="s">
        <v>40</v>
      </c>
      <c r="L1545" s="12">
        <v>120</v>
      </c>
      <c r="M1545" s="12" t="s">
        <v>40</v>
      </c>
      <c r="N1545" s="12">
        <v>325</v>
      </c>
    </row>
    <row r="1546" spans="1:15">
      <c r="A1546" s="12">
        <f t="shared" si="147"/>
        <v>1543</v>
      </c>
      <c r="B1546" s="12" t="s">
        <v>20</v>
      </c>
      <c r="C1546" s="12" t="s">
        <v>486</v>
      </c>
      <c r="D1546" s="12" t="s">
        <v>933</v>
      </c>
      <c r="E1546" s="89">
        <f t="shared" ca="1" si="148"/>
        <v>40951</v>
      </c>
      <c r="F1546" s="11">
        <f>DATE(84,1,10)</f>
        <v>30691</v>
      </c>
      <c r="G1546" s="12">
        <f t="shared" ca="1" si="144"/>
        <v>28</v>
      </c>
      <c r="H1546" s="12">
        <f t="shared" ca="1" si="145"/>
        <v>1</v>
      </c>
      <c r="I1546" s="13">
        <f t="shared" ca="1" si="146"/>
        <v>2</v>
      </c>
      <c r="J1546" s="14">
        <f t="shared" ca="1" si="149"/>
        <v>28</v>
      </c>
      <c r="K1546" s="12" t="s">
        <v>41</v>
      </c>
      <c r="L1546" s="12">
        <v>120</v>
      </c>
      <c r="M1546" s="12" t="s">
        <v>44</v>
      </c>
      <c r="N1546" s="12">
        <v>325</v>
      </c>
    </row>
    <row r="1547" spans="1:15">
      <c r="A1547" s="12">
        <f t="shared" si="147"/>
        <v>1544</v>
      </c>
      <c r="B1547" s="12" t="s">
        <v>20</v>
      </c>
      <c r="C1547" s="12" t="s">
        <v>1007</v>
      </c>
      <c r="D1547" s="12" t="s">
        <v>933</v>
      </c>
      <c r="E1547" s="89">
        <f t="shared" ca="1" si="148"/>
        <v>40951</v>
      </c>
      <c r="F1547" s="11">
        <f>DATE(85,2,20)</f>
        <v>31098</v>
      </c>
      <c r="G1547" s="12">
        <f t="shared" ca="1" si="144"/>
        <v>27</v>
      </c>
      <c r="H1547" s="12">
        <f t="shared" ca="1" si="145"/>
        <v>0</v>
      </c>
      <c r="I1547" s="13">
        <f t="shared" ca="1" si="146"/>
        <v>-8</v>
      </c>
      <c r="J1547" s="14">
        <f t="shared" ca="1" si="149"/>
        <v>26</v>
      </c>
      <c r="K1547" s="12" t="s">
        <v>41</v>
      </c>
      <c r="L1547" s="12">
        <v>120</v>
      </c>
      <c r="M1547" s="12" t="s">
        <v>44</v>
      </c>
      <c r="N1547" s="12">
        <v>325</v>
      </c>
    </row>
    <row r="1548" spans="1:15">
      <c r="A1548" s="12">
        <f t="shared" si="147"/>
        <v>1545</v>
      </c>
      <c r="B1548" s="12" t="s">
        <v>20</v>
      </c>
      <c r="C1548" s="12" t="s">
        <v>507</v>
      </c>
      <c r="D1548" s="12" t="s">
        <v>1008</v>
      </c>
      <c r="E1548" s="89">
        <f t="shared" ca="1" si="148"/>
        <v>40951</v>
      </c>
      <c r="F1548" s="11">
        <f>DATE(64,5,22)</f>
        <v>23519</v>
      </c>
      <c r="G1548" s="12">
        <f t="shared" ca="1" si="144"/>
        <v>48</v>
      </c>
      <c r="H1548" s="12">
        <f t="shared" ca="1" si="145"/>
        <v>-3</v>
      </c>
      <c r="I1548" s="13">
        <f t="shared" ca="1" si="146"/>
        <v>-10</v>
      </c>
      <c r="J1548" s="14">
        <f t="shared" ca="1" si="149"/>
        <v>47</v>
      </c>
      <c r="K1548" s="12" t="s">
        <v>40</v>
      </c>
      <c r="L1548" s="12">
        <v>120</v>
      </c>
      <c r="M1548" s="12" t="s">
        <v>40</v>
      </c>
      <c r="N1548" s="12">
        <v>326</v>
      </c>
      <c r="O1548" s="90" t="s">
        <v>2748</v>
      </c>
    </row>
    <row r="1549" spans="1:15">
      <c r="A1549" s="12">
        <f t="shared" si="147"/>
        <v>1546</v>
      </c>
      <c r="B1549" s="12" t="s">
        <v>20</v>
      </c>
      <c r="C1549" s="12" t="s">
        <v>884</v>
      </c>
      <c r="D1549" s="12" t="s">
        <v>507</v>
      </c>
      <c r="E1549" s="89">
        <f t="shared" ca="1" si="148"/>
        <v>40951</v>
      </c>
      <c r="F1549" s="11">
        <f>DATE(69,12,1)</f>
        <v>25538</v>
      </c>
      <c r="G1549" s="12">
        <f t="shared" ca="1" si="144"/>
        <v>43</v>
      </c>
      <c r="H1549" s="12">
        <f t="shared" ca="1" si="145"/>
        <v>-10</v>
      </c>
      <c r="I1549" s="13">
        <f t="shared" ca="1" si="146"/>
        <v>11</v>
      </c>
      <c r="J1549" s="14">
        <f t="shared" ca="1" si="149"/>
        <v>42</v>
      </c>
      <c r="K1549" s="12" t="s">
        <v>40</v>
      </c>
      <c r="L1549" s="12">
        <v>120</v>
      </c>
      <c r="M1549" s="12" t="s">
        <v>40</v>
      </c>
      <c r="N1549" s="12">
        <v>326</v>
      </c>
    </row>
    <row r="1550" spans="1:15">
      <c r="A1550" s="12">
        <f t="shared" si="147"/>
        <v>1547</v>
      </c>
      <c r="B1550" s="12" t="s">
        <v>20</v>
      </c>
      <c r="C1550" s="12" t="s">
        <v>986</v>
      </c>
      <c r="D1550" s="12" t="s">
        <v>507</v>
      </c>
      <c r="E1550" s="89">
        <f t="shared" ca="1" si="148"/>
        <v>40951</v>
      </c>
      <c r="F1550" s="11">
        <f>DATE(90,12,4)</f>
        <v>33211</v>
      </c>
      <c r="G1550" s="12">
        <f t="shared" ca="1" si="144"/>
        <v>22</v>
      </c>
      <c r="H1550" s="12">
        <f t="shared" ca="1" si="145"/>
        <v>-10</v>
      </c>
      <c r="I1550" s="13">
        <f t="shared" ca="1" si="146"/>
        <v>8</v>
      </c>
      <c r="J1550" s="14">
        <f t="shared" ca="1" si="149"/>
        <v>21</v>
      </c>
      <c r="K1550" s="12" t="s">
        <v>41</v>
      </c>
      <c r="L1550" s="12">
        <v>120</v>
      </c>
      <c r="M1550" s="12" t="s">
        <v>44</v>
      </c>
      <c r="N1550" s="12">
        <v>326</v>
      </c>
    </row>
    <row r="1551" spans="1:15">
      <c r="A1551" s="12">
        <f t="shared" si="147"/>
        <v>1548</v>
      </c>
      <c r="B1551" s="12" t="s">
        <v>20</v>
      </c>
      <c r="C1551" s="12" t="s">
        <v>1009</v>
      </c>
      <c r="D1551" s="12" t="s">
        <v>507</v>
      </c>
      <c r="E1551" s="89">
        <f t="shared" ca="1" si="148"/>
        <v>40951</v>
      </c>
      <c r="F1551" s="11">
        <f>DATE(96,1,10)</f>
        <v>35074</v>
      </c>
      <c r="G1551" s="12">
        <f t="shared" ca="1" si="144"/>
        <v>16</v>
      </c>
      <c r="H1551" s="12">
        <f t="shared" ca="1" si="145"/>
        <v>1</v>
      </c>
      <c r="I1551" s="13">
        <f t="shared" ca="1" si="146"/>
        <v>2</v>
      </c>
      <c r="J1551" s="14">
        <f t="shared" ca="1" si="149"/>
        <v>16</v>
      </c>
      <c r="K1551" s="12" t="s">
        <v>41</v>
      </c>
      <c r="L1551" s="12">
        <v>120</v>
      </c>
      <c r="M1551" s="12" t="s">
        <v>44</v>
      </c>
      <c r="N1551" s="12">
        <v>326</v>
      </c>
    </row>
    <row r="1552" spans="1:15">
      <c r="A1552" s="12">
        <f t="shared" si="147"/>
        <v>1549</v>
      </c>
      <c r="B1552" s="12" t="s">
        <v>20</v>
      </c>
      <c r="C1552" s="12" t="s">
        <v>1010</v>
      </c>
      <c r="D1552" s="12" t="s">
        <v>507</v>
      </c>
      <c r="E1552" s="89">
        <f t="shared" ca="1" si="148"/>
        <v>40951</v>
      </c>
      <c r="F1552" s="11">
        <f>DATE(96,1,10)</f>
        <v>35074</v>
      </c>
      <c r="G1552" s="12">
        <f t="shared" ca="1" si="144"/>
        <v>16</v>
      </c>
      <c r="H1552" s="12">
        <f t="shared" ca="1" si="145"/>
        <v>1</v>
      </c>
      <c r="I1552" s="13">
        <f t="shared" ca="1" si="146"/>
        <v>2</v>
      </c>
      <c r="J1552" s="14">
        <f t="shared" ca="1" si="149"/>
        <v>16</v>
      </c>
      <c r="K1552" s="12" t="s">
        <v>41</v>
      </c>
      <c r="L1552" s="12">
        <v>120</v>
      </c>
      <c r="M1552" s="12" t="s">
        <v>44</v>
      </c>
      <c r="N1552" s="12">
        <v>326</v>
      </c>
    </row>
    <row r="1553" spans="1:15">
      <c r="A1553" s="12">
        <f t="shared" si="147"/>
        <v>1550</v>
      </c>
      <c r="B1553" s="12" t="s">
        <v>20</v>
      </c>
      <c r="C1553" s="12" t="s">
        <v>188</v>
      </c>
      <c r="D1553" s="12" t="s">
        <v>1008</v>
      </c>
      <c r="E1553" s="89">
        <f t="shared" ca="1" si="148"/>
        <v>40951</v>
      </c>
      <c r="F1553" s="32">
        <f>DATE(34,1,1)</f>
        <v>12420</v>
      </c>
      <c r="G1553" s="12">
        <f t="shared" ca="1" si="144"/>
        <v>78</v>
      </c>
      <c r="H1553" s="12">
        <f t="shared" ca="1" si="145"/>
        <v>1</v>
      </c>
      <c r="I1553" s="13">
        <f t="shared" ca="1" si="146"/>
        <v>11</v>
      </c>
      <c r="J1553" s="14">
        <f t="shared" ca="1" si="149"/>
        <v>78</v>
      </c>
      <c r="K1553" s="12" t="s">
        <v>40</v>
      </c>
      <c r="L1553" s="12">
        <v>120</v>
      </c>
      <c r="M1553" s="12" t="s">
        <v>40</v>
      </c>
      <c r="N1553" s="12">
        <v>326</v>
      </c>
    </row>
    <row r="1554" spans="1:15">
      <c r="A1554" s="12">
        <f t="shared" si="147"/>
        <v>1551</v>
      </c>
      <c r="B1554" s="12" t="s">
        <v>20</v>
      </c>
      <c r="C1554" s="12" t="s">
        <v>93</v>
      </c>
      <c r="D1554" s="12" t="s">
        <v>316</v>
      </c>
      <c r="E1554" s="89">
        <f t="shared" ca="1" si="148"/>
        <v>40951</v>
      </c>
      <c r="F1554" s="11">
        <f>DATE(62,1,4)</f>
        <v>22650</v>
      </c>
      <c r="G1554" s="12">
        <f t="shared" ca="1" si="144"/>
        <v>50</v>
      </c>
      <c r="H1554" s="12">
        <f t="shared" ca="1" si="145"/>
        <v>1</v>
      </c>
      <c r="I1554" s="13">
        <f t="shared" ca="1" si="146"/>
        <v>8</v>
      </c>
      <c r="J1554" s="14">
        <f t="shared" ca="1" si="149"/>
        <v>50</v>
      </c>
      <c r="K1554" s="12" t="s">
        <v>40</v>
      </c>
      <c r="L1554" s="12">
        <v>121</v>
      </c>
      <c r="M1554" s="12" t="s">
        <v>40</v>
      </c>
      <c r="N1554" s="12">
        <v>327</v>
      </c>
      <c r="O1554" s="90" t="s">
        <v>2748</v>
      </c>
    </row>
    <row r="1555" spans="1:15">
      <c r="A1555" s="12">
        <f t="shared" si="147"/>
        <v>1552</v>
      </c>
      <c r="B1555" s="12" t="s">
        <v>20</v>
      </c>
      <c r="C1555" s="12" t="s">
        <v>1011</v>
      </c>
      <c r="D1555" s="12" t="s">
        <v>93</v>
      </c>
      <c r="E1555" s="89">
        <f t="shared" ca="1" si="148"/>
        <v>40951</v>
      </c>
      <c r="F1555" s="11">
        <f>DATE(69,8,280)</f>
        <v>25695</v>
      </c>
      <c r="G1555" s="12">
        <f t="shared" ca="1" si="144"/>
        <v>42</v>
      </c>
      <c r="H1555" s="12">
        <f t="shared" ca="1" si="145"/>
        <v>-3</v>
      </c>
      <c r="I1555" s="13">
        <f t="shared" ca="1" si="146"/>
        <v>5</v>
      </c>
      <c r="J1555" s="14">
        <f t="shared" ca="1" si="149"/>
        <v>41</v>
      </c>
      <c r="K1555" s="12" t="s">
        <v>40</v>
      </c>
      <c r="L1555" s="12">
        <v>121</v>
      </c>
      <c r="M1555" s="12" t="s">
        <v>40</v>
      </c>
      <c r="N1555" s="12">
        <v>327</v>
      </c>
    </row>
    <row r="1556" spans="1:15">
      <c r="A1556" s="12">
        <f t="shared" si="147"/>
        <v>1553</v>
      </c>
      <c r="B1556" s="12" t="s">
        <v>20</v>
      </c>
      <c r="C1556" s="12" t="s">
        <v>344</v>
      </c>
      <c r="D1556" s="12" t="s">
        <v>93</v>
      </c>
      <c r="E1556" s="89">
        <f t="shared" ca="1" si="148"/>
        <v>40951</v>
      </c>
      <c r="F1556" s="11">
        <f>DATE(91,12,280)</f>
        <v>33852</v>
      </c>
      <c r="G1556" s="12">
        <f t="shared" ca="1" si="144"/>
        <v>20</v>
      </c>
      <c r="H1556" s="12">
        <f t="shared" ca="1" si="145"/>
        <v>-7</v>
      </c>
      <c r="I1556" s="13">
        <f t="shared" ca="1" si="146"/>
        <v>7</v>
      </c>
      <c r="J1556" s="14">
        <f t="shared" ca="1" si="149"/>
        <v>19</v>
      </c>
      <c r="K1556" s="12" t="s">
        <v>41</v>
      </c>
      <c r="L1556" s="12">
        <v>121</v>
      </c>
      <c r="M1556" s="12" t="s">
        <v>44</v>
      </c>
      <c r="N1556" s="12">
        <v>327</v>
      </c>
    </row>
    <row r="1557" spans="1:15">
      <c r="A1557" s="12">
        <f t="shared" si="147"/>
        <v>1554</v>
      </c>
      <c r="B1557" s="12" t="s">
        <v>20</v>
      </c>
      <c r="C1557" s="12" t="s">
        <v>151</v>
      </c>
      <c r="D1557" s="12" t="s">
        <v>93</v>
      </c>
      <c r="E1557" s="89">
        <f t="shared" ca="1" si="148"/>
        <v>40951</v>
      </c>
      <c r="F1557" s="11">
        <f>DATE(95,10,25)</f>
        <v>34997</v>
      </c>
      <c r="G1557" s="12">
        <f t="shared" ca="1" si="144"/>
        <v>17</v>
      </c>
      <c r="H1557" s="12">
        <f t="shared" ca="1" si="145"/>
        <v>-8</v>
      </c>
      <c r="I1557" s="13">
        <f t="shared" ca="1" si="146"/>
        <v>-13</v>
      </c>
      <c r="J1557" s="14">
        <f t="shared" ca="1" si="149"/>
        <v>16</v>
      </c>
      <c r="K1557" s="12" t="s">
        <v>41</v>
      </c>
      <c r="L1557" s="12">
        <v>121</v>
      </c>
      <c r="M1557" s="12" t="s">
        <v>44</v>
      </c>
      <c r="N1557" s="12">
        <v>327</v>
      </c>
    </row>
    <row r="1558" spans="1:15">
      <c r="A1558" s="12">
        <f t="shared" si="147"/>
        <v>1555</v>
      </c>
      <c r="B1558" s="12" t="s">
        <v>20</v>
      </c>
      <c r="C1558" s="12" t="s">
        <v>90</v>
      </c>
      <c r="D1558" s="12" t="s">
        <v>642</v>
      </c>
      <c r="E1558" s="89">
        <f t="shared" ca="1" si="148"/>
        <v>40951</v>
      </c>
      <c r="F1558" s="11">
        <f>DATE(53,9,7)</f>
        <v>19609</v>
      </c>
      <c r="G1558" s="12">
        <f t="shared" ca="1" si="144"/>
        <v>59</v>
      </c>
      <c r="H1558" s="12">
        <f t="shared" ca="1" si="145"/>
        <v>-7</v>
      </c>
      <c r="I1558" s="13">
        <f t="shared" ca="1" si="146"/>
        <v>5</v>
      </c>
      <c r="J1558" s="14">
        <f t="shared" ca="1" si="149"/>
        <v>58</v>
      </c>
      <c r="K1558" s="12" t="s">
        <v>40</v>
      </c>
      <c r="L1558" s="12">
        <v>121</v>
      </c>
      <c r="M1558" s="12" t="s">
        <v>40</v>
      </c>
      <c r="N1558" s="12">
        <v>328</v>
      </c>
      <c r="O1558" s="90" t="s">
        <v>2748</v>
      </c>
    </row>
    <row r="1559" spans="1:15">
      <c r="A1559" s="12">
        <f t="shared" si="147"/>
        <v>1556</v>
      </c>
      <c r="B1559" s="12" t="s">
        <v>20</v>
      </c>
      <c r="C1559" s="12" t="s">
        <v>1012</v>
      </c>
      <c r="D1559" s="12" t="s">
        <v>90</v>
      </c>
      <c r="E1559" s="89">
        <f t="shared" ca="1" si="148"/>
        <v>40951</v>
      </c>
      <c r="F1559" s="11">
        <f>DATE(57,9,9)</f>
        <v>21072</v>
      </c>
      <c r="G1559" s="12">
        <f t="shared" ca="1" si="144"/>
        <v>55</v>
      </c>
      <c r="H1559" s="12">
        <f t="shared" ca="1" si="145"/>
        <v>-7</v>
      </c>
      <c r="I1559" s="13">
        <f t="shared" ca="1" si="146"/>
        <v>3</v>
      </c>
      <c r="J1559" s="14">
        <f t="shared" ca="1" si="149"/>
        <v>54</v>
      </c>
      <c r="K1559" s="12" t="s">
        <v>41</v>
      </c>
      <c r="L1559" s="12">
        <v>121</v>
      </c>
      <c r="M1559" s="12" t="s">
        <v>40</v>
      </c>
      <c r="N1559" s="12">
        <v>328</v>
      </c>
    </row>
    <row r="1560" spans="1:15">
      <c r="A1560" s="12">
        <f t="shared" si="147"/>
        <v>1557</v>
      </c>
      <c r="B1560" s="12" t="s">
        <v>20</v>
      </c>
      <c r="C1560" s="12" t="s">
        <v>1013</v>
      </c>
      <c r="D1560" s="12" t="s">
        <v>642</v>
      </c>
      <c r="E1560" s="89">
        <f t="shared" ca="1" si="148"/>
        <v>40951</v>
      </c>
      <c r="F1560" s="11">
        <f>DATE(32,1,24)</f>
        <v>11712</v>
      </c>
      <c r="G1560" s="12">
        <f t="shared" ca="1" si="144"/>
        <v>80</v>
      </c>
      <c r="H1560" s="12">
        <f t="shared" ca="1" si="145"/>
        <v>1</v>
      </c>
      <c r="I1560" s="13">
        <f t="shared" ca="1" si="146"/>
        <v>-12</v>
      </c>
      <c r="J1560" s="14">
        <f t="shared" ca="1" si="149"/>
        <v>80</v>
      </c>
      <c r="K1560" s="12" t="s">
        <v>40</v>
      </c>
      <c r="L1560" s="12">
        <v>121</v>
      </c>
      <c r="M1560" s="12" t="s">
        <v>40</v>
      </c>
      <c r="N1560" s="12">
        <v>328</v>
      </c>
    </row>
    <row r="1561" spans="1:15">
      <c r="A1561" s="12">
        <f t="shared" si="147"/>
        <v>1558</v>
      </c>
      <c r="B1561" s="12" t="s">
        <v>20</v>
      </c>
      <c r="C1561" s="12" t="s">
        <v>90</v>
      </c>
      <c r="D1561" s="12" t="s">
        <v>1014</v>
      </c>
      <c r="E1561" s="89">
        <f t="shared" ca="1" si="148"/>
        <v>40951</v>
      </c>
      <c r="F1561" s="11">
        <f>DATE(37,2,1)</f>
        <v>13547</v>
      </c>
      <c r="G1561" s="12">
        <f t="shared" ca="1" si="144"/>
        <v>75</v>
      </c>
      <c r="H1561" s="12">
        <f t="shared" ca="1" si="145"/>
        <v>0</v>
      </c>
      <c r="I1561" s="13">
        <f t="shared" ca="1" si="146"/>
        <v>11</v>
      </c>
      <c r="J1561" s="14">
        <f t="shared" ca="1" si="149"/>
        <v>75</v>
      </c>
      <c r="K1561" s="12" t="s">
        <v>40</v>
      </c>
      <c r="L1561" s="12">
        <v>121</v>
      </c>
      <c r="M1561" s="12" t="s">
        <v>40</v>
      </c>
      <c r="N1561" s="12">
        <v>329</v>
      </c>
      <c r="O1561" s="90" t="s">
        <v>2748</v>
      </c>
    </row>
    <row r="1562" spans="1:15">
      <c r="A1562" s="12">
        <f t="shared" si="147"/>
        <v>1559</v>
      </c>
      <c r="B1562" s="12" t="s">
        <v>20</v>
      </c>
      <c r="C1562" s="12" t="s">
        <v>1015</v>
      </c>
      <c r="D1562" s="12" t="s">
        <v>90</v>
      </c>
      <c r="E1562" s="89">
        <f t="shared" ca="1" si="148"/>
        <v>40951</v>
      </c>
      <c r="F1562" s="32"/>
      <c r="G1562" s="12">
        <f t="shared" ref="G1562:G1625" ca="1" si="150">YEAR(E1562)-YEAR(F1562)</f>
        <v>112</v>
      </c>
      <c r="H1562" s="12">
        <f t="shared" ref="H1562:H1625" ca="1" si="151">MONTH(E1562)-MONTH(F1562)</f>
        <v>1</v>
      </c>
      <c r="I1562" s="13">
        <f t="shared" ref="I1562:I1625" ca="1" si="152">DAY(E1562)-DAY(F1562)</f>
        <v>12</v>
      </c>
      <c r="J1562" s="14">
        <f t="shared" ca="1" si="149"/>
        <v>112</v>
      </c>
      <c r="K1562" s="12" t="s">
        <v>40</v>
      </c>
      <c r="L1562" s="12">
        <v>121</v>
      </c>
      <c r="M1562" s="12" t="s">
        <v>40</v>
      </c>
      <c r="N1562" s="12">
        <v>329</v>
      </c>
    </row>
    <row r="1563" spans="1:15">
      <c r="A1563" s="12">
        <f t="shared" si="147"/>
        <v>1560</v>
      </c>
      <c r="B1563" s="12" t="s">
        <v>20</v>
      </c>
      <c r="C1563" s="12" t="s">
        <v>49</v>
      </c>
      <c r="D1563" s="12" t="s">
        <v>90</v>
      </c>
      <c r="E1563" s="89">
        <f t="shared" ca="1" si="148"/>
        <v>40951</v>
      </c>
      <c r="F1563" s="11">
        <f>DATE(64,4,24)</f>
        <v>23491</v>
      </c>
      <c r="G1563" s="12">
        <f t="shared" ca="1" si="150"/>
        <v>48</v>
      </c>
      <c r="H1563" s="12">
        <f t="shared" ca="1" si="151"/>
        <v>-2</v>
      </c>
      <c r="I1563" s="13">
        <f t="shared" ca="1" si="152"/>
        <v>-12</v>
      </c>
      <c r="J1563" s="14">
        <f t="shared" ca="1" si="149"/>
        <v>47</v>
      </c>
      <c r="K1563" s="12" t="s">
        <v>40</v>
      </c>
      <c r="L1563" s="12">
        <v>121</v>
      </c>
      <c r="M1563" s="12" t="s">
        <v>40</v>
      </c>
      <c r="N1563" s="12">
        <v>329</v>
      </c>
    </row>
    <row r="1564" spans="1:15">
      <c r="A1564" s="12">
        <f t="shared" si="147"/>
        <v>1561</v>
      </c>
      <c r="B1564" s="12" t="s">
        <v>20</v>
      </c>
      <c r="C1564" s="12" t="s">
        <v>755</v>
      </c>
      <c r="D1564" s="12" t="s">
        <v>49</v>
      </c>
      <c r="E1564" s="89">
        <f t="shared" ca="1" si="148"/>
        <v>40951</v>
      </c>
      <c r="F1564" s="11">
        <f>DATE(70,3,30)</f>
        <v>25657</v>
      </c>
      <c r="G1564" s="12">
        <f t="shared" ca="1" si="150"/>
        <v>42</v>
      </c>
      <c r="H1564" s="12">
        <f t="shared" ca="1" si="151"/>
        <v>-1</v>
      </c>
      <c r="I1564" s="13">
        <f t="shared" ca="1" si="152"/>
        <v>-18</v>
      </c>
      <c r="J1564" s="14">
        <f t="shared" ca="1" si="149"/>
        <v>41</v>
      </c>
      <c r="K1564" s="12" t="s">
        <v>40</v>
      </c>
      <c r="L1564" s="12">
        <v>121</v>
      </c>
      <c r="M1564" s="12" t="s">
        <v>40</v>
      </c>
      <c r="N1564" s="12">
        <v>329</v>
      </c>
    </row>
    <row r="1565" spans="1:15">
      <c r="A1565" s="12">
        <f t="shared" si="147"/>
        <v>1562</v>
      </c>
      <c r="B1565" s="12" t="s">
        <v>20</v>
      </c>
      <c r="C1565" s="12" t="s">
        <v>1016</v>
      </c>
      <c r="D1565" s="12" t="s">
        <v>49</v>
      </c>
      <c r="E1565" s="89">
        <f t="shared" ca="1" si="148"/>
        <v>40951</v>
      </c>
      <c r="F1565" s="11">
        <f>DATE(95,7,21)</f>
        <v>34901</v>
      </c>
      <c r="G1565" s="12">
        <f t="shared" ca="1" si="150"/>
        <v>17</v>
      </c>
      <c r="H1565" s="12">
        <f t="shared" ca="1" si="151"/>
        <v>-5</v>
      </c>
      <c r="I1565" s="13">
        <f t="shared" ca="1" si="152"/>
        <v>-9</v>
      </c>
      <c r="J1565" s="14">
        <f t="shared" ca="1" si="149"/>
        <v>16</v>
      </c>
      <c r="K1565" s="12" t="s">
        <v>41</v>
      </c>
      <c r="L1565" s="12">
        <v>121</v>
      </c>
      <c r="M1565" s="12" t="s">
        <v>44</v>
      </c>
      <c r="N1565" s="12">
        <v>329</v>
      </c>
    </row>
    <row r="1566" spans="1:15">
      <c r="A1566" s="12">
        <f t="shared" ref="A1566:A1629" si="153">A1565+1</f>
        <v>1563</v>
      </c>
      <c r="B1566" s="12" t="s">
        <v>20</v>
      </c>
      <c r="C1566" s="12" t="s">
        <v>1017</v>
      </c>
      <c r="D1566" s="12" t="s">
        <v>49</v>
      </c>
      <c r="E1566" s="89">
        <f t="shared" ca="1" si="148"/>
        <v>40951</v>
      </c>
      <c r="F1566" s="11">
        <f>DATE(2002,7,7)</f>
        <v>37444</v>
      </c>
      <c r="G1566" s="12">
        <f t="shared" ca="1" si="150"/>
        <v>10</v>
      </c>
      <c r="H1566" s="12">
        <f t="shared" ca="1" si="151"/>
        <v>-5</v>
      </c>
      <c r="I1566" s="13">
        <f t="shared" ca="1" si="152"/>
        <v>5</v>
      </c>
      <c r="J1566" s="14">
        <f t="shared" ca="1" si="149"/>
        <v>9</v>
      </c>
      <c r="K1566" s="12" t="s">
        <v>41</v>
      </c>
      <c r="L1566" s="12">
        <v>121</v>
      </c>
      <c r="M1566" s="12" t="s">
        <v>44</v>
      </c>
      <c r="N1566" s="12">
        <v>329</v>
      </c>
    </row>
    <row r="1567" spans="1:15">
      <c r="A1567" s="12">
        <f t="shared" si="153"/>
        <v>1564</v>
      </c>
      <c r="B1567" s="12" t="s">
        <v>20</v>
      </c>
      <c r="C1567" s="12" t="s">
        <v>554</v>
      </c>
      <c r="D1567" s="12" t="s">
        <v>49</v>
      </c>
      <c r="E1567" s="89">
        <f t="shared" ca="1" si="148"/>
        <v>40951</v>
      </c>
      <c r="F1567" s="11">
        <f>DATE(2005,5,17)</f>
        <v>38489</v>
      </c>
      <c r="G1567" s="12">
        <f t="shared" ca="1" si="150"/>
        <v>7</v>
      </c>
      <c r="H1567" s="12">
        <f t="shared" ca="1" si="151"/>
        <v>-3</v>
      </c>
      <c r="I1567" s="13">
        <f t="shared" ca="1" si="152"/>
        <v>-5</v>
      </c>
      <c r="J1567" s="14">
        <f t="shared" ca="1" si="149"/>
        <v>6</v>
      </c>
      <c r="K1567" s="12" t="s">
        <v>41</v>
      </c>
      <c r="L1567" s="12">
        <v>121</v>
      </c>
      <c r="M1567" s="12" t="s">
        <v>44</v>
      </c>
      <c r="N1567" s="12">
        <v>329</v>
      </c>
    </row>
    <row r="1568" spans="1:15">
      <c r="A1568" s="12">
        <f t="shared" si="153"/>
        <v>1565</v>
      </c>
      <c r="B1568" s="12" t="s">
        <v>20</v>
      </c>
      <c r="C1568" s="12" t="s">
        <v>1018</v>
      </c>
      <c r="D1568" s="12" t="s">
        <v>423</v>
      </c>
      <c r="E1568" s="89">
        <f t="shared" ca="1" si="148"/>
        <v>40951</v>
      </c>
      <c r="F1568" s="11">
        <f>DATE(61,9,19)</f>
        <v>22543</v>
      </c>
      <c r="G1568" s="12">
        <f t="shared" ca="1" si="150"/>
        <v>51</v>
      </c>
      <c r="H1568" s="12">
        <f t="shared" ca="1" si="151"/>
        <v>-7</v>
      </c>
      <c r="I1568" s="13">
        <f t="shared" ca="1" si="152"/>
        <v>-7</v>
      </c>
      <c r="J1568" s="14">
        <f t="shared" ca="1" si="149"/>
        <v>50</v>
      </c>
      <c r="K1568" s="12" t="s">
        <v>40</v>
      </c>
      <c r="L1568" s="12">
        <v>122</v>
      </c>
      <c r="M1568" s="12" t="s">
        <v>40</v>
      </c>
      <c r="N1568" s="12">
        <v>330</v>
      </c>
      <c r="O1568" s="90" t="s">
        <v>2748</v>
      </c>
    </row>
    <row r="1569" spans="1:15">
      <c r="A1569" s="12">
        <f t="shared" si="153"/>
        <v>1566</v>
      </c>
      <c r="B1569" s="12" t="s">
        <v>20</v>
      </c>
      <c r="C1569" s="12" t="s">
        <v>523</v>
      </c>
      <c r="D1569" s="12" t="s">
        <v>93</v>
      </c>
      <c r="E1569" s="89">
        <f t="shared" ca="1" si="148"/>
        <v>40951</v>
      </c>
      <c r="F1569" s="11">
        <f>DATE(61,10,22)</f>
        <v>22576</v>
      </c>
      <c r="G1569" s="12">
        <f t="shared" ca="1" si="150"/>
        <v>51</v>
      </c>
      <c r="H1569" s="12">
        <f t="shared" ca="1" si="151"/>
        <v>-8</v>
      </c>
      <c r="I1569" s="13">
        <f t="shared" ca="1" si="152"/>
        <v>-10</v>
      </c>
      <c r="J1569" s="14">
        <f t="shared" ca="1" si="149"/>
        <v>50</v>
      </c>
      <c r="K1569" s="12" t="s">
        <v>41</v>
      </c>
      <c r="L1569" s="12">
        <v>122</v>
      </c>
      <c r="M1569" s="12" t="s">
        <v>40</v>
      </c>
      <c r="N1569" s="12">
        <v>330</v>
      </c>
    </row>
    <row r="1570" spans="1:15">
      <c r="A1570" s="12">
        <f t="shared" si="153"/>
        <v>1567</v>
      </c>
      <c r="B1570" s="12" t="s">
        <v>20</v>
      </c>
      <c r="C1570" s="12" t="s">
        <v>344</v>
      </c>
      <c r="D1570" s="12" t="s">
        <v>93</v>
      </c>
      <c r="E1570" s="89">
        <f t="shared" ca="1" si="148"/>
        <v>40951</v>
      </c>
      <c r="F1570" s="11">
        <f>DATE(88,8,19)</f>
        <v>32374</v>
      </c>
      <c r="G1570" s="12">
        <f t="shared" ca="1" si="150"/>
        <v>24</v>
      </c>
      <c r="H1570" s="12">
        <f t="shared" ca="1" si="151"/>
        <v>-6</v>
      </c>
      <c r="I1570" s="13">
        <f t="shared" ca="1" si="152"/>
        <v>-7</v>
      </c>
      <c r="J1570" s="14">
        <f t="shared" ca="1" si="149"/>
        <v>23</v>
      </c>
      <c r="K1570" s="12" t="s">
        <v>41</v>
      </c>
      <c r="L1570" s="12">
        <v>122</v>
      </c>
      <c r="M1570" s="12" t="s">
        <v>44</v>
      </c>
      <c r="N1570" s="12">
        <v>330</v>
      </c>
    </row>
    <row r="1571" spans="1:15">
      <c r="A1571" s="12">
        <f t="shared" si="153"/>
        <v>1568</v>
      </c>
      <c r="B1571" s="12" t="s">
        <v>20</v>
      </c>
      <c r="C1571" s="12" t="s">
        <v>1019</v>
      </c>
      <c r="D1571" s="12" t="s">
        <v>93</v>
      </c>
      <c r="E1571" s="89">
        <f t="shared" ca="1" si="148"/>
        <v>40951</v>
      </c>
      <c r="F1571" s="11">
        <f>DATE(90,11,2)</f>
        <v>33179</v>
      </c>
      <c r="G1571" s="12">
        <f t="shared" ca="1" si="150"/>
        <v>22</v>
      </c>
      <c r="H1571" s="12">
        <f t="shared" ca="1" si="151"/>
        <v>-9</v>
      </c>
      <c r="I1571" s="13">
        <f t="shared" ca="1" si="152"/>
        <v>10</v>
      </c>
      <c r="J1571" s="14">
        <f t="shared" ca="1" si="149"/>
        <v>21</v>
      </c>
      <c r="K1571" s="12" t="s">
        <v>41</v>
      </c>
      <c r="L1571" s="12">
        <v>122</v>
      </c>
      <c r="M1571" s="12" t="s">
        <v>44</v>
      </c>
      <c r="N1571" s="12">
        <v>330</v>
      </c>
    </row>
    <row r="1572" spans="1:15">
      <c r="A1572" s="12">
        <f t="shared" si="153"/>
        <v>1569</v>
      </c>
      <c r="B1572" s="12" t="s">
        <v>20</v>
      </c>
      <c r="C1572" s="12" t="s">
        <v>109</v>
      </c>
      <c r="D1572" s="12" t="s">
        <v>985</v>
      </c>
      <c r="E1572" s="89">
        <f t="shared" ref="E1572:E1636" ca="1" si="154">TODAY()</f>
        <v>40951</v>
      </c>
      <c r="F1572" s="11">
        <f>DATE(57,11,2)</f>
        <v>21126</v>
      </c>
      <c r="G1572" s="12">
        <f t="shared" ca="1" si="150"/>
        <v>55</v>
      </c>
      <c r="H1572" s="12">
        <f t="shared" ca="1" si="151"/>
        <v>-9</v>
      </c>
      <c r="I1572" s="13">
        <f t="shared" ca="1" si="152"/>
        <v>10</v>
      </c>
      <c r="J1572" s="14">
        <f t="shared" ca="1" si="149"/>
        <v>54</v>
      </c>
      <c r="K1572" s="12" t="s">
        <v>40</v>
      </c>
      <c r="L1572" s="12">
        <v>122</v>
      </c>
      <c r="M1572" s="12" t="s">
        <v>40</v>
      </c>
      <c r="N1572" s="12">
        <v>331</v>
      </c>
      <c r="O1572" s="90" t="s">
        <v>2748</v>
      </c>
    </row>
    <row r="1573" spans="1:15">
      <c r="A1573" s="12">
        <f t="shared" si="153"/>
        <v>1570</v>
      </c>
      <c r="B1573" s="12" t="s">
        <v>20</v>
      </c>
      <c r="C1573" s="12" t="s">
        <v>622</v>
      </c>
      <c r="D1573" s="12" t="s">
        <v>109</v>
      </c>
      <c r="E1573" s="89">
        <f t="shared" ca="1" si="154"/>
        <v>40951</v>
      </c>
      <c r="F1573" s="11">
        <f>DATE(69,9,1)</f>
        <v>25447</v>
      </c>
      <c r="G1573" s="12">
        <f t="shared" ca="1" si="150"/>
        <v>43</v>
      </c>
      <c r="H1573" s="12">
        <f t="shared" ca="1" si="151"/>
        <v>-7</v>
      </c>
      <c r="I1573" s="13">
        <f t="shared" ca="1" si="152"/>
        <v>11</v>
      </c>
      <c r="J1573" s="14">
        <f t="shared" ca="1" si="149"/>
        <v>42</v>
      </c>
      <c r="K1573" s="12" t="s">
        <v>41</v>
      </c>
      <c r="L1573" s="12">
        <v>122</v>
      </c>
      <c r="M1573" s="12" t="s">
        <v>40</v>
      </c>
      <c r="N1573" s="12">
        <v>331</v>
      </c>
    </row>
    <row r="1574" spans="1:15">
      <c r="A1574" s="12">
        <f t="shared" si="153"/>
        <v>1571</v>
      </c>
      <c r="B1574" s="12" t="s">
        <v>20</v>
      </c>
      <c r="C1574" s="12" t="s">
        <v>1020</v>
      </c>
      <c r="D1574" s="12" t="s">
        <v>985</v>
      </c>
      <c r="E1574" s="89">
        <f t="shared" ca="1" si="154"/>
        <v>40951</v>
      </c>
      <c r="F1574" s="32"/>
      <c r="G1574" s="12">
        <f t="shared" ca="1" si="150"/>
        <v>112</v>
      </c>
      <c r="H1574" s="12">
        <f t="shared" ca="1" si="151"/>
        <v>1</v>
      </c>
      <c r="I1574" s="13">
        <f t="shared" ca="1" si="152"/>
        <v>12</v>
      </c>
      <c r="J1574" s="14">
        <f t="shared" ca="1" si="149"/>
        <v>112</v>
      </c>
      <c r="K1574" s="12" t="s">
        <v>41</v>
      </c>
      <c r="L1574" s="12">
        <v>122</v>
      </c>
      <c r="M1574" s="12" t="s">
        <v>40</v>
      </c>
      <c r="N1574" s="12">
        <v>331</v>
      </c>
    </row>
    <row r="1575" spans="1:15">
      <c r="A1575" s="12">
        <f t="shared" si="153"/>
        <v>1572</v>
      </c>
      <c r="B1575" s="12" t="s">
        <v>20</v>
      </c>
      <c r="C1575" s="12" t="s">
        <v>774</v>
      </c>
      <c r="D1575" s="12" t="s">
        <v>109</v>
      </c>
      <c r="E1575" s="89">
        <f t="shared" ca="1" si="154"/>
        <v>40951</v>
      </c>
      <c r="F1575" s="11">
        <f>DATE(89,3,24)</f>
        <v>32591</v>
      </c>
      <c r="G1575" s="12">
        <f t="shared" ca="1" si="150"/>
        <v>23</v>
      </c>
      <c r="H1575" s="12">
        <f t="shared" ca="1" si="151"/>
        <v>-1</v>
      </c>
      <c r="I1575" s="13">
        <f t="shared" ca="1" si="152"/>
        <v>-12</v>
      </c>
      <c r="J1575" s="14">
        <f t="shared" ca="1" si="149"/>
        <v>22</v>
      </c>
      <c r="K1575" s="12" t="s">
        <v>41</v>
      </c>
      <c r="L1575" s="12">
        <v>122</v>
      </c>
      <c r="M1575" s="12" t="s">
        <v>44</v>
      </c>
      <c r="N1575" s="12">
        <v>331</v>
      </c>
    </row>
    <row r="1576" spans="1:15">
      <c r="A1576" s="12">
        <f t="shared" si="153"/>
        <v>1573</v>
      </c>
      <c r="B1576" s="12" t="s">
        <v>20</v>
      </c>
      <c r="C1576" s="12" t="s">
        <v>1021</v>
      </c>
      <c r="D1576" s="12" t="s">
        <v>109</v>
      </c>
      <c r="E1576" s="89">
        <f t="shared" ca="1" si="154"/>
        <v>40951</v>
      </c>
      <c r="F1576" s="11">
        <f>DATE(90,5,2)</f>
        <v>32995</v>
      </c>
      <c r="G1576" s="12">
        <f t="shared" ca="1" si="150"/>
        <v>22</v>
      </c>
      <c r="H1576" s="12">
        <f t="shared" ca="1" si="151"/>
        <v>-3</v>
      </c>
      <c r="I1576" s="13">
        <f t="shared" ca="1" si="152"/>
        <v>10</v>
      </c>
      <c r="J1576" s="14">
        <f t="shared" ca="1" si="149"/>
        <v>21</v>
      </c>
      <c r="K1576" s="12" t="s">
        <v>41</v>
      </c>
      <c r="L1576" s="12">
        <v>122</v>
      </c>
      <c r="M1576" s="12" t="s">
        <v>44</v>
      </c>
      <c r="N1576" s="12">
        <v>331</v>
      </c>
    </row>
    <row r="1577" spans="1:15">
      <c r="A1577" s="12">
        <f t="shared" si="153"/>
        <v>1574</v>
      </c>
      <c r="B1577" s="12" t="s">
        <v>20</v>
      </c>
      <c r="C1577" s="12" t="s">
        <v>759</v>
      </c>
      <c r="D1577" s="12" t="s">
        <v>109</v>
      </c>
      <c r="E1577" s="89">
        <f t="shared" ca="1" si="154"/>
        <v>40951</v>
      </c>
      <c r="F1577" s="11">
        <f>DATE(2000,1,9)</f>
        <v>36534</v>
      </c>
      <c r="G1577" s="12">
        <f t="shared" ca="1" si="150"/>
        <v>12</v>
      </c>
      <c r="H1577" s="12">
        <f t="shared" ca="1" si="151"/>
        <v>1</v>
      </c>
      <c r="I1577" s="13">
        <f t="shared" ca="1" si="152"/>
        <v>3</v>
      </c>
      <c r="J1577" s="14">
        <f t="shared" ca="1" si="149"/>
        <v>12</v>
      </c>
      <c r="K1577" s="12" t="s">
        <v>40</v>
      </c>
      <c r="L1577" s="12">
        <v>122</v>
      </c>
      <c r="M1577" s="12" t="s">
        <v>44</v>
      </c>
      <c r="N1577" s="12">
        <v>331</v>
      </c>
    </row>
    <row r="1578" spans="1:15">
      <c r="A1578" s="12">
        <f t="shared" si="153"/>
        <v>1575</v>
      </c>
      <c r="B1578" s="12" t="s">
        <v>20</v>
      </c>
      <c r="C1578" s="12" t="s">
        <v>243</v>
      </c>
      <c r="D1578" s="12" t="s">
        <v>743</v>
      </c>
      <c r="E1578" s="89">
        <f t="shared" ca="1" si="154"/>
        <v>40951</v>
      </c>
      <c r="F1578" s="11">
        <f>DATE(60,7,1)</f>
        <v>22098</v>
      </c>
      <c r="G1578" s="12">
        <f t="shared" ca="1" si="150"/>
        <v>52</v>
      </c>
      <c r="H1578" s="12">
        <f t="shared" ca="1" si="151"/>
        <v>-5</v>
      </c>
      <c r="I1578" s="13">
        <f t="shared" ca="1" si="152"/>
        <v>11</v>
      </c>
      <c r="J1578" s="14">
        <f t="shared" ca="1" si="149"/>
        <v>51</v>
      </c>
      <c r="K1578" s="12" t="s">
        <v>40</v>
      </c>
      <c r="L1578" s="12">
        <v>122</v>
      </c>
      <c r="M1578" s="12" t="s">
        <v>40</v>
      </c>
      <c r="N1578" s="12">
        <v>332</v>
      </c>
      <c r="O1578" s="90" t="s">
        <v>2748</v>
      </c>
    </row>
    <row r="1579" spans="1:15">
      <c r="A1579" s="12">
        <f t="shared" si="153"/>
        <v>1576</v>
      </c>
      <c r="B1579" s="12" t="s">
        <v>20</v>
      </c>
      <c r="C1579" s="12" t="s">
        <v>62</v>
      </c>
      <c r="D1579" s="12" t="s">
        <v>243</v>
      </c>
      <c r="E1579" s="89">
        <f t="shared" ca="1" si="154"/>
        <v>40951</v>
      </c>
      <c r="F1579" s="11">
        <f>DATE(65,7,200)</f>
        <v>24123</v>
      </c>
      <c r="G1579" s="12">
        <f t="shared" ca="1" si="150"/>
        <v>46</v>
      </c>
      <c r="H1579" s="12">
        <f t="shared" ca="1" si="151"/>
        <v>1</v>
      </c>
      <c r="I1579" s="13">
        <f t="shared" ca="1" si="152"/>
        <v>-4</v>
      </c>
      <c r="J1579" s="14">
        <f t="shared" ca="1" si="149"/>
        <v>46</v>
      </c>
      <c r="K1579" s="12" t="s">
        <v>41</v>
      </c>
      <c r="L1579" s="12">
        <v>122</v>
      </c>
      <c r="M1579" s="12" t="s">
        <v>40</v>
      </c>
      <c r="N1579" s="12">
        <v>332</v>
      </c>
    </row>
    <row r="1580" spans="1:15">
      <c r="A1580" s="12">
        <f t="shared" si="153"/>
        <v>1577</v>
      </c>
      <c r="B1580" s="12" t="s">
        <v>20</v>
      </c>
      <c r="C1580" s="12" t="s">
        <v>631</v>
      </c>
      <c r="D1580" s="12" t="s">
        <v>243</v>
      </c>
      <c r="E1580" s="89">
        <f t="shared" ca="1" si="154"/>
        <v>40951</v>
      </c>
      <c r="F1580" s="11">
        <f>DATE(87,10,15)</f>
        <v>32065</v>
      </c>
      <c r="G1580" s="12">
        <f t="shared" ca="1" si="150"/>
        <v>25</v>
      </c>
      <c r="H1580" s="12">
        <f t="shared" ca="1" si="151"/>
        <v>-8</v>
      </c>
      <c r="I1580" s="13">
        <f t="shared" ca="1" si="152"/>
        <v>-3</v>
      </c>
      <c r="J1580" s="14">
        <f t="shared" ca="1" si="149"/>
        <v>24</v>
      </c>
      <c r="K1580" s="12" t="s">
        <v>41</v>
      </c>
      <c r="L1580" s="12">
        <v>122</v>
      </c>
      <c r="M1580" s="12" t="s">
        <v>44</v>
      </c>
      <c r="N1580" s="12">
        <v>332</v>
      </c>
    </row>
    <row r="1581" spans="1:15">
      <c r="A1581" s="12">
        <f t="shared" si="153"/>
        <v>1578</v>
      </c>
      <c r="B1581" s="12" t="s">
        <v>20</v>
      </c>
      <c r="C1581" s="12" t="s">
        <v>100</v>
      </c>
      <c r="D1581" s="12" t="s">
        <v>243</v>
      </c>
      <c r="E1581" s="89">
        <f t="shared" ca="1" si="154"/>
        <v>40951</v>
      </c>
      <c r="F1581" s="11">
        <f>DATE(87,10,150)</f>
        <v>32200</v>
      </c>
      <c r="G1581" s="12">
        <f t="shared" ca="1" si="150"/>
        <v>24</v>
      </c>
      <c r="H1581" s="12">
        <f t="shared" ca="1" si="151"/>
        <v>0</v>
      </c>
      <c r="I1581" s="13">
        <f t="shared" ca="1" si="152"/>
        <v>-15</v>
      </c>
      <c r="J1581" s="14">
        <f t="shared" ca="1" si="149"/>
        <v>23</v>
      </c>
      <c r="K1581" s="12" t="s">
        <v>41</v>
      </c>
      <c r="L1581" s="12">
        <v>122</v>
      </c>
      <c r="M1581" s="12" t="s">
        <v>44</v>
      </c>
      <c r="N1581" s="12">
        <v>332</v>
      </c>
    </row>
    <row r="1582" spans="1:15">
      <c r="A1582" s="12">
        <v>1578</v>
      </c>
      <c r="B1582" s="12" t="s">
        <v>20</v>
      </c>
      <c r="C1582" s="12" t="s">
        <v>452</v>
      </c>
      <c r="D1582" s="12" t="s">
        <v>602</v>
      </c>
      <c r="E1582" s="89">
        <f t="shared" ca="1" si="154"/>
        <v>40951</v>
      </c>
      <c r="F1582" s="11">
        <f>DATE(64,8,26)</f>
        <v>23615</v>
      </c>
      <c r="G1582" s="12">
        <f t="shared" ca="1" si="150"/>
        <v>48</v>
      </c>
      <c r="H1582" s="12">
        <f t="shared" ca="1" si="151"/>
        <v>-6</v>
      </c>
      <c r="I1582" s="13">
        <f t="shared" ca="1" si="152"/>
        <v>-14</v>
      </c>
      <c r="J1582" s="14">
        <f t="shared" ca="1" si="149"/>
        <v>47</v>
      </c>
      <c r="K1582" s="12" t="s">
        <v>40</v>
      </c>
      <c r="L1582" s="12">
        <v>123</v>
      </c>
      <c r="M1582" s="12" t="s">
        <v>40</v>
      </c>
      <c r="N1582" s="12">
        <v>333</v>
      </c>
      <c r="O1582" s="90" t="s">
        <v>2748</v>
      </c>
    </row>
    <row r="1583" spans="1:15">
      <c r="A1583" s="12">
        <f>A1581+1</f>
        <v>1579</v>
      </c>
      <c r="B1583" s="12" t="s">
        <v>20</v>
      </c>
      <c r="C1583" s="12" t="s">
        <v>62</v>
      </c>
      <c r="D1583" s="12" t="s">
        <v>767</v>
      </c>
      <c r="E1583" s="89">
        <f t="shared" ca="1" si="154"/>
        <v>40951</v>
      </c>
      <c r="F1583" s="11">
        <f>DATE(65,8,13)</f>
        <v>23967</v>
      </c>
      <c r="G1583" s="12">
        <f t="shared" ca="1" si="150"/>
        <v>47</v>
      </c>
      <c r="H1583" s="12">
        <f t="shared" ca="1" si="151"/>
        <v>-6</v>
      </c>
      <c r="I1583" s="13">
        <f t="shared" ca="1" si="152"/>
        <v>-1</v>
      </c>
      <c r="J1583" s="14">
        <f t="shared" ca="1" si="149"/>
        <v>46</v>
      </c>
      <c r="K1583" s="12" t="s">
        <v>41</v>
      </c>
      <c r="L1583" s="12">
        <v>123</v>
      </c>
      <c r="M1583" s="12" t="s">
        <v>40</v>
      </c>
      <c r="N1583" s="12">
        <v>333</v>
      </c>
    </row>
    <row r="1584" spans="1:15">
      <c r="A1584" s="12">
        <f t="shared" si="153"/>
        <v>1580</v>
      </c>
      <c r="B1584" s="12" t="s">
        <v>20</v>
      </c>
      <c r="C1584" s="12" t="s">
        <v>1022</v>
      </c>
      <c r="D1584" s="12" t="s">
        <v>767</v>
      </c>
      <c r="E1584" s="89">
        <f t="shared" ca="1" si="154"/>
        <v>40951</v>
      </c>
      <c r="F1584" s="11">
        <f>DATE(89,8,1)</f>
        <v>32721</v>
      </c>
      <c r="G1584" s="12">
        <f t="shared" ca="1" si="150"/>
        <v>23</v>
      </c>
      <c r="H1584" s="12">
        <f t="shared" ca="1" si="151"/>
        <v>-6</v>
      </c>
      <c r="I1584" s="13">
        <f t="shared" ca="1" si="152"/>
        <v>11</v>
      </c>
      <c r="J1584" s="14">
        <f t="shared" ca="1" si="149"/>
        <v>22</v>
      </c>
      <c r="K1584" s="12" t="s">
        <v>40</v>
      </c>
      <c r="L1584" s="12">
        <v>123</v>
      </c>
      <c r="M1584" s="12" t="s">
        <v>44</v>
      </c>
      <c r="N1584" s="12">
        <v>333</v>
      </c>
    </row>
    <row r="1585" spans="1:15">
      <c r="A1585" s="12">
        <f t="shared" si="153"/>
        <v>1581</v>
      </c>
      <c r="B1585" s="12" t="s">
        <v>20</v>
      </c>
      <c r="C1585" s="12" t="s">
        <v>1023</v>
      </c>
      <c r="D1585" s="12" t="s">
        <v>767</v>
      </c>
      <c r="E1585" s="89">
        <f t="shared" ca="1" si="154"/>
        <v>40951</v>
      </c>
      <c r="F1585" s="11">
        <f>DATE(2003,9,17)</f>
        <v>37881</v>
      </c>
      <c r="G1585" s="12">
        <f t="shared" ca="1" si="150"/>
        <v>9</v>
      </c>
      <c r="H1585" s="12">
        <f t="shared" ca="1" si="151"/>
        <v>-7</v>
      </c>
      <c r="I1585" s="13">
        <f t="shared" ca="1" si="152"/>
        <v>-5</v>
      </c>
      <c r="J1585" s="14">
        <f t="shared" ca="1" si="149"/>
        <v>8</v>
      </c>
      <c r="K1585" s="12" t="s">
        <v>41</v>
      </c>
      <c r="L1585" s="12">
        <v>123</v>
      </c>
      <c r="M1585" s="12" t="s">
        <v>44</v>
      </c>
      <c r="N1585" s="12">
        <v>333</v>
      </c>
    </row>
    <row r="1586" spans="1:15">
      <c r="A1586" s="12">
        <f t="shared" si="153"/>
        <v>1582</v>
      </c>
      <c r="B1586" s="12" t="s">
        <v>20</v>
      </c>
      <c r="C1586" s="12" t="s">
        <v>1024</v>
      </c>
      <c r="D1586" s="12" t="s">
        <v>1014</v>
      </c>
      <c r="E1586" s="89">
        <f t="shared" ca="1" si="154"/>
        <v>40951</v>
      </c>
      <c r="F1586" s="11">
        <f>DATE(27,1,16)</f>
        <v>9878</v>
      </c>
      <c r="G1586" s="12">
        <f t="shared" ca="1" si="150"/>
        <v>85</v>
      </c>
      <c r="H1586" s="12">
        <f t="shared" ca="1" si="151"/>
        <v>1</v>
      </c>
      <c r="I1586" s="13">
        <f t="shared" ca="1" si="152"/>
        <v>-4</v>
      </c>
      <c r="J1586" s="14">
        <f t="shared" ca="1" si="149"/>
        <v>85</v>
      </c>
      <c r="K1586" s="12" t="s">
        <v>40</v>
      </c>
      <c r="L1586" s="12">
        <v>123</v>
      </c>
      <c r="M1586" s="12" t="s">
        <v>40</v>
      </c>
      <c r="N1586" s="12">
        <v>334</v>
      </c>
      <c r="O1586" s="90" t="s">
        <v>2748</v>
      </c>
    </row>
    <row r="1587" spans="1:15">
      <c r="A1587" s="12">
        <f t="shared" si="153"/>
        <v>1583</v>
      </c>
      <c r="B1587" s="12" t="s">
        <v>20</v>
      </c>
      <c r="C1587" s="12" t="s">
        <v>1025</v>
      </c>
      <c r="D1587" s="12" t="s">
        <v>602</v>
      </c>
      <c r="E1587" s="89">
        <f t="shared" ca="1" si="154"/>
        <v>40951</v>
      </c>
      <c r="F1587" s="32">
        <f>DATE(21,1,1)</f>
        <v>7672</v>
      </c>
      <c r="G1587" s="12">
        <f t="shared" ca="1" si="150"/>
        <v>91</v>
      </c>
      <c r="H1587" s="12">
        <f t="shared" ca="1" si="151"/>
        <v>1</v>
      </c>
      <c r="I1587" s="13">
        <f t="shared" ca="1" si="152"/>
        <v>11</v>
      </c>
      <c r="J1587" s="14">
        <f t="shared" ca="1" si="149"/>
        <v>91</v>
      </c>
      <c r="K1587" s="12" t="s">
        <v>41</v>
      </c>
      <c r="L1587" s="12">
        <v>123</v>
      </c>
      <c r="M1587" s="12" t="s">
        <v>40</v>
      </c>
      <c r="N1587" s="12">
        <v>334</v>
      </c>
    </row>
    <row r="1588" spans="1:15">
      <c r="A1588" s="12">
        <f t="shared" si="153"/>
        <v>1584</v>
      </c>
      <c r="B1588" s="12" t="s">
        <v>20</v>
      </c>
      <c r="C1588" s="12" t="s">
        <v>1026</v>
      </c>
      <c r="D1588" s="12" t="s">
        <v>602</v>
      </c>
      <c r="E1588" s="89">
        <f t="shared" ca="1" si="154"/>
        <v>40951</v>
      </c>
      <c r="F1588" s="11">
        <f>DATE(59,6,14)</f>
        <v>21715</v>
      </c>
      <c r="G1588" s="12">
        <f t="shared" ca="1" si="150"/>
        <v>53</v>
      </c>
      <c r="H1588" s="12">
        <f t="shared" ca="1" si="151"/>
        <v>-4</v>
      </c>
      <c r="I1588" s="13">
        <f t="shared" ca="1" si="152"/>
        <v>-2</v>
      </c>
      <c r="J1588" s="14">
        <f t="shared" ca="1" si="149"/>
        <v>52</v>
      </c>
      <c r="K1588" s="12" t="s">
        <v>40</v>
      </c>
      <c r="L1588" s="12">
        <v>123</v>
      </c>
      <c r="M1588" s="12" t="s">
        <v>40</v>
      </c>
      <c r="N1588" s="12">
        <v>334</v>
      </c>
    </row>
    <row r="1589" spans="1:15">
      <c r="A1589" s="12">
        <f t="shared" si="153"/>
        <v>1585</v>
      </c>
      <c r="B1589" s="12" t="s">
        <v>20</v>
      </c>
      <c r="C1589" s="12" t="s">
        <v>113</v>
      </c>
      <c r="D1589" s="12" t="s">
        <v>1026</v>
      </c>
      <c r="E1589" s="89">
        <f t="shared" ca="1" si="154"/>
        <v>40951</v>
      </c>
      <c r="F1589" s="11">
        <f>DATE(61,5,6)</f>
        <v>22407</v>
      </c>
      <c r="G1589" s="12">
        <f t="shared" ca="1" si="150"/>
        <v>51</v>
      </c>
      <c r="H1589" s="12">
        <f t="shared" ca="1" si="151"/>
        <v>-3</v>
      </c>
      <c r="I1589" s="13">
        <f t="shared" ca="1" si="152"/>
        <v>6</v>
      </c>
      <c r="J1589" s="14">
        <f t="shared" ca="1" si="149"/>
        <v>50</v>
      </c>
      <c r="K1589" s="12" t="s">
        <v>41</v>
      </c>
      <c r="L1589" s="12">
        <v>123</v>
      </c>
      <c r="M1589" s="12" t="s">
        <v>40</v>
      </c>
      <c r="N1589" s="12">
        <v>334</v>
      </c>
    </row>
    <row r="1590" spans="1:15">
      <c r="A1590" s="12">
        <f t="shared" si="153"/>
        <v>1586</v>
      </c>
      <c r="B1590" s="12" t="s">
        <v>20</v>
      </c>
      <c r="C1590" s="12" t="s">
        <v>299</v>
      </c>
      <c r="D1590" s="12" t="s">
        <v>1026</v>
      </c>
      <c r="E1590" s="89">
        <f t="shared" ca="1" si="154"/>
        <v>40951</v>
      </c>
      <c r="F1590" s="11">
        <f>DATE(84,8,21)</f>
        <v>30915</v>
      </c>
      <c r="G1590" s="12">
        <f t="shared" ca="1" si="150"/>
        <v>28</v>
      </c>
      <c r="H1590" s="12">
        <f t="shared" ca="1" si="151"/>
        <v>-6</v>
      </c>
      <c r="I1590" s="13">
        <f t="shared" ca="1" si="152"/>
        <v>-9</v>
      </c>
      <c r="J1590" s="14">
        <f t="shared" ca="1" si="149"/>
        <v>27</v>
      </c>
      <c r="K1590" s="12" t="s">
        <v>40</v>
      </c>
      <c r="L1590" s="12">
        <v>123</v>
      </c>
      <c r="M1590" s="12" t="s">
        <v>44</v>
      </c>
      <c r="N1590" s="12">
        <v>334</v>
      </c>
    </row>
    <row r="1591" spans="1:15">
      <c r="A1591" s="12">
        <f t="shared" si="153"/>
        <v>1587</v>
      </c>
      <c r="B1591" s="12" t="s">
        <v>20</v>
      </c>
      <c r="C1591" s="12" t="s">
        <v>74</v>
      </c>
      <c r="D1591" s="12" t="s">
        <v>1026</v>
      </c>
      <c r="E1591" s="89">
        <f t="shared" ca="1" si="154"/>
        <v>40951</v>
      </c>
      <c r="F1591" s="11">
        <f>DATE(86,7,3)</f>
        <v>31596</v>
      </c>
      <c r="G1591" s="12">
        <f t="shared" ca="1" si="150"/>
        <v>26</v>
      </c>
      <c r="H1591" s="12">
        <f t="shared" ca="1" si="151"/>
        <v>-5</v>
      </c>
      <c r="I1591" s="13">
        <f t="shared" ca="1" si="152"/>
        <v>9</v>
      </c>
      <c r="J1591" s="14">
        <f t="shared" ca="1" si="149"/>
        <v>25</v>
      </c>
      <c r="K1591" s="12" t="s">
        <v>41</v>
      </c>
      <c r="L1591" s="12">
        <v>123</v>
      </c>
      <c r="M1591" s="12" t="s">
        <v>44</v>
      </c>
      <c r="N1591" s="12">
        <v>334</v>
      </c>
    </row>
    <row r="1592" spans="1:15">
      <c r="A1592" s="12">
        <f t="shared" si="153"/>
        <v>1588</v>
      </c>
      <c r="B1592" s="12" t="s">
        <v>20</v>
      </c>
      <c r="C1592" s="12" t="s">
        <v>190</v>
      </c>
      <c r="D1592" s="12" t="s">
        <v>602</v>
      </c>
      <c r="E1592" s="89">
        <f t="shared" ca="1" si="154"/>
        <v>40951</v>
      </c>
      <c r="F1592" s="11">
        <f>DATE(60,12,7)</f>
        <v>22257</v>
      </c>
      <c r="G1592" s="12">
        <f t="shared" ca="1" si="150"/>
        <v>52</v>
      </c>
      <c r="H1592" s="12">
        <f t="shared" ca="1" si="151"/>
        <v>-10</v>
      </c>
      <c r="I1592" s="13">
        <f t="shared" ca="1" si="152"/>
        <v>5</v>
      </c>
      <c r="J1592" s="14">
        <f t="shared" ca="1" si="149"/>
        <v>51</v>
      </c>
      <c r="K1592" s="12" t="s">
        <v>40</v>
      </c>
      <c r="L1592" s="12">
        <v>123</v>
      </c>
      <c r="M1592" s="12" t="s">
        <v>40</v>
      </c>
      <c r="N1592" s="12">
        <v>334</v>
      </c>
    </row>
    <row r="1593" spans="1:15">
      <c r="A1593" s="12">
        <f t="shared" si="153"/>
        <v>1589</v>
      </c>
      <c r="B1593" s="12" t="s">
        <v>20</v>
      </c>
      <c r="C1593" s="12" t="s">
        <v>1027</v>
      </c>
      <c r="D1593" s="12" t="s">
        <v>190</v>
      </c>
      <c r="E1593" s="89">
        <f t="shared" ca="1" si="154"/>
        <v>40951</v>
      </c>
      <c r="F1593" s="11">
        <f>DATE(65,1,29)</f>
        <v>23771</v>
      </c>
      <c r="G1593" s="12">
        <f t="shared" ca="1" si="150"/>
        <v>47</v>
      </c>
      <c r="H1593" s="12">
        <f t="shared" ca="1" si="151"/>
        <v>1</v>
      </c>
      <c r="I1593" s="13">
        <f t="shared" ca="1" si="152"/>
        <v>-17</v>
      </c>
      <c r="J1593" s="14">
        <f t="shared" ca="1" si="149"/>
        <v>47</v>
      </c>
      <c r="K1593" s="12" t="s">
        <v>41</v>
      </c>
      <c r="L1593" s="12">
        <v>123</v>
      </c>
      <c r="M1593" s="12" t="s">
        <v>40</v>
      </c>
      <c r="N1593" s="12">
        <v>334</v>
      </c>
    </row>
    <row r="1594" spans="1:15">
      <c r="A1594" s="12">
        <f t="shared" si="153"/>
        <v>1590</v>
      </c>
      <c r="B1594" s="12" t="s">
        <v>20</v>
      </c>
      <c r="C1594" s="12" t="s">
        <v>183</v>
      </c>
      <c r="D1594" s="12" t="s">
        <v>190</v>
      </c>
      <c r="E1594" s="89">
        <f t="shared" ca="1" si="154"/>
        <v>40951</v>
      </c>
      <c r="F1594" s="11">
        <f>DATE(87,2,26)</f>
        <v>31834</v>
      </c>
      <c r="G1594" s="12">
        <f t="shared" ca="1" si="150"/>
        <v>25</v>
      </c>
      <c r="H1594" s="12">
        <f t="shared" ca="1" si="151"/>
        <v>0</v>
      </c>
      <c r="I1594" s="13">
        <f t="shared" ca="1" si="152"/>
        <v>-14</v>
      </c>
      <c r="J1594" s="14">
        <f t="shared" ca="1" si="149"/>
        <v>24</v>
      </c>
      <c r="K1594" s="12" t="s">
        <v>40</v>
      </c>
      <c r="L1594" s="12">
        <v>123</v>
      </c>
      <c r="M1594" s="12" t="s">
        <v>44</v>
      </c>
      <c r="N1594" s="12">
        <v>334</v>
      </c>
    </row>
    <row r="1595" spans="1:15">
      <c r="A1595" s="12">
        <f t="shared" si="153"/>
        <v>1591</v>
      </c>
      <c r="B1595" s="12" t="s">
        <v>20</v>
      </c>
      <c r="C1595" s="12" t="s">
        <v>1028</v>
      </c>
      <c r="D1595" s="12" t="s">
        <v>190</v>
      </c>
      <c r="E1595" s="89">
        <f t="shared" ca="1" si="154"/>
        <v>40951</v>
      </c>
      <c r="F1595" s="11">
        <f>DATE(88,4,23)</f>
        <v>32256</v>
      </c>
      <c r="G1595" s="12">
        <f t="shared" ca="1" si="150"/>
        <v>24</v>
      </c>
      <c r="H1595" s="12">
        <f t="shared" ca="1" si="151"/>
        <v>-2</v>
      </c>
      <c r="I1595" s="13">
        <f t="shared" ca="1" si="152"/>
        <v>-11</v>
      </c>
      <c r="J1595" s="14">
        <f t="shared" ca="1" si="149"/>
        <v>23</v>
      </c>
      <c r="K1595" s="12" t="s">
        <v>41</v>
      </c>
      <c r="L1595" s="12">
        <v>123</v>
      </c>
      <c r="M1595" s="12" t="s">
        <v>44</v>
      </c>
      <c r="N1595" s="12">
        <v>334</v>
      </c>
    </row>
    <row r="1596" spans="1:15">
      <c r="A1596" s="12">
        <f t="shared" si="153"/>
        <v>1592</v>
      </c>
      <c r="B1596" s="12" t="s">
        <v>20</v>
      </c>
      <c r="C1596" s="12" t="s">
        <v>516</v>
      </c>
      <c r="D1596" s="12" t="s">
        <v>1029</v>
      </c>
      <c r="E1596" s="89">
        <f t="shared" ca="1" si="154"/>
        <v>40951</v>
      </c>
      <c r="F1596" s="11">
        <f>DATE(55,3,1)</f>
        <v>20149</v>
      </c>
      <c r="G1596" s="12">
        <f t="shared" ca="1" si="150"/>
        <v>57</v>
      </c>
      <c r="H1596" s="12">
        <f t="shared" ca="1" si="151"/>
        <v>-1</v>
      </c>
      <c r="I1596" s="13">
        <f t="shared" ca="1" si="152"/>
        <v>11</v>
      </c>
      <c r="J1596" s="14">
        <f t="shared" ca="1" si="149"/>
        <v>56</v>
      </c>
      <c r="K1596" s="12" t="s">
        <v>40</v>
      </c>
      <c r="L1596" s="12">
        <v>124</v>
      </c>
      <c r="M1596" s="12" t="s">
        <v>40</v>
      </c>
      <c r="N1596" s="12">
        <v>335</v>
      </c>
      <c r="O1596" s="90" t="s">
        <v>2748</v>
      </c>
    </row>
    <row r="1597" spans="1:15">
      <c r="A1597" s="12">
        <f t="shared" si="153"/>
        <v>1593</v>
      </c>
      <c r="B1597" s="12" t="s">
        <v>20</v>
      </c>
      <c r="C1597" s="12" t="s">
        <v>792</v>
      </c>
      <c r="D1597" s="12" t="s">
        <v>516</v>
      </c>
      <c r="E1597" s="89">
        <f t="shared" ca="1" si="154"/>
        <v>40951</v>
      </c>
      <c r="F1597" s="11">
        <f>DATE(60,11,26)</f>
        <v>22246</v>
      </c>
      <c r="G1597" s="12">
        <f t="shared" ca="1" si="150"/>
        <v>52</v>
      </c>
      <c r="H1597" s="12">
        <f t="shared" ca="1" si="151"/>
        <v>-9</v>
      </c>
      <c r="I1597" s="13">
        <f t="shared" ca="1" si="152"/>
        <v>-14</v>
      </c>
      <c r="J1597" s="14">
        <f t="shared" ca="1" si="149"/>
        <v>51</v>
      </c>
      <c r="K1597" s="12" t="s">
        <v>41</v>
      </c>
      <c r="L1597" s="12">
        <v>124</v>
      </c>
      <c r="M1597" s="12" t="s">
        <v>40</v>
      </c>
      <c r="N1597" s="12">
        <v>335</v>
      </c>
    </row>
    <row r="1598" spans="1:15">
      <c r="A1598" s="12">
        <f t="shared" si="153"/>
        <v>1594</v>
      </c>
      <c r="B1598" s="12" t="s">
        <v>20</v>
      </c>
      <c r="C1598" s="12" t="s">
        <v>95</v>
      </c>
      <c r="D1598" s="12" t="s">
        <v>516</v>
      </c>
      <c r="E1598" s="89">
        <f t="shared" ca="1" si="154"/>
        <v>40951</v>
      </c>
      <c r="F1598" s="11">
        <f>DATE(84,10,24)</f>
        <v>30979</v>
      </c>
      <c r="G1598" s="12">
        <f t="shared" ca="1" si="150"/>
        <v>28</v>
      </c>
      <c r="H1598" s="12">
        <f t="shared" ca="1" si="151"/>
        <v>-8</v>
      </c>
      <c r="I1598" s="13">
        <f t="shared" ca="1" si="152"/>
        <v>-12</v>
      </c>
      <c r="J1598" s="14">
        <f t="shared" ca="1" si="149"/>
        <v>27</v>
      </c>
      <c r="K1598" s="12" t="s">
        <v>41</v>
      </c>
      <c r="L1598" s="12">
        <v>124</v>
      </c>
      <c r="M1598" s="12" t="s">
        <v>44</v>
      </c>
      <c r="N1598" s="12">
        <v>335</v>
      </c>
    </row>
    <row r="1599" spans="1:15">
      <c r="A1599" s="12">
        <f t="shared" si="153"/>
        <v>1595</v>
      </c>
      <c r="B1599" s="12" t="s">
        <v>20</v>
      </c>
      <c r="C1599" s="12" t="s">
        <v>922</v>
      </c>
      <c r="D1599" s="12" t="s">
        <v>516</v>
      </c>
      <c r="E1599" s="89">
        <f t="shared" ca="1" si="154"/>
        <v>40951</v>
      </c>
      <c r="F1599" s="11">
        <f>DATE(87,9,23)</f>
        <v>32043</v>
      </c>
      <c r="G1599" s="12">
        <f t="shared" ca="1" si="150"/>
        <v>25</v>
      </c>
      <c r="H1599" s="12">
        <f t="shared" ca="1" si="151"/>
        <v>-7</v>
      </c>
      <c r="I1599" s="13">
        <f t="shared" ca="1" si="152"/>
        <v>-11</v>
      </c>
      <c r="J1599" s="14">
        <f t="shared" ca="1" si="149"/>
        <v>24</v>
      </c>
      <c r="K1599" s="12" t="s">
        <v>40</v>
      </c>
      <c r="L1599" s="12">
        <v>124</v>
      </c>
      <c r="M1599" s="12" t="s">
        <v>44</v>
      </c>
      <c r="N1599" s="12">
        <v>335</v>
      </c>
    </row>
    <row r="1600" spans="1:15">
      <c r="A1600" s="12">
        <f t="shared" si="153"/>
        <v>1596</v>
      </c>
      <c r="B1600" s="12" t="s">
        <v>20</v>
      </c>
      <c r="C1600" s="12" t="s">
        <v>78</v>
      </c>
      <c r="D1600" s="12" t="s">
        <v>189</v>
      </c>
      <c r="E1600" s="89">
        <f t="shared" ca="1" si="154"/>
        <v>40951</v>
      </c>
      <c r="F1600" s="11">
        <f>DATE(48,11,28)</f>
        <v>17865</v>
      </c>
      <c r="G1600" s="12">
        <f t="shared" ca="1" si="150"/>
        <v>64</v>
      </c>
      <c r="H1600" s="12">
        <f t="shared" ca="1" si="151"/>
        <v>-9</v>
      </c>
      <c r="I1600" s="13">
        <f t="shared" ca="1" si="152"/>
        <v>-16</v>
      </c>
      <c r="J1600" s="14">
        <f t="shared" ca="1" si="149"/>
        <v>63</v>
      </c>
      <c r="K1600" s="12" t="s">
        <v>41</v>
      </c>
      <c r="L1600" s="12">
        <v>124</v>
      </c>
      <c r="M1600" s="12" t="s">
        <v>40</v>
      </c>
      <c r="N1600" s="12">
        <v>336</v>
      </c>
      <c r="O1600" s="90" t="s">
        <v>2748</v>
      </c>
    </row>
    <row r="1601" spans="1:15">
      <c r="A1601" s="12">
        <f t="shared" si="153"/>
        <v>1597</v>
      </c>
      <c r="B1601" s="12" t="s">
        <v>20</v>
      </c>
      <c r="C1601" s="12" t="s">
        <v>350</v>
      </c>
      <c r="D1601" s="12" t="s">
        <v>189</v>
      </c>
      <c r="E1601" s="89">
        <f t="shared" ca="1" si="154"/>
        <v>40951</v>
      </c>
      <c r="F1601" s="11">
        <f>DATE(82,1,1)</f>
        <v>29952</v>
      </c>
      <c r="G1601" s="12">
        <f t="shared" ca="1" si="150"/>
        <v>30</v>
      </c>
      <c r="H1601" s="12">
        <f t="shared" ca="1" si="151"/>
        <v>1</v>
      </c>
      <c r="I1601" s="13">
        <f t="shared" ca="1" si="152"/>
        <v>11</v>
      </c>
      <c r="J1601" s="14">
        <f t="shared" ca="1" si="149"/>
        <v>30</v>
      </c>
      <c r="K1601" s="12" t="s">
        <v>41</v>
      </c>
      <c r="L1601" s="12">
        <v>124</v>
      </c>
      <c r="M1601" s="12" t="s">
        <v>44</v>
      </c>
      <c r="N1601" s="12">
        <v>336</v>
      </c>
    </row>
    <row r="1602" spans="1:15">
      <c r="A1602" s="12">
        <f t="shared" si="153"/>
        <v>1598</v>
      </c>
      <c r="B1602" s="12" t="s">
        <v>20</v>
      </c>
      <c r="C1602" s="12" t="s">
        <v>894</v>
      </c>
      <c r="D1602" s="12" t="s">
        <v>189</v>
      </c>
      <c r="E1602" s="89">
        <f t="shared" ca="1" si="154"/>
        <v>40951</v>
      </c>
      <c r="F1602" s="11">
        <f>DATE(85,11,9)</f>
        <v>31360</v>
      </c>
      <c r="G1602" s="12">
        <f t="shared" ca="1" si="150"/>
        <v>27</v>
      </c>
      <c r="H1602" s="12">
        <f t="shared" ca="1" si="151"/>
        <v>-9</v>
      </c>
      <c r="I1602" s="13">
        <f t="shared" ca="1" si="152"/>
        <v>3</v>
      </c>
      <c r="J1602" s="14">
        <f t="shared" ca="1" si="149"/>
        <v>26</v>
      </c>
      <c r="K1602" s="12" t="s">
        <v>40</v>
      </c>
      <c r="L1602" s="12">
        <v>124</v>
      </c>
      <c r="M1602" s="12" t="s">
        <v>44</v>
      </c>
      <c r="N1602" s="12">
        <v>336</v>
      </c>
    </row>
    <row r="1603" spans="1:15">
      <c r="A1603" s="12">
        <f t="shared" si="153"/>
        <v>1599</v>
      </c>
      <c r="B1603" s="12" t="s">
        <v>20</v>
      </c>
      <c r="C1603" s="12" t="s">
        <v>320</v>
      </c>
      <c r="D1603" s="12" t="s">
        <v>60</v>
      </c>
      <c r="E1603" s="89">
        <f t="shared" ca="1" si="154"/>
        <v>40951</v>
      </c>
      <c r="F1603" s="11">
        <f>DATE(46,6,27)</f>
        <v>16980</v>
      </c>
      <c r="G1603" s="12">
        <f t="shared" ca="1" si="150"/>
        <v>66</v>
      </c>
      <c r="H1603" s="12">
        <f t="shared" ca="1" si="151"/>
        <v>-4</v>
      </c>
      <c r="I1603" s="13">
        <f t="shared" ca="1" si="152"/>
        <v>-15</v>
      </c>
      <c r="J1603" s="14">
        <f t="shared" ca="1" si="149"/>
        <v>65</v>
      </c>
      <c r="K1603" s="12" t="s">
        <v>40</v>
      </c>
      <c r="L1603" s="12">
        <v>125</v>
      </c>
      <c r="M1603" s="12" t="s">
        <v>40</v>
      </c>
      <c r="N1603" s="12">
        <v>337</v>
      </c>
      <c r="O1603" s="90" t="s">
        <v>2748</v>
      </c>
    </row>
    <row r="1604" spans="1:15">
      <c r="A1604" s="12">
        <f t="shared" si="153"/>
        <v>1600</v>
      </c>
      <c r="B1604" s="12" t="s">
        <v>20</v>
      </c>
      <c r="C1604" s="12" t="s">
        <v>477</v>
      </c>
      <c r="D1604" s="12" t="s">
        <v>320</v>
      </c>
      <c r="E1604" s="89">
        <f t="shared" ca="1" si="154"/>
        <v>40951</v>
      </c>
      <c r="F1604" s="11">
        <f>DATE(48,7,24)</f>
        <v>17738</v>
      </c>
      <c r="G1604" s="12">
        <f t="shared" ca="1" si="150"/>
        <v>64</v>
      </c>
      <c r="H1604" s="12">
        <f t="shared" ca="1" si="151"/>
        <v>-5</v>
      </c>
      <c r="I1604" s="13">
        <f t="shared" ca="1" si="152"/>
        <v>-12</v>
      </c>
      <c r="J1604" s="14">
        <f t="shared" ref="J1604:J1657" ca="1" si="155">IF(H1604&lt;0,G1604-1,IF(H1604&gt;0,G1604,IF(I1604&lt;0,G1604-1,G1604)))</f>
        <v>63</v>
      </c>
      <c r="K1604" s="12" t="s">
        <v>41</v>
      </c>
      <c r="L1604" s="12">
        <v>125</v>
      </c>
      <c r="M1604" s="12" t="s">
        <v>40</v>
      </c>
      <c r="N1604" s="12">
        <v>337</v>
      </c>
    </row>
    <row r="1605" spans="1:15">
      <c r="A1605" s="12">
        <f t="shared" si="153"/>
        <v>1601</v>
      </c>
      <c r="B1605" s="12" t="s">
        <v>20</v>
      </c>
      <c r="C1605" s="12" t="s">
        <v>1030</v>
      </c>
      <c r="D1605" s="12" t="s">
        <v>320</v>
      </c>
      <c r="E1605" s="89">
        <f t="shared" ca="1" si="154"/>
        <v>40951</v>
      </c>
      <c r="F1605" s="11">
        <f>DATE(71,6,24)</f>
        <v>26108</v>
      </c>
      <c r="G1605" s="12">
        <f t="shared" ca="1" si="150"/>
        <v>41</v>
      </c>
      <c r="H1605" s="12">
        <f t="shared" ca="1" si="151"/>
        <v>-4</v>
      </c>
      <c r="I1605" s="13">
        <f t="shared" ca="1" si="152"/>
        <v>-12</v>
      </c>
      <c r="J1605" s="14">
        <f t="shared" ca="1" si="155"/>
        <v>40</v>
      </c>
      <c r="K1605" s="12" t="s">
        <v>40</v>
      </c>
      <c r="L1605" s="12">
        <v>125</v>
      </c>
      <c r="M1605" s="12" t="s">
        <v>40</v>
      </c>
      <c r="N1605" s="12">
        <v>337</v>
      </c>
    </row>
    <row r="1606" spans="1:15">
      <c r="A1606" s="12">
        <f t="shared" si="153"/>
        <v>1602</v>
      </c>
      <c r="B1606" s="12" t="s">
        <v>20</v>
      </c>
      <c r="C1606" s="12" t="s">
        <v>175</v>
      </c>
      <c r="D1606" s="12" t="s">
        <v>1030</v>
      </c>
      <c r="E1606" s="89">
        <f t="shared" ca="1" si="154"/>
        <v>40951</v>
      </c>
      <c r="F1606" s="11">
        <f>DATE(73,3,1)</f>
        <v>26724</v>
      </c>
      <c r="G1606" s="12">
        <f t="shared" ca="1" si="150"/>
        <v>39</v>
      </c>
      <c r="H1606" s="12">
        <f t="shared" ca="1" si="151"/>
        <v>-1</v>
      </c>
      <c r="I1606" s="13">
        <f t="shared" ca="1" si="152"/>
        <v>11</v>
      </c>
      <c r="J1606" s="14">
        <f t="shared" ca="1" si="155"/>
        <v>38</v>
      </c>
      <c r="K1606" s="12" t="s">
        <v>41</v>
      </c>
      <c r="L1606" s="12">
        <v>125</v>
      </c>
      <c r="M1606" s="12" t="s">
        <v>40</v>
      </c>
      <c r="N1606" s="12">
        <v>337</v>
      </c>
    </row>
    <row r="1607" spans="1:15">
      <c r="A1607" s="12">
        <f t="shared" si="153"/>
        <v>1603</v>
      </c>
      <c r="B1607" s="12" t="s">
        <v>20</v>
      </c>
      <c r="C1607" s="12" t="s">
        <v>1031</v>
      </c>
      <c r="D1607" s="12" t="s">
        <v>1030</v>
      </c>
      <c r="E1607" s="89">
        <f t="shared" ca="1" si="154"/>
        <v>40951</v>
      </c>
      <c r="F1607" s="11">
        <f>DATE(98,2,10)</f>
        <v>35836</v>
      </c>
      <c r="G1607" s="12">
        <f t="shared" ca="1" si="150"/>
        <v>14</v>
      </c>
      <c r="H1607" s="12">
        <f t="shared" ca="1" si="151"/>
        <v>0</v>
      </c>
      <c r="I1607" s="13">
        <f t="shared" ca="1" si="152"/>
        <v>2</v>
      </c>
      <c r="J1607" s="14">
        <f t="shared" ca="1" si="155"/>
        <v>14</v>
      </c>
      <c r="K1607" s="12" t="s">
        <v>41</v>
      </c>
      <c r="L1607" s="12">
        <v>125</v>
      </c>
      <c r="M1607" s="12" t="s">
        <v>44</v>
      </c>
      <c r="N1607" s="12">
        <v>337</v>
      </c>
    </row>
    <row r="1608" spans="1:15">
      <c r="A1608" s="12">
        <f t="shared" si="153"/>
        <v>1604</v>
      </c>
      <c r="B1608" s="12" t="s">
        <v>20</v>
      </c>
      <c r="C1608" s="12" t="s">
        <v>118</v>
      </c>
      <c r="D1608" s="12" t="s">
        <v>320</v>
      </c>
      <c r="E1608" s="89">
        <f t="shared" ca="1" si="154"/>
        <v>40951</v>
      </c>
      <c r="F1608" s="11">
        <f>DATE(76,9,2)</f>
        <v>28005</v>
      </c>
      <c r="G1608" s="12">
        <f t="shared" ca="1" si="150"/>
        <v>36</v>
      </c>
      <c r="H1608" s="12">
        <f t="shared" ca="1" si="151"/>
        <v>-7</v>
      </c>
      <c r="I1608" s="13">
        <f t="shared" ca="1" si="152"/>
        <v>10</v>
      </c>
      <c r="J1608" s="14">
        <f t="shared" ca="1" si="155"/>
        <v>35</v>
      </c>
      <c r="K1608" s="12" t="s">
        <v>40</v>
      </c>
      <c r="L1608" s="12">
        <v>125</v>
      </c>
      <c r="M1608" s="12" t="s">
        <v>40</v>
      </c>
      <c r="N1608" s="12">
        <v>337</v>
      </c>
    </row>
    <row r="1609" spans="1:15">
      <c r="A1609" s="12">
        <f t="shared" si="153"/>
        <v>1605</v>
      </c>
      <c r="B1609" s="12" t="s">
        <v>20</v>
      </c>
      <c r="C1609" s="12" t="s">
        <v>1032</v>
      </c>
      <c r="D1609" s="12" t="s">
        <v>118</v>
      </c>
      <c r="E1609" s="89">
        <f t="shared" ca="1" si="154"/>
        <v>40951</v>
      </c>
      <c r="F1609" s="11">
        <f>DATE(79,2,8)</f>
        <v>28894</v>
      </c>
      <c r="G1609" s="12">
        <f t="shared" ca="1" si="150"/>
        <v>33</v>
      </c>
      <c r="H1609" s="12">
        <f t="shared" ca="1" si="151"/>
        <v>0</v>
      </c>
      <c r="I1609" s="13">
        <f t="shared" ca="1" si="152"/>
        <v>4</v>
      </c>
      <c r="J1609" s="14">
        <f t="shared" ca="1" si="155"/>
        <v>33</v>
      </c>
      <c r="K1609" s="12" t="s">
        <v>41</v>
      </c>
      <c r="L1609" s="12">
        <v>125</v>
      </c>
      <c r="M1609" s="12" t="s">
        <v>40</v>
      </c>
      <c r="N1609" s="12">
        <v>337</v>
      </c>
    </row>
    <row r="1610" spans="1:15">
      <c r="A1610" s="12">
        <f t="shared" si="153"/>
        <v>1606</v>
      </c>
      <c r="B1610" s="12" t="s">
        <v>20</v>
      </c>
      <c r="C1610" s="12" t="s">
        <v>989</v>
      </c>
      <c r="D1610" s="12" t="s">
        <v>320</v>
      </c>
      <c r="E1610" s="89">
        <f t="shared" ca="1" si="154"/>
        <v>40951</v>
      </c>
      <c r="F1610" s="11">
        <f>DATE(74,8,8)</f>
        <v>27249</v>
      </c>
      <c r="G1610" s="12">
        <f t="shared" ca="1" si="150"/>
        <v>38</v>
      </c>
      <c r="H1610" s="12">
        <f t="shared" ca="1" si="151"/>
        <v>-6</v>
      </c>
      <c r="I1610" s="13">
        <f t="shared" ca="1" si="152"/>
        <v>4</v>
      </c>
      <c r="J1610" s="14">
        <f t="shared" ca="1" si="155"/>
        <v>37</v>
      </c>
      <c r="K1610" s="12" t="s">
        <v>40</v>
      </c>
      <c r="L1610" s="12">
        <v>125</v>
      </c>
      <c r="M1610" s="12" t="s">
        <v>40</v>
      </c>
      <c r="N1610" s="12">
        <v>337</v>
      </c>
    </row>
    <row r="1611" spans="1:15">
      <c r="A1611" s="12">
        <f t="shared" si="153"/>
        <v>1607</v>
      </c>
      <c r="B1611" s="12" t="s">
        <v>20</v>
      </c>
      <c r="C1611" s="12" t="s">
        <v>1033</v>
      </c>
      <c r="D1611" s="12" t="s">
        <v>989</v>
      </c>
      <c r="E1611" s="89">
        <f t="shared" ca="1" si="154"/>
        <v>40951</v>
      </c>
      <c r="F1611" s="11">
        <f>DATE(76,6,1)</f>
        <v>27912</v>
      </c>
      <c r="G1611" s="12">
        <f t="shared" ca="1" si="150"/>
        <v>36</v>
      </c>
      <c r="H1611" s="12">
        <f t="shared" ca="1" si="151"/>
        <v>-4</v>
      </c>
      <c r="I1611" s="13">
        <f t="shared" ca="1" si="152"/>
        <v>11</v>
      </c>
      <c r="J1611" s="14">
        <f t="shared" ca="1" si="155"/>
        <v>35</v>
      </c>
      <c r="K1611" s="12" t="s">
        <v>41</v>
      </c>
      <c r="L1611" s="12">
        <v>125</v>
      </c>
      <c r="M1611" s="12" t="s">
        <v>40</v>
      </c>
      <c r="N1611" s="12">
        <v>337</v>
      </c>
    </row>
    <row r="1612" spans="1:15">
      <c r="A1612" s="12">
        <f t="shared" si="153"/>
        <v>1608</v>
      </c>
      <c r="B1612" s="12" t="s">
        <v>20</v>
      </c>
      <c r="C1612" s="12" t="s">
        <v>1034</v>
      </c>
      <c r="D1612" s="12" t="s">
        <v>989</v>
      </c>
      <c r="E1612" s="89">
        <f t="shared" ca="1" si="154"/>
        <v>40951</v>
      </c>
      <c r="F1612" s="11">
        <f>DATE(2002,10,25)</f>
        <v>37554</v>
      </c>
      <c r="G1612" s="12">
        <f t="shared" ca="1" si="150"/>
        <v>10</v>
      </c>
      <c r="H1612" s="12">
        <f t="shared" ca="1" si="151"/>
        <v>-8</v>
      </c>
      <c r="I1612" s="13">
        <f t="shared" ca="1" si="152"/>
        <v>-13</v>
      </c>
      <c r="J1612" s="14">
        <f t="shared" ca="1" si="155"/>
        <v>9</v>
      </c>
      <c r="K1612" s="12" t="s">
        <v>40</v>
      </c>
      <c r="L1612" s="12">
        <v>125</v>
      </c>
      <c r="M1612" s="12" t="s">
        <v>44</v>
      </c>
      <c r="N1612" s="12">
        <v>337</v>
      </c>
    </row>
    <row r="1613" spans="1:15">
      <c r="A1613" s="12">
        <f t="shared" si="153"/>
        <v>1609</v>
      </c>
      <c r="B1613" s="12" t="s">
        <v>20</v>
      </c>
      <c r="C1613" s="12" t="s">
        <v>548</v>
      </c>
      <c r="D1613" s="12" t="s">
        <v>423</v>
      </c>
      <c r="E1613" s="89">
        <f t="shared" ca="1" si="154"/>
        <v>40951</v>
      </c>
      <c r="F1613" s="32"/>
      <c r="G1613" s="12">
        <f t="shared" ca="1" si="150"/>
        <v>112</v>
      </c>
      <c r="H1613" s="12">
        <f t="shared" ca="1" si="151"/>
        <v>1</v>
      </c>
      <c r="I1613" s="13">
        <f t="shared" ca="1" si="152"/>
        <v>12</v>
      </c>
      <c r="J1613" s="14">
        <f t="shared" ca="1" si="155"/>
        <v>112</v>
      </c>
      <c r="K1613" s="12" t="s">
        <v>41</v>
      </c>
      <c r="L1613" s="12">
        <v>125</v>
      </c>
      <c r="M1613" s="12" t="s">
        <v>40</v>
      </c>
      <c r="N1613" s="12">
        <v>338</v>
      </c>
      <c r="O1613" s="90" t="s">
        <v>2748</v>
      </c>
    </row>
    <row r="1614" spans="1:15">
      <c r="A1614" s="12">
        <f t="shared" si="153"/>
        <v>1610</v>
      </c>
      <c r="B1614" s="12" t="s">
        <v>20</v>
      </c>
      <c r="C1614" s="12" t="s">
        <v>142</v>
      </c>
      <c r="D1614" s="12" t="s">
        <v>423</v>
      </c>
      <c r="E1614" s="89">
        <f t="shared" ca="1" si="154"/>
        <v>40951</v>
      </c>
      <c r="F1614" s="11">
        <f>DATE(65,5,14)</f>
        <v>23876</v>
      </c>
      <c r="G1614" s="12">
        <f t="shared" ca="1" si="150"/>
        <v>47</v>
      </c>
      <c r="H1614" s="12">
        <f t="shared" ca="1" si="151"/>
        <v>-3</v>
      </c>
      <c r="I1614" s="13">
        <f t="shared" ca="1" si="152"/>
        <v>-2</v>
      </c>
      <c r="J1614" s="14">
        <f t="shared" ca="1" si="155"/>
        <v>46</v>
      </c>
      <c r="K1614" s="12" t="s">
        <v>40</v>
      </c>
      <c r="L1614" s="12">
        <v>125</v>
      </c>
      <c r="M1614" s="12" t="s">
        <v>40</v>
      </c>
      <c r="N1614" s="12">
        <v>338</v>
      </c>
    </row>
    <row r="1615" spans="1:15">
      <c r="A1615" s="12">
        <f t="shared" si="153"/>
        <v>1611</v>
      </c>
      <c r="B1615" s="12" t="s">
        <v>20</v>
      </c>
      <c r="C1615" s="12" t="s">
        <v>62</v>
      </c>
      <c r="D1615" s="12" t="s">
        <v>142</v>
      </c>
      <c r="E1615" s="89">
        <f t="shared" ca="1" si="154"/>
        <v>40951</v>
      </c>
      <c r="F1615" s="11">
        <f>DATE(61,10,10)</f>
        <v>22564</v>
      </c>
      <c r="G1615" s="12">
        <f t="shared" ca="1" si="150"/>
        <v>51</v>
      </c>
      <c r="H1615" s="12">
        <f t="shared" ca="1" si="151"/>
        <v>-8</v>
      </c>
      <c r="I1615" s="13">
        <f t="shared" ca="1" si="152"/>
        <v>2</v>
      </c>
      <c r="J1615" s="14">
        <f t="shared" ca="1" si="155"/>
        <v>50</v>
      </c>
      <c r="K1615" s="12" t="s">
        <v>41</v>
      </c>
      <c r="L1615" s="12">
        <v>125</v>
      </c>
      <c r="M1615" s="12" t="s">
        <v>40</v>
      </c>
      <c r="N1615" s="12">
        <v>338</v>
      </c>
    </row>
    <row r="1616" spans="1:15">
      <c r="A1616" s="12">
        <f t="shared" si="153"/>
        <v>1612</v>
      </c>
      <c r="B1616" s="12" t="s">
        <v>20</v>
      </c>
      <c r="C1616" s="12" t="s">
        <v>1035</v>
      </c>
      <c r="D1616" s="12" t="s">
        <v>142</v>
      </c>
      <c r="E1616" s="89">
        <f t="shared" ca="1" si="154"/>
        <v>40951</v>
      </c>
      <c r="F1616" s="11">
        <f>DATE(93,6,25)</f>
        <v>34145</v>
      </c>
      <c r="G1616" s="12">
        <f t="shared" ca="1" si="150"/>
        <v>19</v>
      </c>
      <c r="H1616" s="12">
        <f t="shared" ca="1" si="151"/>
        <v>-4</v>
      </c>
      <c r="I1616" s="13">
        <f t="shared" ca="1" si="152"/>
        <v>-13</v>
      </c>
      <c r="J1616" s="14">
        <f t="shared" ca="1" si="155"/>
        <v>18</v>
      </c>
      <c r="K1616" s="12" t="s">
        <v>41</v>
      </c>
      <c r="L1616" s="12">
        <v>125</v>
      </c>
      <c r="M1616" s="12" t="s">
        <v>44</v>
      </c>
      <c r="N1616" s="12">
        <v>338</v>
      </c>
    </row>
    <row r="1617" spans="1:15">
      <c r="A1617" s="12">
        <f t="shared" si="153"/>
        <v>1613</v>
      </c>
      <c r="B1617" s="12" t="s">
        <v>20</v>
      </c>
      <c r="C1617" s="12" t="s">
        <v>1036</v>
      </c>
      <c r="D1617" s="12" t="s">
        <v>94</v>
      </c>
      <c r="E1617" s="89">
        <f t="shared" ca="1" si="154"/>
        <v>40951</v>
      </c>
      <c r="F1617" s="32"/>
      <c r="G1617" s="12">
        <f t="shared" ca="1" si="150"/>
        <v>112</v>
      </c>
      <c r="H1617" s="12">
        <f t="shared" ca="1" si="151"/>
        <v>1</v>
      </c>
      <c r="I1617" s="13">
        <f t="shared" ca="1" si="152"/>
        <v>12</v>
      </c>
      <c r="J1617" s="14">
        <f t="shared" ca="1" si="155"/>
        <v>112</v>
      </c>
      <c r="K1617" s="12" t="s">
        <v>40</v>
      </c>
      <c r="L1617" s="12">
        <v>125</v>
      </c>
      <c r="M1617" s="12" t="s">
        <v>40</v>
      </c>
      <c r="N1617" s="12">
        <v>339</v>
      </c>
      <c r="O1617" s="90" t="s">
        <v>2748</v>
      </c>
    </row>
    <row r="1618" spans="1:15">
      <c r="A1618" s="12">
        <f t="shared" si="153"/>
        <v>1614</v>
      </c>
      <c r="B1618" s="12" t="s">
        <v>20</v>
      </c>
      <c r="C1618" s="12" t="s">
        <v>1037</v>
      </c>
      <c r="D1618" s="12" t="s">
        <v>94</v>
      </c>
      <c r="E1618" s="89">
        <f t="shared" ca="1" si="154"/>
        <v>40951</v>
      </c>
      <c r="F1618" s="32"/>
      <c r="G1618" s="12">
        <f t="shared" ca="1" si="150"/>
        <v>112</v>
      </c>
      <c r="H1618" s="12">
        <f t="shared" ca="1" si="151"/>
        <v>1</v>
      </c>
      <c r="I1618" s="13">
        <f t="shared" ca="1" si="152"/>
        <v>12</v>
      </c>
      <c r="J1618" s="14">
        <f t="shared" ca="1" si="155"/>
        <v>112</v>
      </c>
      <c r="K1618" s="12" t="s">
        <v>41</v>
      </c>
      <c r="L1618" s="12">
        <v>125</v>
      </c>
      <c r="M1618" s="12" t="s">
        <v>44</v>
      </c>
      <c r="N1618" s="12">
        <v>339</v>
      </c>
    </row>
    <row r="1619" spans="1:15">
      <c r="A1619" s="12">
        <f t="shared" si="153"/>
        <v>1615</v>
      </c>
      <c r="B1619" s="12" t="s">
        <v>20</v>
      </c>
      <c r="C1619" s="12" t="s">
        <v>994</v>
      </c>
      <c r="D1619" s="12" t="s">
        <v>94</v>
      </c>
      <c r="E1619" s="89">
        <f t="shared" ca="1" si="154"/>
        <v>40951</v>
      </c>
      <c r="F1619" s="32"/>
      <c r="G1619" s="12">
        <f t="shared" ca="1" si="150"/>
        <v>112</v>
      </c>
      <c r="H1619" s="12">
        <f t="shared" ca="1" si="151"/>
        <v>1</v>
      </c>
      <c r="I1619" s="13">
        <f t="shared" ca="1" si="152"/>
        <v>12</v>
      </c>
      <c r="J1619" s="14">
        <f t="shared" ca="1" si="155"/>
        <v>112</v>
      </c>
      <c r="K1619" s="12" t="s">
        <v>41</v>
      </c>
      <c r="L1619" s="12">
        <v>125</v>
      </c>
      <c r="M1619" s="12" t="s">
        <v>44</v>
      </c>
      <c r="N1619" s="12">
        <v>339</v>
      </c>
    </row>
    <row r="1620" spans="1:15">
      <c r="A1620" s="12">
        <f t="shared" si="153"/>
        <v>1616</v>
      </c>
      <c r="B1620" s="12" t="s">
        <v>20</v>
      </c>
      <c r="C1620" s="12" t="s">
        <v>781</v>
      </c>
      <c r="D1620" s="12" t="s">
        <v>94</v>
      </c>
      <c r="E1620" s="89">
        <f t="shared" ca="1" si="154"/>
        <v>40951</v>
      </c>
      <c r="F1620" s="32"/>
      <c r="G1620" s="12">
        <f t="shared" ca="1" si="150"/>
        <v>112</v>
      </c>
      <c r="H1620" s="12">
        <f t="shared" ca="1" si="151"/>
        <v>1</v>
      </c>
      <c r="I1620" s="13">
        <f t="shared" ca="1" si="152"/>
        <v>12</v>
      </c>
      <c r="J1620" s="14">
        <f t="shared" ca="1" si="155"/>
        <v>112</v>
      </c>
      <c r="K1620" s="12" t="s">
        <v>41</v>
      </c>
      <c r="L1620" s="12">
        <v>125</v>
      </c>
      <c r="M1620" s="12" t="s">
        <v>44</v>
      </c>
      <c r="N1620" s="12">
        <v>339</v>
      </c>
    </row>
    <row r="1621" spans="1:15">
      <c r="A1621" s="12">
        <f t="shared" si="153"/>
        <v>1617</v>
      </c>
      <c r="B1621" s="12" t="s">
        <v>20</v>
      </c>
      <c r="C1621" s="12" t="s">
        <v>292</v>
      </c>
      <c r="D1621" s="12" t="s">
        <v>70</v>
      </c>
      <c r="E1621" s="89">
        <f t="shared" ca="1" si="154"/>
        <v>40951</v>
      </c>
      <c r="F1621" s="11">
        <f>DATE(42,6,19)</f>
        <v>15511</v>
      </c>
      <c r="G1621" s="12">
        <f t="shared" ca="1" si="150"/>
        <v>70</v>
      </c>
      <c r="H1621" s="12">
        <f t="shared" ca="1" si="151"/>
        <v>-4</v>
      </c>
      <c r="I1621" s="13">
        <f t="shared" ca="1" si="152"/>
        <v>-7</v>
      </c>
      <c r="J1621" s="14">
        <f t="shared" ca="1" si="155"/>
        <v>69</v>
      </c>
      <c r="K1621" s="12" t="s">
        <v>40</v>
      </c>
      <c r="L1621" s="12">
        <v>126</v>
      </c>
      <c r="M1621" s="12" t="s">
        <v>40</v>
      </c>
      <c r="N1621" s="12">
        <v>340</v>
      </c>
      <c r="O1621" s="90" t="s">
        <v>2748</v>
      </c>
    </row>
    <row r="1622" spans="1:15">
      <c r="A1622" s="12">
        <f t="shared" si="153"/>
        <v>1618</v>
      </c>
      <c r="B1622" s="12" t="s">
        <v>20</v>
      </c>
      <c r="C1622" s="12" t="s">
        <v>293</v>
      </c>
      <c r="D1622" s="12" t="s">
        <v>292</v>
      </c>
      <c r="E1622" s="89">
        <f t="shared" ca="1" si="154"/>
        <v>40951</v>
      </c>
      <c r="F1622" s="11">
        <f>DATE(46,14,5)</f>
        <v>17203</v>
      </c>
      <c r="G1622" s="12">
        <f t="shared" ca="1" si="150"/>
        <v>65</v>
      </c>
      <c r="H1622" s="12">
        <f t="shared" ca="1" si="151"/>
        <v>0</v>
      </c>
      <c r="I1622" s="13">
        <f t="shared" ca="1" si="152"/>
        <v>7</v>
      </c>
      <c r="J1622" s="14">
        <f t="shared" ca="1" si="155"/>
        <v>65</v>
      </c>
      <c r="K1622" s="12" t="s">
        <v>41</v>
      </c>
      <c r="L1622" s="12">
        <v>126</v>
      </c>
      <c r="M1622" s="12" t="s">
        <v>40</v>
      </c>
      <c r="N1622" s="12">
        <v>340</v>
      </c>
    </row>
    <row r="1623" spans="1:15">
      <c r="A1623" s="12">
        <f t="shared" si="153"/>
        <v>1619</v>
      </c>
      <c r="B1623" s="12" t="s">
        <v>20</v>
      </c>
      <c r="C1623" s="12" t="s">
        <v>294</v>
      </c>
      <c r="D1623" s="12" t="s">
        <v>292</v>
      </c>
      <c r="E1623" s="89">
        <f t="shared" ca="1" si="154"/>
        <v>40951</v>
      </c>
      <c r="F1623" s="11">
        <f>DATE(73,7,13)</f>
        <v>26858</v>
      </c>
      <c r="G1623" s="12">
        <f t="shared" ca="1" si="150"/>
        <v>39</v>
      </c>
      <c r="H1623" s="12">
        <f t="shared" ca="1" si="151"/>
        <v>-5</v>
      </c>
      <c r="I1623" s="13">
        <f t="shared" ca="1" si="152"/>
        <v>-1</v>
      </c>
      <c r="J1623" s="14">
        <f t="shared" ca="1" si="155"/>
        <v>38</v>
      </c>
      <c r="K1623" s="12" t="s">
        <v>40</v>
      </c>
      <c r="L1623" s="12">
        <v>126</v>
      </c>
      <c r="M1623" s="12" t="s">
        <v>40</v>
      </c>
      <c r="N1623" s="12">
        <v>340</v>
      </c>
    </row>
    <row r="1624" spans="1:15">
      <c r="A1624" s="12">
        <f t="shared" si="153"/>
        <v>1620</v>
      </c>
      <c r="B1624" s="12" t="s">
        <v>20</v>
      </c>
      <c r="C1624" s="12" t="s">
        <v>295</v>
      </c>
      <c r="D1624" s="12" t="s">
        <v>294</v>
      </c>
      <c r="E1624" s="89">
        <f t="shared" ca="1" si="154"/>
        <v>40951</v>
      </c>
      <c r="F1624" s="11">
        <f>DATE(76,1,25)</f>
        <v>27784</v>
      </c>
      <c r="G1624" s="12">
        <f t="shared" ca="1" si="150"/>
        <v>36</v>
      </c>
      <c r="H1624" s="12">
        <f t="shared" ca="1" si="151"/>
        <v>1</v>
      </c>
      <c r="I1624" s="13">
        <f t="shared" ca="1" si="152"/>
        <v>-13</v>
      </c>
      <c r="J1624" s="14">
        <f t="shared" ca="1" si="155"/>
        <v>36</v>
      </c>
      <c r="K1624" s="12" t="s">
        <v>41</v>
      </c>
      <c r="L1624" s="12">
        <v>126</v>
      </c>
      <c r="M1624" s="12" t="s">
        <v>40</v>
      </c>
      <c r="N1624" s="12">
        <v>340</v>
      </c>
    </row>
    <row r="1625" spans="1:15">
      <c r="A1625" s="12">
        <f t="shared" si="153"/>
        <v>1621</v>
      </c>
      <c r="B1625" s="12" t="s">
        <v>20</v>
      </c>
      <c r="C1625" s="12" t="s">
        <v>296</v>
      </c>
      <c r="D1625" s="12" t="s">
        <v>294</v>
      </c>
      <c r="E1625" s="89">
        <f t="shared" ca="1" si="154"/>
        <v>40951</v>
      </c>
      <c r="F1625" s="11">
        <f>DATE(2002,10,29)</f>
        <v>37558</v>
      </c>
      <c r="G1625" s="12">
        <f t="shared" ca="1" si="150"/>
        <v>10</v>
      </c>
      <c r="H1625" s="12">
        <f t="shared" ca="1" si="151"/>
        <v>-8</v>
      </c>
      <c r="I1625" s="13">
        <f t="shared" ca="1" si="152"/>
        <v>-17</v>
      </c>
      <c r="J1625" s="14">
        <f t="shared" ca="1" si="155"/>
        <v>9</v>
      </c>
      <c r="K1625" s="12" t="s">
        <v>41</v>
      </c>
      <c r="L1625" s="12">
        <v>126</v>
      </c>
      <c r="M1625" s="12" t="s">
        <v>44</v>
      </c>
      <c r="N1625" s="12">
        <v>340</v>
      </c>
    </row>
    <row r="1626" spans="1:15">
      <c r="A1626" s="12">
        <f t="shared" si="153"/>
        <v>1622</v>
      </c>
      <c r="B1626" s="12" t="s">
        <v>20</v>
      </c>
      <c r="C1626" s="12" t="s">
        <v>297</v>
      </c>
      <c r="D1626" s="12" t="s">
        <v>294</v>
      </c>
      <c r="E1626" s="89">
        <f t="shared" ca="1" si="154"/>
        <v>40951</v>
      </c>
      <c r="F1626" s="11">
        <f>DATE(2005,7,13)</f>
        <v>38546</v>
      </c>
      <c r="G1626" s="12">
        <f t="shared" ref="G1626:G1657" ca="1" si="156">YEAR(E1626)-YEAR(F1626)</f>
        <v>7</v>
      </c>
      <c r="H1626" s="12">
        <f t="shared" ref="H1626:H1657" ca="1" si="157">MONTH(E1626)-MONTH(F1626)</f>
        <v>-5</v>
      </c>
      <c r="I1626" s="13">
        <f t="shared" ref="I1626:I1657" ca="1" si="158">DAY(E1626)-DAY(F1626)</f>
        <v>-1</v>
      </c>
      <c r="J1626" s="14">
        <f t="shared" ca="1" si="155"/>
        <v>6</v>
      </c>
      <c r="K1626" s="12" t="s">
        <v>40</v>
      </c>
      <c r="L1626" s="12">
        <v>126</v>
      </c>
      <c r="M1626" s="12" t="s">
        <v>44</v>
      </c>
      <c r="N1626" s="12">
        <v>340</v>
      </c>
    </row>
    <row r="1627" spans="1:15">
      <c r="A1627" s="12">
        <f t="shared" si="153"/>
        <v>1623</v>
      </c>
      <c r="B1627" s="12" t="s">
        <v>20</v>
      </c>
      <c r="C1627" s="12" t="s">
        <v>188</v>
      </c>
      <c r="D1627" s="12" t="s">
        <v>298</v>
      </c>
      <c r="E1627" s="89">
        <f t="shared" ca="1" si="154"/>
        <v>40951</v>
      </c>
      <c r="F1627" s="11">
        <f>DATE(42,9,8)</f>
        <v>15592</v>
      </c>
      <c r="G1627" s="12">
        <f t="shared" ca="1" si="156"/>
        <v>70</v>
      </c>
      <c r="H1627" s="12">
        <f t="shared" ca="1" si="157"/>
        <v>-7</v>
      </c>
      <c r="I1627" s="13">
        <f t="shared" ca="1" si="158"/>
        <v>4</v>
      </c>
      <c r="J1627" s="14">
        <f t="shared" ca="1" si="155"/>
        <v>69</v>
      </c>
      <c r="K1627" s="12" t="s">
        <v>41</v>
      </c>
      <c r="L1627" s="12">
        <v>126</v>
      </c>
      <c r="M1627" s="12" t="s">
        <v>40</v>
      </c>
      <c r="N1627" s="12">
        <v>341</v>
      </c>
      <c r="O1627" s="90" t="s">
        <v>2748</v>
      </c>
    </row>
    <row r="1628" spans="1:15">
      <c r="A1628" s="12">
        <f t="shared" si="153"/>
        <v>1624</v>
      </c>
      <c r="B1628" s="12" t="s">
        <v>20</v>
      </c>
      <c r="C1628" s="12" t="s">
        <v>299</v>
      </c>
      <c r="D1628" s="12" t="s">
        <v>298</v>
      </c>
      <c r="E1628" s="89">
        <f t="shared" ca="1" si="154"/>
        <v>40951</v>
      </c>
      <c r="F1628" s="11">
        <f>DATE(66,6,4)</f>
        <v>24262</v>
      </c>
      <c r="G1628" s="12">
        <f t="shared" ca="1" si="156"/>
        <v>46</v>
      </c>
      <c r="H1628" s="12">
        <f t="shared" ca="1" si="157"/>
        <v>-4</v>
      </c>
      <c r="I1628" s="13">
        <f t="shared" ca="1" si="158"/>
        <v>8</v>
      </c>
      <c r="J1628" s="14">
        <f t="shared" ca="1" si="155"/>
        <v>45</v>
      </c>
      <c r="K1628" s="12" t="s">
        <v>40</v>
      </c>
      <c r="L1628" s="12">
        <v>126</v>
      </c>
      <c r="M1628" s="12" t="s">
        <v>40</v>
      </c>
      <c r="N1628" s="12">
        <v>341</v>
      </c>
    </row>
    <row r="1629" spans="1:15">
      <c r="A1629" s="12">
        <f t="shared" si="153"/>
        <v>1625</v>
      </c>
      <c r="B1629" s="12" t="s">
        <v>20</v>
      </c>
      <c r="C1629" s="12" t="s">
        <v>192</v>
      </c>
      <c r="D1629" s="12" t="s">
        <v>299</v>
      </c>
      <c r="E1629" s="89">
        <f t="shared" ca="1" si="154"/>
        <v>40951</v>
      </c>
      <c r="F1629" s="11">
        <f>DATE(71,1,13)</f>
        <v>25946</v>
      </c>
      <c r="G1629" s="12">
        <f t="shared" ca="1" si="156"/>
        <v>41</v>
      </c>
      <c r="H1629" s="12">
        <f t="shared" ca="1" si="157"/>
        <v>1</v>
      </c>
      <c r="I1629" s="13">
        <f t="shared" ca="1" si="158"/>
        <v>-1</v>
      </c>
      <c r="J1629" s="14">
        <f t="shared" ca="1" si="155"/>
        <v>41</v>
      </c>
      <c r="K1629" s="12" t="s">
        <v>41</v>
      </c>
      <c r="L1629" s="12">
        <v>126</v>
      </c>
      <c r="M1629" s="12" t="s">
        <v>40</v>
      </c>
      <c r="N1629" s="12">
        <v>341</v>
      </c>
    </row>
    <row r="1630" spans="1:15">
      <c r="A1630" s="12">
        <f t="shared" ref="A1630:A1657" si="159">A1629+1</f>
        <v>1626</v>
      </c>
      <c r="B1630" s="12" t="s">
        <v>20</v>
      </c>
      <c r="C1630" s="12" t="s">
        <v>63</v>
      </c>
      <c r="D1630" s="12" t="s">
        <v>299</v>
      </c>
      <c r="E1630" s="89">
        <f t="shared" ca="1" si="154"/>
        <v>40951</v>
      </c>
      <c r="F1630" s="11">
        <f>DATE(93,9,17)</f>
        <v>34229</v>
      </c>
      <c r="G1630" s="12">
        <f t="shared" ca="1" si="156"/>
        <v>19</v>
      </c>
      <c r="H1630" s="12">
        <f t="shared" ca="1" si="157"/>
        <v>-7</v>
      </c>
      <c r="I1630" s="13">
        <f t="shared" ca="1" si="158"/>
        <v>-5</v>
      </c>
      <c r="J1630" s="14">
        <f t="shared" ca="1" si="155"/>
        <v>18</v>
      </c>
      <c r="K1630" s="12" t="s">
        <v>40</v>
      </c>
      <c r="L1630" s="12">
        <v>126</v>
      </c>
      <c r="M1630" s="12" t="s">
        <v>44</v>
      </c>
      <c r="N1630" s="12">
        <v>341</v>
      </c>
    </row>
    <row r="1631" spans="1:15">
      <c r="A1631" s="12">
        <f t="shared" si="159"/>
        <v>1627</v>
      </c>
      <c r="B1631" s="12" t="s">
        <v>20</v>
      </c>
      <c r="C1631" s="12" t="s">
        <v>300</v>
      </c>
      <c r="D1631" s="12" t="s">
        <v>299</v>
      </c>
      <c r="E1631" s="89">
        <f t="shared" ca="1" si="154"/>
        <v>40951</v>
      </c>
      <c r="F1631" s="11">
        <f>DATE(94,9,27)</f>
        <v>34604</v>
      </c>
      <c r="G1631" s="12">
        <f t="shared" ca="1" si="156"/>
        <v>18</v>
      </c>
      <c r="H1631" s="12">
        <f t="shared" ca="1" si="157"/>
        <v>-7</v>
      </c>
      <c r="I1631" s="13">
        <f t="shared" ca="1" si="158"/>
        <v>-15</v>
      </c>
      <c r="J1631" s="14">
        <f t="shared" ca="1" si="155"/>
        <v>17</v>
      </c>
      <c r="K1631" s="12" t="s">
        <v>41</v>
      </c>
      <c r="L1631" s="12">
        <v>126</v>
      </c>
      <c r="M1631" s="12" t="s">
        <v>44</v>
      </c>
      <c r="N1631" s="12">
        <v>341</v>
      </c>
    </row>
    <row r="1632" spans="1:15">
      <c r="A1632" s="12">
        <f t="shared" si="159"/>
        <v>1628</v>
      </c>
      <c r="B1632" s="12" t="s">
        <v>20</v>
      </c>
      <c r="C1632" s="12" t="s">
        <v>301</v>
      </c>
      <c r="D1632" s="12" t="s">
        <v>298</v>
      </c>
      <c r="E1632" s="89">
        <f t="shared" ca="1" si="154"/>
        <v>40951</v>
      </c>
      <c r="F1632" s="11">
        <f>DATE(71,12,13)</f>
        <v>26280</v>
      </c>
      <c r="G1632" s="12">
        <f t="shared" ca="1" si="156"/>
        <v>41</v>
      </c>
      <c r="H1632" s="12">
        <f t="shared" ca="1" si="157"/>
        <v>-10</v>
      </c>
      <c r="I1632" s="13">
        <f t="shared" ca="1" si="158"/>
        <v>-1</v>
      </c>
      <c r="J1632" s="14">
        <f t="shared" ca="1" si="155"/>
        <v>40</v>
      </c>
      <c r="K1632" s="12" t="s">
        <v>40</v>
      </c>
      <c r="L1632" s="12">
        <v>126</v>
      </c>
      <c r="M1632" s="12" t="s">
        <v>40</v>
      </c>
      <c r="N1632" s="12">
        <v>342</v>
      </c>
      <c r="O1632" s="90" t="s">
        <v>2748</v>
      </c>
    </row>
    <row r="1633" spans="1:15">
      <c r="A1633" s="12">
        <f t="shared" si="159"/>
        <v>1629</v>
      </c>
      <c r="B1633" s="12" t="s">
        <v>20</v>
      </c>
      <c r="C1633" s="12" t="s">
        <v>302</v>
      </c>
      <c r="D1633" s="12" t="s">
        <v>301</v>
      </c>
      <c r="E1633" s="89">
        <f t="shared" ca="1" si="154"/>
        <v>40951</v>
      </c>
      <c r="F1633" s="11">
        <f>DATE(74,2,20)</f>
        <v>27080</v>
      </c>
      <c r="G1633" s="12">
        <f t="shared" ca="1" si="156"/>
        <v>38</v>
      </c>
      <c r="H1633" s="12">
        <f t="shared" ca="1" si="157"/>
        <v>0</v>
      </c>
      <c r="I1633" s="13">
        <f t="shared" ca="1" si="158"/>
        <v>-8</v>
      </c>
      <c r="J1633" s="14">
        <f t="shared" ca="1" si="155"/>
        <v>37</v>
      </c>
      <c r="K1633" s="12" t="s">
        <v>41</v>
      </c>
      <c r="L1633" s="12">
        <v>126</v>
      </c>
      <c r="M1633" s="12" t="s">
        <v>40</v>
      </c>
      <c r="N1633" s="12">
        <v>342</v>
      </c>
    </row>
    <row r="1634" spans="1:15">
      <c r="A1634" s="12">
        <f t="shared" si="159"/>
        <v>1630</v>
      </c>
      <c r="B1634" s="12" t="s">
        <v>20</v>
      </c>
      <c r="C1634" s="12" t="s">
        <v>303</v>
      </c>
      <c r="D1634" s="12" t="s">
        <v>301</v>
      </c>
      <c r="E1634" s="89">
        <f t="shared" ca="1" si="154"/>
        <v>40951</v>
      </c>
      <c r="F1634" s="11">
        <f>DATE(98,8,7)</f>
        <v>36014</v>
      </c>
      <c r="G1634" s="12">
        <f t="shared" ca="1" si="156"/>
        <v>14</v>
      </c>
      <c r="H1634" s="12">
        <f t="shared" ca="1" si="157"/>
        <v>-6</v>
      </c>
      <c r="I1634" s="13">
        <f t="shared" ca="1" si="158"/>
        <v>5</v>
      </c>
      <c r="J1634" s="14">
        <f t="shared" ca="1" si="155"/>
        <v>13</v>
      </c>
      <c r="K1634" s="12" t="s">
        <v>41</v>
      </c>
      <c r="L1634" s="12">
        <v>126</v>
      </c>
      <c r="M1634" s="12" t="s">
        <v>44</v>
      </c>
      <c r="N1634" s="12">
        <v>342</v>
      </c>
    </row>
    <row r="1635" spans="1:15">
      <c r="A1635" s="12">
        <f t="shared" si="159"/>
        <v>1631</v>
      </c>
      <c r="B1635" s="12" t="s">
        <v>20</v>
      </c>
      <c r="C1635" s="12" t="s">
        <v>266</v>
      </c>
      <c r="D1635" s="12" t="s">
        <v>291</v>
      </c>
      <c r="E1635" s="89">
        <f t="shared" ca="1" si="154"/>
        <v>40951</v>
      </c>
      <c r="F1635" s="11">
        <f>DATE(57,3,9)</f>
        <v>20888</v>
      </c>
      <c r="G1635" s="12">
        <f t="shared" ca="1" si="156"/>
        <v>55</v>
      </c>
      <c r="H1635" s="12">
        <f t="shared" ca="1" si="157"/>
        <v>-1</v>
      </c>
      <c r="I1635" s="13">
        <f t="shared" ca="1" si="158"/>
        <v>3</v>
      </c>
      <c r="J1635" s="14">
        <f t="shared" ca="1" si="155"/>
        <v>54</v>
      </c>
      <c r="K1635" s="12" t="s">
        <v>40</v>
      </c>
      <c r="L1635" s="12">
        <v>126</v>
      </c>
      <c r="M1635" s="12" t="s">
        <v>44</v>
      </c>
      <c r="N1635" s="12">
        <v>343</v>
      </c>
      <c r="O1635" s="90" t="s">
        <v>2748</v>
      </c>
    </row>
    <row r="1636" spans="1:15">
      <c r="A1636" s="12">
        <f t="shared" si="159"/>
        <v>1632</v>
      </c>
      <c r="B1636" s="12" t="s">
        <v>20</v>
      </c>
      <c r="C1636" s="12" t="s">
        <v>136</v>
      </c>
      <c r="D1636" s="12" t="s">
        <v>282</v>
      </c>
      <c r="E1636" s="89">
        <f t="shared" ca="1" si="154"/>
        <v>40951</v>
      </c>
      <c r="F1636" s="11">
        <f>DATE(28,9,1)</f>
        <v>10472</v>
      </c>
      <c r="G1636" s="12">
        <f t="shared" ca="1" si="156"/>
        <v>84</v>
      </c>
      <c r="H1636" s="12">
        <f t="shared" ca="1" si="157"/>
        <v>-7</v>
      </c>
      <c r="I1636" s="13">
        <f t="shared" ca="1" si="158"/>
        <v>11</v>
      </c>
      <c r="J1636" s="14">
        <f t="shared" ca="1" si="155"/>
        <v>83</v>
      </c>
      <c r="K1636" s="12" t="s">
        <v>40</v>
      </c>
      <c r="L1636" s="12">
        <v>127</v>
      </c>
      <c r="M1636" s="12" t="s">
        <v>40</v>
      </c>
      <c r="N1636" s="12">
        <v>344</v>
      </c>
      <c r="O1636" s="90" t="s">
        <v>2748</v>
      </c>
    </row>
    <row r="1637" spans="1:15">
      <c r="A1637" s="12">
        <f t="shared" si="159"/>
        <v>1633</v>
      </c>
      <c r="B1637" s="12" t="s">
        <v>20</v>
      </c>
      <c r="C1637" s="12" t="s">
        <v>283</v>
      </c>
      <c r="D1637" s="12" t="s">
        <v>136</v>
      </c>
      <c r="E1637" s="89">
        <f t="shared" ref="E1637:E1657" ca="1" si="160">TODAY()</f>
        <v>40951</v>
      </c>
      <c r="F1637" s="11">
        <f>DATE(33,11,2)</f>
        <v>12360</v>
      </c>
      <c r="G1637" s="12">
        <f t="shared" ca="1" si="156"/>
        <v>79</v>
      </c>
      <c r="H1637" s="12">
        <f t="shared" ca="1" si="157"/>
        <v>-9</v>
      </c>
      <c r="I1637" s="13">
        <f t="shared" ca="1" si="158"/>
        <v>10</v>
      </c>
      <c r="J1637" s="14">
        <f t="shared" ca="1" si="155"/>
        <v>78</v>
      </c>
      <c r="K1637" s="12" t="s">
        <v>41</v>
      </c>
      <c r="L1637" s="12">
        <v>127</v>
      </c>
      <c r="M1637" s="12" t="s">
        <v>40</v>
      </c>
      <c r="N1637" s="12">
        <v>344</v>
      </c>
    </row>
    <row r="1638" spans="1:15">
      <c r="A1638" s="12">
        <f t="shared" si="159"/>
        <v>1634</v>
      </c>
      <c r="B1638" s="12" t="s">
        <v>20</v>
      </c>
      <c r="C1638" s="12" t="s">
        <v>284</v>
      </c>
      <c r="D1638" s="12" t="s">
        <v>136</v>
      </c>
      <c r="E1638" s="89">
        <f t="shared" ca="1" si="160"/>
        <v>40951</v>
      </c>
      <c r="F1638" s="11">
        <f>DATE(55,10,26)</f>
        <v>20388</v>
      </c>
      <c r="G1638" s="12">
        <f t="shared" ca="1" si="156"/>
        <v>57</v>
      </c>
      <c r="H1638" s="12">
        <f t="shared" ca="1" si="157"/>
        <v>-8</v>
      </c>
      <c r="I1638" s="13">
        <f t="shared" ca="1" si="158"/>
        <v>-14</v>
      </c>
      <c r="J1638" s="14">
        <f t="shared" ca="1" si="155"/>
        <v>56</v>
      </c>
      <c r="K1638" s="12" t="s">
        <v>40</v>
      </c>
      <c r="L1638" s="12">
        <v>127</v>
      </c>
      <c r="M1638" s="12" t="s">
        <v>40</v>
      </c>
      <c r="N1638" s="12">
        <v>344</v>
      </c>
    </row>
    <row r="1639" spans="1:15">
      <c r="A1639" s="12">
        <f t="shared" si="159"/>
        <v>1635</v>
      </c>
      <c r="B1639" s="12" t="s">
        <v>20</v>
      </c>
      <c r="C1639" s="12" t="s">
        <v>84</v>
      </c>
      <c r="D1639" s="12" t="s">
        <v>284</v>
      </c>
      <c r="E1639" s="89">
        <f t="shared" ca="1" si="160"/>
        <v>40951</v>
      </c>
      <c r="F1639" s="11">
        <f>DATE(60,12,17)</f>
        <v>22267</v>
      </c>
      <c r="G1639" s="12">
        <f t="shared" ca="1" si="156"/>
        <v>52</v>
      </c>
      <c r="H1639" s="12">
        <f t="shared" ca="1" si="157"/>
        <v>-10</v>
      </c>
      <c r="I1639" s="13">
        <f t="shared" ca="1" si="158"/>
        <v>-5</v>
      </c>
      <c r="J1639" s="14">
        <f t="shared" ca="1" si="155"/>
        <v>51</v>
      </c>
      <c r="K1639" s="12" t="s">
        <v>41</v>
      </c>
      <c r="L1639" s="12">
        <v>127</v>
      </c>
      <c r="M1639" s="12" t="s">
        <v>40</v>
      </c>
      <c r="N1639" s="12">
        <v>344</v>
      </c>
    </row>
    <row r="1640" spans="1:15">
      <c r="A1640" s="12">
        <f t="shared" si="159"/>
        <v>1636</v>
      </c>
      <c r="B1640" s="12" t="s">
        <v>20</v>
      </c>
      <c r="C1640" s="12" t="s">
        <v>84</v>
      </c>
      <c r="D1640" s="12" t="s">
        <v>284</v>
      </c>
      <c r="E1640" s="89">
        <f t="shared" ca="1" si="160"/>
        <v>40951</v>
      </c>
      <c r="F1640" s="11">
        <f>DATE(84,9,28)</f>
        <v>30953</v>
      </c>
      <c r="G1640" s="12">
        <f t="shared" ca="1" si="156"/>
        <v>28</v>
      </c>
      <c r="H1640" s="12">
        <f t="shared" ca="1" si="157"/>
        <v>-7</v>
      </c>
      <c r="I1640" s="13">
        <f t="shared" ca="1" si="158"/>
        <v>-16</v>
      </c>
      <c r="J1640" s="14">
        <f t="shared" ca="1" si="155"/>
        <v>27</v>
      </c>
      <c r="K1640" s="12" t="s">
        <v>41</v>
      </c>
      <c r="L1640" s="12">
        <v>127</v>
      </c>
      <c r="M1640" s="12" t="s">
        <v>44</v>
      </c>
      <c r="N1640" s="12">
        <v>344</v>
      </c>
    </row>
    <row r="1641" spans="1:15">
      <c r="A1641" s="12">
        <f t="shared" si="159"/>
        <v>1637</v>
      </c>
      <c r="B1641" s="12" t="s">
        <v>20</v>
      </c>
      <c r="C1641" s="12" t="s">
        <v>176</v>
      </c>
      <c r="D1641" s="12" t="s">
        <v>284</v>
      </c>
      <c r="E1641" s="89">
        <f t="shared" ca="1" si="160"/>
        <v>40951</v>
      </c>
      <c r="F1641" s="11">
        <f>DATE(88,4,29)</f>
        <v>32262</v>
      </c>
      <c r="G1641" s="12">
        <f t="shared" ca="1" si="156"/>
        <v>24</v>
      </c>
      <c r="H1641" s="12">
        <f t="shared" ca="1" si="157"/>
        <v>-2</v>
      </c>
      <c r="I1641" s="13">
        <f t="shared" ca="1" si="158"/>
        <v>-17</v>
      </c>
      <c r="J1641" s="14">
        <f t="shared" ca="1" si="155"/>
        <v>23</v>
      </c>
      <c r="K1641" s="12" t="s">
        <v>40</v>
      </c>
      <c r="L1641" s="12">
        <v>127</v>
      </c>
      <c r="M1641" s="12" t="s">
        <v>44</v>
      </c>
      <c r="N1641" s="12">
        <v>344</v>
      </c>
    </row>
    <row r="1642" spans="1:15">
      <c r="A1642" s="12">
        <f t="shared" si="159"/>
        <v>1638</v>
      </c>
      <c r="B1642" s="12" t="s">
        <v>20</v>
      </c>
      <c r="C1642" s="12" t="s">
        <v>285</v>
      </c>
      <c r="D1642" s="12" t="s">
        <v>286</v>
      </c>
      <c r="E1642" s="89">
        <f t="shared" ca="1" si="160"/>
        <v>40951</v>
      </c>
      <c r="F1642" s="11">
        <f>DATE(39,4,5)</f>
        <v>14340</v>
      </c>
      <c r="G1642" s="12">
        <f t="shared" ca="1" si="156"/>
        <v>73</v>
      </c>
      <c r="H1642" s="12">
        <f t="shared" ca="1" si="157"/>
        <v>-2</v>
      </c>
      <c r="I1642" s="13">
        <f t="shared" ca="1" si="158"/>
        <v>7</v>
      </c>
      <c r="J1642" s="14">
        <f t="shared" ca="1" si="155"/>
        <v>72</v>
      </c>
      <c r="K1642" s="12" t="s">
        <v>40</v>
      </c>
      <c r="L1642" s="12">
        <v>127</v>
      </c>
      <c r="M1642" s="12" t="s">
        <v>40</v>
      </c>
      <c r="N1642" s="12">
        <v>345</v>
      </c>
      <c r="O1642" s="90" t="s">
        <v>2748</v>
      </c>
    </row>
    <row r="1643" spans="1:15">
      <c r="A1643" s="12">
        <f t="shared" si="159"/>
        <v>1639</v>
      </c>
      <c r="B1643" s="12" t="s">
        <v>20</v>
      </c>
      <c r="C1643" s="12" t="s">
        <v>287</v>
      </c>
      <c r="D1643" s="12" t="s">
        <v>285</v>
      </c>
      <c r="E1643" s="89">
        <f t="shared" ca="1" si="160"/>
        <v>40951</v>
      </c>
      <c r="F1643" s="11">
        <f>DATE(48,1,15)</f>
        <v>17547</v>
      </c>
      <c r="G1643" s="12">
        <f t="shared" ca="1" si="156"/>
        <v>64</v>
      </c>
      <c r="H1643" s="12">
        <f t="shared" ca="1" si="157"/>
        <v>1</v>
      </c>
      <c r="I1643" s="13">
        <f t="shared" ca="1" si="158"/>
        <v>-3</v>
      </c>
      <c r="J1643" s="14">
        <f t="shared" ca="1" si="155"/>
        <v>64</v>
      </c>
      <c r="K1643" s="12" t="s">
        <v>41</v>
      </c>
      <c r="L1643" s="12">
        <v>127</v>
      </c>
      <c r="M1643" s="12" t="s">
        <v>40</v>
      </c>
      <c r="N1643" s="12">
        <v>345</v>
      </c>
    </row>
    <row r="1644" spans="1:15">
      <c r="A1644" s="12">
        <f t="shared" si="159"/>
        <v>1640</v>
      </c>
      <c r="B1644" s="12" t="s">
        <v>20</v>
      </c>
      <c r="C1644" s="12" t="s">
        <v>135</v>
      </c>
      <c r="D1644" s="12" t="s">
        <v>285</v>
      </c>
      <c r="E1644" s="89">
        <f t="shared" ca="1" si="160"/>
        <v>40951</v>
      </c>
      <c r="F1644" s="11">
        <f>DATE(70,3,21)</f>
        <v>25648</v>
      </c>
      <c r="G1644" s="12">
        <f t="shared" ca="1" si="156"/>
        <v>42</v>
      </c>
      <c r="H1644" s="12">
        <f t="shared" ca="1" si="157"/>
        <v>-1</v>
      </c>
      <c r="I1644" s="13">
        <f t="shared" ca="1" si="158"/>
        <v>-9</v>
      </c>
      <c r="J1644" s="14">
        <f t="shared" ca="1" si="155"/>
        <v>41</v>
      </c>
      <c r="K1644" s="12" t="s">
        <v>40</v>
      </c>
      <c r="L1644" s="12">
        <v>127</v>
      </c>
      <c r="M1644" s="12" t="s">
        <v>40</v>
      </c>
      <c r="N1644" s="12">
        <v>345</v>
      </c>
    </row>
    <row r="1645" spans="1:15">
      <c r="A1645" s="12">
        <f t="shared" si="159"/>
        <v>1641</v>
      </c>
      <c r="B1645" s="12" t="s">
        <v>20</v>
      </c>
      <c r="C1645" s="12" t="s">
        <v>288</v>
      </c>
      <c r="D1645" s="12" t="s">
        <v>135</v>
      </c>
      <c r="E1645" s="89">
        <f t="shared" ca="1" si="160"/>
        <v>40951</v>
      </c>
      <c r="F1645" s="11">
        <f>DATE(77,5,1)</f>
        <v>28246</v>
      </c>
      <c r="G1645" s="12">
        <f t="shared" ca="1" si="156"/>
        <v>35</v>
      </c>
      <c r="H1645" s="12">
        <f t="shared" ca="1" si="157"/>
        <v>-3</v>
      </c>
      <c r="I1645" s="13">
        <f t="shared" ca="1" si="158"/>
        <v>11</v>
      </c>
      <c r="J1645" s="14">
        <f t="shared" ca="1" si="155"/>
        <v>34</v>
      </c>
      <c r="K1645" s="12" t="s">
        <v>41</v>
      </c>
      <c r="L1645" s="12">
        <v>127</v>
      </c>
      <c r="M1645" s="12" t="s">
        <v>40</v>
      </c>
      <c r="N1645" s="12">
        <v>345</v>
      </c>
    </row>
    <row r="1646" spans="1:15">
      <c r="A1646" s="12">
        <f t="shared" si="159"/>
        <v>1642</v>
      </c>
      <c r="B1646" s="12" t="s">
        <v>20</v>
      </c>
      <c r="C1646" s="12" t="s">
        <v>289</v>
      </c>
      <c r="D1646" s="12" t="s">
        <v>135</v>
      </c>
      <c r="E1646" s="89">
        <f t="shared" ca="1" si="160"/>
        <v>40951</v>
      </c>
      <c r="F1646" s="11">
        <f>DATE(2000,10,17)</f>
        <v>36816</v>
      </c>
      <c r="G1646" s="12">
        <f t="shared" ca="1" si="156"/>
        <v>12</v>
      </c>
      <c r="H1646" s="12">
        <f t="shared" ca="1" si="157"/>
        <v>-8</v>
      </c>
      <c r="I1646" s="13">
        <f t="shared" ca="1" si="158"/>
        <v>-5</v>
      </c>
      <c r="J1646" s="14">
        <f t="shared" ca="1" si="155"/>
        <v>11</v>
      </c>
      <c r="K1646" s="12" t="s">
        <v>41</v>
      </c>
      <c r="L1646" s="12">
        <v>127</v>
      </c>
      <c r="M1646" s="12" t="s">
        <v>44</v>
      </c>
      <c r="N1646" s="12">
        <v>345</v>
      </c>
    </row>
    <row r="1647" spans="1:15">
      <c r="A1647" s="12">
        <f t="shared" si="159"/>
        <v>1643</v>
      </c>
      <c r="B1647" s="12" t="s">
        <v>20</v>
      </c>
      <c r="C1647" s="12" t="s">
        <v>290</v>
      </c>
      <c r="D1647" s="12" t="s">
        <v>135</v>
      </c>
      <c r="E1647" s="89">
        <f t="shared" ca="1" si="160"/>
        <v>40951</v>
      </c>
      <c r="F1647" s="11">
        <f>DATE(2004,7,27)</f>
        <v>38195</v>
      </c>
      <c r="G1647" s="12">
        <f t="shared" ca="1" si="156"/>
        <v>8</v>
      </c>
      <c r="H1647" s="12">
        <f t="shared" ca="1" si="157"/>
        <v>-5</v>
      </c>
      <c r="I1647" s="13">
        <f t="shared" ca="1" si="158"/>
        <v>-15</v>
      </c>
      <c r="J1647" s="14">
        <f t="shared" ca="1" si="155"/>
        <v>7</v>
      </c>
      <c r="K1647" s="12" t="s">
        <v>41</v>
      </c>
      <c r="L1647" s="12">
        <v>127</v>
      </c>
      <c r="M1647" s="12" t="s">
        <v>44</v>
      </c>
      <c r="N1647" s="12">
        <v>345</v>
      </c>
    </row>
    <row r="1648" spans="1:15">
      <c r="A1648" s="95">
        <f t="shared" si="159"/>
        <v>1644</v>
      </c>
      <c r="B1648" s="95" t="s">
        <v>0</v>
      </c>
      <c r="C1648" s="30" t="s">
        <v>272</v>
      </c>
      <c r="D1648" s="30" t="s">
        <v>273</v>
      </c>
      <c r="E1648" s="96">
        <f t="shared" ca="1" si="160"/>
        <v>40951</v>
      </c>
      <c r="F1648" s="50">
        <f>DATE(45,10,9)</f>
        <v>16719</v>
      </c>
      <c r="G1648" s="30">
        <f t="shared" ca="1" si="156"/>
        <v>67</v>
      </c>
      <c r="H1648" s="30">
        <f t="shared" ca="1" si="157"/>
        <v>-8</v>
      </c>
      <c r="I1648" s="97">
        <f t="shared" ca="1" si="158"/>
        <v>3</v>
      </c>
      <c r="J1648" s="98">
        <f t="shared" ca="1" si="155"/>
        <v>66</v>
      </c>
      <c r="K1648" s="30" t="s">
        <v>40</v>
      </c>
      <c r="L1648" s="30">
        <v>128</v>
      </c>
      <c r="M1648" s="30" t="s">
        <v>40</v>
      </c>
      <c r="N1648" s="30">
        <v>346</v>
      </c>
      <c r="O1648" s="99" t="s">
        <v>2748</v>
      </c>
    </row>
    <row r="1649" spans="1:15">
      <c r="A1649" s="95">
        <f t="shared" si="159"/>
        <v>1645</v>
      </c>
      <c r="B1649" s="95" t="s">
        <v>0</v>
      </c>
      <c r="C1649" s="30" t="s">
        <v>226</v>
      </c>
      <c r="D1649" s="30" t="s">
        <v>272</v>
      </c>
      <c r="E1649" s="96">
        <f t="shared" ca="1" si="160"/>
        <v>40951</v>
      </c>
      <c r="F1649" s="50">
        <f>DATE(45,5,10)</f>
        <v>16567</v>
      </c>
      <c r="G1649" s="30">
        <f t="shared" ca="1" si="156"/>
        <v>67</v>
      </c>
      <c r="H1649" s="30">
        <f t="shared" ca="1" si="157"/>
        <v>-3</v>
      </c>
      <c r="I1649" s="97">
        <f t="shared" ca="1" si="158"/>
        <v>2</v>
      </c>
      <c r="J1649" s="98">
        <f t="shared" ca="1" si="155"/>
        <v>66</v>
      </c>
      <c r="K1649" s="30" t="s">
        <v>41</v>
      </c>
      <c r="L1649" s="30">
        <v>128</v>
      </c>
      <c r="M1649" s="30" t="s">
        <v>40</v>
      </c>
      <c r="N1649" s="30">
        <v>346</v>
      </c>
      <c r="O1649" s="30"/>
    </row>
    <row r="1650" spans="1:15">
      <c r="A1650" s="95">
        <f t="shared" si="159"/>
        <v>1646</v>
      </c>
      <c r="B1650" s="95" t="s">
        <v>0</v>
      </c>
      <c r="C1650" s="30" t="s">
        <v>274</v>
      </c>
      <c r="D1650" s="30" t="s">
        <v>272</v>
      </c>
      <c r="E1650" s="96">
        <f t="shared" ca="1" si="160"/>
        <v>40951</v>
      </c>
      <c r="F1650" s="50">
        <f>DATE(76,2,29)</f>
        <v>27819</v>
      </c>
      <c r="G1650" s="30">
        <f t="shared" ca="1" si="156"/>
        <v>36</v>
      </c>
      <c r="H1650" s="30">
        <f t="shared" ca="1" si="157"/>
        <v>0</v>
      </c>
      <c r="I1650" s="97">
        <f t="shared" ca="1" si="158"/>
        <v>-17</v>
      </c>
      <c r="J1650" s="98">
        <f t="shared" ca="1" si="155"/>
        <v>35</v>
      </c>
      <c r="K1650" s="30" t="s">
        <v>40</v>
      </c>
      <c r="L1650" s="30">
        <v>128</v>
      </c>
      <c r="M1650" s="30" t="s">
        <v>40</v>
      </c>
      <c r="N1650" s="30">
        <v>346</v>
      </c>
      <c r="O1650" s="30"/>
    </row>
    <row r="1651" spans="1:15">
      <c r="A1651" s="95">
        <f t="shared" si="159"/>
        <v>1647</v>
      </c>
      <c r="B1651" s="95" t="s">
        <v>0</v>
      </c>
      <c r="C1651" s="30" t="s">
        <v>275</v>
      </c>
      <c r="D1651" s="30" t="s">
        <v>274</v>
      </c>
      <c r="E1651" s="96">
        <f t="shared" ca="1" si="160"/>
        <v>40951</v>
      </c>
      <c r="F1651" s="50">
        <f>DATE(79,12,15)</f>
        <v>29204</v>
      </c>
      <c r="G1651" s="30">
        <f t="shared" ca="1" si="156"/>
        <v>33</v>
      </c>
      <c r="H1651" s="30">
        <f t="shared" ca="1" si="157"/>
        <v>-10</v>
      </c>
      <c r="I1651" s="97">
        <f t="shared" ca="1" si="158"/>
        <v>-3</v>
      </c>
      <c r="J1651" s="98">
        <f t="shared" ca="1" si="155"/>
        <v>32</v>
      </c>
      <c r="K1651" s="30" t="s">
        <v>41</v>
      </c>
      <c r="L1651" s="30">
        <v>128</v>
      </c>
      <c r="M1651" s="30" t="s">
        <v>40</v>
      </c>
      <c r="N1651" s="30">
        <v>346</v>
      </c>
      <c r="O1651" s="30"/>
    </row>
    <row r="1652" spans="1:15">
      <c r="A1652" s="95">
        <f>A1651+1</f>
        <v>1648</v>
      </c>
      <c r="B1652" s="95" t="s">
        <v>0</v>
      </c>
      <c r="C1652" s="30" t="s">
        <v>276</v>
      </c>
      <c r="D1652" s="30" t="s">
        <v>274</v>
      </c>
      <c r="E1652" s="96">
        <f t="shared" ca="1" si="160"/>
        <v>40951</v>
      </c>
      <c r="F1652" s="50">
        <f>DATE(2004,11,12)</f>
        <v>38303</v>
      </c>
      <c r="G1652" s="30">
        <f t="shared" ca="1" si="156"/>
        <v>8</v>
      </c>
      <c r="H1652" s="30">
        <f t="shared" ca="1" si="157"/>
        <v>-9</v>
      </c>
      <c r="I1652" s="97">
        <f t="shared" ca="1" si="158"/>
        <v>0</v>
      </c>
      <c r="J1652" s="98">
        <f t="shared" ca="1" si="155"/>
        <v>7</v>
      </c>
      <c r="K1652" s="30" t="s">
        <v>40</v>
      </c>
      <c r="L1652" s="30">
        <v>128</v>
      </c>
      <c r="M1652" s="30" t="s">
        <v>44</v>
      </c>
      <c r="N1652" s="30">
        <v>346</v>
      </c>
      <c r="O1652" s="99"/>
    </row>
    <row r="1653" spans="1:15">
      <c r="A1653" s="12">
        <f>A1652+1</f>
        <v>1649</v>
      </c>
      <c r="B1653" s="12" t="s">
        <v>0</v>
      </c>
      <c r="C1653" s="12" t="s">
        <v>277</v>
      </c>
      <c r="D1653" s="12" t="s">
        <v>278</v>
      </c>
      <c r="E1653" s="89">
        <f t="shared" ca="1" si="160"/>
        <v>40951</v>
      </c>
      <c r="F1653" s="11">
        <f>DATE(63,4,30)</f>
        <v>23131</v>
      </c>
      <c r="G1653" s="12">
        <f t="shared" ca="1" si="156"/>
        <v>49</v>
      </c>
      <c r="H1653" s="12">
        <f t="shared" ca="1" si="157"/>
        <v>-2</v>
      </c>
      <c r="I1653" s="13">
        <f t="shared" ca="1" si="158"/>
        <v>-18</v>
      </c>
      <c r="J1653" s="14">
        <f t="shared" ca="1" si="155"/>
        <v>48</v>
      </c>
      <c r="K1653" s="12" t="s">
        <v>40</v>
      </c>
      <c r="L1653" s="12">
        <v>128</v>
      </c>
      <c r="M1653" s="12" t="s">
        <v>40</v>
      </c>
      <c r="N1653" s="12">
        <v>347</v>
      </c>
      <c r="O1653" s="90" t="s">
        <v>2748</v>
      </c>
    </row>
    <row r="1654" spans="1:15">
      <c r="A1654" s="12">
        <f t="shared" si="159"/>
        <v>1650</v>
      </c>
      <c r="B1654" s="12" t="s">
        <v>0</v>
      </c>
      <c r="C1654" s="12" t="s">
        <v>279</v>
      </c>
      <c r="D1654" s="12" t="s">
        <v>277</v>
      </c>
      <c r="E1654" s="89">
        <f t="shared" ca="1" si="160"/>
        <v>40951</v>
      </c>
      <c r="F1654" s="32"/>
      <c r="G1654" s="12">
        <f t="shared" ca="1" si="156"/>
        <v>112</v>
      </c>
      <c r="H1654" s="12">
        <f t="shared" ca="1" si="157"/>
        <v>1</v>
      </c>
      <c r="I1654" s="13">
        <f t="shared" ca="1" si="158"/>
        <v>12</v>
      </c>
      <c r="J1654" s="14">
        <f t="shared" ca="1" si="155"/>
        <v>112</v>
      </c>
      <c r="K1654" s="12" t="s">
        <v>41</v>
      </c>
      <c r="L1654" s="12">
        <v>128</v>
      </c>
      <c r="M1654" s="12" t="s">
        <v>40</v>
      </c>
      <c r="N1654" s="12">
        <v>347</v>
      </c>
    </row>
    <row r="1655" spans="1:15">
      <c r="A1655" s="12">
        <f t="shared" si="159"/>
        <v>1651</v>
      </c>
      <c r="B1655" s="12" t="s">
        <v>0</v>
      </c>
      <c r="C1655" s="12" t="s">
        <v>280</v>
      </c>
      <c r="D1655" s="12" t="s">
        <v>277</v>
      </c>
      <c r="E1655" s="89">
        <f t="shared" ca="1" si="160"/>
        <v>40951</v>
      </c>
      <c r="F1655" s="32"/>
      <c r="G1655" s="12">
        <f t="shared" ca="1" si="156"/>
        <v>112</v>
      </c>
      <c r="H1655" s="12">
        <f t="shared" ca="1" si="157"/>
        <v>1</v>
      </c>
      <c r="I1655" s="13">
        <f t="shared" ca="1" si="158"/>
        <v>12</v>
      </c>
      <c r="J1655" s="14">
        <f t="shared" ca="1" si="155"/>
        <v>112</v>
      </c>
      <c r="K1655" s="12" t="s">
        <v>41</v>
      </c>
      <c r="L1655" s="12">
        <v>128</v>
      </c>
      <c r="M1655" s="12" t="s">
        <v>40</v>
      </c>
      <c r="N1655" s="12">
        <v>347</v>
      </c>
    </row>
    <row r="1656" spans="1:15">
      <c r="A1656" s="12">
        <f t="shared" si="159"/>
        <v>1652</v>
      </c>
      <c r="B1656" s="12" t="s">
        <v>0</v>
      </c>
      <c r="C1656" s="12" t="s">
        <v>281</v>
      </c>
      <c r="D1656" s="12" t="s">
        <v>277</v>
      </c>
      <c r="E1656" s="89">
        <f t="shared" ca="1" si="160"/>
        <v>40951</v>
      </c>
      <c r="F1656" s="11">
        <f>DATE(92,10,31)</f>
        <v>33908</v>
      </c>
      <c r="G1656" s="12">
        <f t="shared" ca="1" si="156"/>
        <v>20</v>
      </c>
      <c r="H1656" s="12">
        <f t="shared" ca="1" si="157"/>
        <v>-8</v>
      </c>
      <c r="I1656" s="13">
        <f t="shared" ca="1" si="158"/>
        <v>-19</v>
      </c>
      <c r="J1656" s="14">
        <f t="shared" ca="1" si="155"/>
        <v>19</v>
      </c>
      <c r="K1656" s="12" t="s">
        <v>40</v>
      </c>
      <c r="L1656" s="12">
        <v>128</v>
      </c>
      <c r="M1656" s="12" t="s">
        <v>44</v>
      </c>
      <c r="N1656" s="12">
        <v>347</v>
      </c>
    </row>
    <row r="1657" spans="1:15">
      <c r="A1657" s="12">
        <f t="shared" si="159"/>
        <v>1653</v>
      </c>
      <c r="B1657" s="12" t="s">
        <v>0</v>
      </c>
      <c r="C1657" s="12" t="s">
        <v>179</v>
      </c>
      <c r="D1657" s="12" t="s">
        <v>277</v>
      </c>
      <c r="E1657" s="89">
        <f t="shared" ca="1" si="160"/>
        <v>40951</v>
      </c>
      <c r="F1657" s="11">
        <f>DATE(96,1,3)</f>
        <v>35067</v>
      </c>
      <c r="G1657" s="12">
        <f t="shared" ca="1" si="156"/>
        <v>16</v>
      </c>
      <c r="H1657" s="12">
        <f t="shared" ca="1" si="157"/>
        <v>1</v>
      </c>
      <c r="I1657" s="13">
        <f t="shared" ca="1" si="158"/>
        <v>9</v>
      </c>
      <c r="J1657" s="14">
        <f t="shared" ca="1" si="155"/>
        <v>16</v>
      </c>
      <c r="K1657" s="12" t="s">
        <v>40</v>
      </c>
      <c r="L1657" s="12">
        <v>128</v>
      </c>
      <c r="M1657" s="12" t="s">
        <v>44</v>
      </c>
      <c r="N1657" s="12">
        <v>347</v>
      </c>
      <c r="O1657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57"/>
  <sheetViews>
    <sheetView workbookViewId="0">
      <selection activeCell="R7" sqref="R7"/>
    </sheetView>
  </sheetViews>
  <sheetFormatPr defaultRowHeight="15"/>
  <cols>
    <col min="1" max="1" width="5" bestFit="1" customWidth="1"/>
    <col min="2" max="2" width="10" bestFit="1" customWidth="1"/>
    <col min="3" max="3" width="28.42578125" customWidth="1"/>
    <col min="4" max="4" width="30.140625" customWidth="1"/>
    <col min="5" max="5" width="10.42578125" hidden="1" customWidth="1"/>
    <col min="6" max="6" width="12" style="3" customWidth="1"/>
    <col min="7" max="8" width="9.140625" hidden="1" customWidth="1"/>
    <col min="9" max="9" width="11" hidden="1" customWidth="1"/>
    <col min="10" max="10" width="9.140625" style="3"/>
  </cols>
  <sheetData>
    <row r="1" spans="1:14" ht="15.75" thickBot="1">
      <c r="F1" s="3" t="s">
        <v>42</v>
      </c>
      <c r="J1" s="3" t="s">
        <v>22</v>
      </c>
      <c r="L1" t="s">
        <v>43</v>
      </c>
    </row>
    <row r="2" spans="1:14">
      <c r="A2" s="24">
        <v>1</v>
      </c>
      <c r="B2" s="66" t="s">
        <v>46</v>
      </c>
      <c r="C2" s="72" t="s">
        <v>521</v>
      </c>
      <c r="D2" s="72" t="s">
        <v>923</v>
      </c>
      <c r="E2" s="21">
        <f ca="1">TODAY()</f>
        <v>40951</v>
      </c>
      <c r="F2" s="6">
        <f>DATE(1943,2,10)</f>
        <v>15747</v>
      </c>
      <c r="G2" s="7">
        <f ca="1">YEAR(E2)-YEAR(F2)</f>
        <v>69</v>
      </c>
      <c r="H2" s="7">
        <f ca="1">MONTH(E2)-MONTH(F2)</f>
        <v>0</v>
      </c>
      <c r="I2" s="8">
        <f ca="1">DAY(E2)-DAY(F2)</f>
        <v>2</v>
      </c>
      <c r="J2" s="9">
        <f ca="1">IF(H2&lt;0,G2-1,IF(H2&gt;0,G2,IF(I2&lt;0,G2-1,G2)))</f>
        <v>69</v>
      </c>
      <c r="K2" s="7" t="s">
        <v>40</v>
      </c>
      <c r="L2" s="10">
        <v>1</v>
      </c>
      <c r="M2" s="24" t="s">
        <v>40</v>
      </c>
      <c r="N2">
        <v>1</v>
      </c>
    </row>
    <row r="3" spans="1:14">
      <c r="A3" s="25">
        <f>A2+1</f>
        <v>2</v>
      </c>
      <c r="B3" s="67" t="s">
        <v>46</v>
      </c>
      <c r="C3" s="71" t="s">
        <v>78</v>
      </c>
      <c r="D3" s="71" t="s">
        <v>521</v>
      </c>
      <c r="E3" s="22">
        <f t="shared" ref="E3:E28" ca="1" si="0">TODAY()</f>
        <v>40951</v>
      </c>
      <c r="F3" s="11">
        <f>DATE(50,2,2)</f>
        <v>18296</v>
      </c>
      <c r="G3" s="12">
        <f t="shared" ref="G3:G23" ca="1" si="1">YEAR(E3)-YEAR(F3)</f>
        <v>62</v>
      </c>
      <c r="H3" s="12">
        <f t="shared" ref="H3:H23" ca="1" si="2">MONTH(E3)-MONTH(F3)</f>
        <v>0</v>
      </c>
      <c r="I3" s="13">
        <f t="shared" ref="I3:I23" ca="1" si="3">DAY(E3)-DAY(F3)</f>
        <v>10</v>
      </c>
      <c r="J3" s="14">
        <f t="shared" ref="J3:J66" ca="1" si="4">IF(H3&lt;0,G3-1,IF(H3&gt;0,G3,IF(I3&lt;0,G3-1,G3)))</f>
        <v>62</v>
      </c>
      <c r="K3" s="12" t="s">
        <v>41</v>
      </c>
      <c r="L3" s="15">
        <v>1</v>
      </c>
      <c r="M3" s="25" t="s">
        <v>40</v>
      </c>
      <c r="N3">
        <v>1</v>
      </c>
    </row>
    <row r="4" spans="1:14">
      <c r="A4" s="25">
        <f t="shared" ref="A4:A28" si="5">A3+1</f>
        <v>3</v>
      </c>
      <c r="B4" s="67" t="s">
        <v>46</v>
      </c>
      <c r="C4" s="71" t="s">
        <v>1038</v>
      </c>
      <c r="D4" s="71" t="s">
        <v>521</v>
      </c>
      <c r="E4" s="22">
        <f t="shared" ca="1" si="0"/>
        <v>40951</v>
      </c>
      <c r="F4" s="11">
        <f>DATE(78,6,28)</f>
        <v>28669</v>
      </c>
      <c r="G4" s="12">
        <f t="shared" ca="1" si="1"/>
        <v>34</v>
      </c>
      <c r="H4" s="12">
        <f t="shared" ca="1" si="2"/>
        <v>-4</v>
      </c>
      <c r="I4" s="13">
        <f t="shared" ca="1" si="3"/>
        <v>-16</v>
      </c>
      <c r="J4" s="14">
        <f t="shared" ca="1" si="4"/>
        <v>33</v>
      </c>
      <c r="K4" s="12" t="s">
        <v>40</v>
      </c>
      <c r="L4" s="15">
        <v>1</v>
      </c>
      <c r="M4" s="25" t="s">
        <v>40</v>
      </c>
      <c r="N4">
        <v>1</v>
      </c>
    </row>
    <row r="5" spans="1:14" ht="15.75" thickBot="1">
      <c r="A5" s="26">
        <f t="shared" si="5"/>
        <v>4</v>
      </c>
      <c r="B5" s="68" t="s">
        <v>46</v>
      </c>
      <c r="C5" s="73" t="s">
        <v>129</v>
      </c>
      <c r="D5" s="73" t="s">
        <v>1038</v>
      </c>
      <c r="E5" s="23">
        <f t="shared" ca="1" si="0"/>
        <v>40951</v>
      </c>
      <c r="F5" s="16">
        <f>DATE(80,6,29)</f>
        <v>29401</v>
      </c>
      <c r="G5" s="17">
        <f t="shared" ca="1" si="1"/>
        <v>32</v>
      </c>
      <c r="H5" s="17">
        <f t="shared" ca="1" si="2"/>
        <v>-4</v>
      </c>
      <c r="I5" s="18">
        <f t="shared" ca="1" si="3"/>
        <v>-17</v>
      </c>
      <c r="J5" s="19">
        <f t="shared" ca="1" si="4"/>
        <v>31</v>
      </c>
      <c r="K5" s="17" t="s">
        <v>41</v>
      </c>
      <c r="L5" s="20">
        <v>1</v>
      </c>
      <c r="M5" s="26" t="s">
        <v>40</v>
      </c>
      <c r="N5">
        <v>1</v>
      </c>
    </row>
    <row r="6" spans="1:14">
      <c r="A6" s="24">
        <f t="shared" si="5"/>
        <v>5</v>
      </c>
      <c r="B6" s="66" t="s">
        <v>46</v>
      </c>
      <c r="C6" s="72" t="s">
        <v>1039</v>
      </c>
      <c r="D6" s="72" t="s">
        <v>923</v>
      </c>
      <c r="E6" s="21">
        <f t="shared" ca="1" si="0"/>
        <v>40951</v>
      </c>
      <c r="F6" s="6">
        <f>DATE(51,7,1)</f>
        <v>18810</v>
      </c>
      <c r="G6" s="7">
        <f t="shared" ca="1" si="1"/>
        <v>61</v>
      </c>
      <c r="H6" s="7">
        <f t="shared" ca="1" si="2"/>
        <v>-5</v>
      </c>
      <c r="I6" s="8">
        <f t="shared" ca="1" si="3"/>
        <v>11</v>
      </c>
      <c r="J6" s="9">
        <f t="shared" ca="1" si="4"/>
        <v>60</v>
      </c>
      <c r="K6" s="7" t="s">
        <v>40</v>
      </c>
      <c r="L6" s="10">
        <v>1</v>
      </c>
      <c r="M6" s="24" t="s">
        <v>40</v>
      </c>
      <c r="N6">
        <v>2</v>
      </c>
    </row>
    <row r="7" spans="1:14">
      <c r="A7" s="25">
        <f t="shared" si="5"/>
        <v>6</v>
      </c>
      <c r="B7" s="67" t="s">
        <v>46</v>
      </c>
      <c r="C7" s="71" t="s">
        <v>1073</v>
      </c>
      <c r="D7" s="71" t="s">
        <v>1039</v>
      </c>
      <c r="E7" s="22">
        <f t="shared" ca="1" si="0"/>
        <v>40951</v>
      </c>
      <c r="F7" s="11">
        <f>DATE(42,4,29)</f>
        <v>15460</v>
      </c>
      <c r="G7" s="12">
        <f t="shared" ca="1" si="1"/>
        <v>70</v>
      </c>
      <c r="H7" s="12">
        <f t="shared" ca="1" si="2"/>
        <v>-2</v>
      </c>
      <c r="I7" s="13">
        <f t="shared" ca="1" si="3"/>
        <v>-17</v>
      </c>
      <c r="J7" s="14">
        <f t="shared" ca="1" si="4"/>
        <v>69</v>
      </c>
      <c r="K7" s="12" t="s">
        <v>41</v>
      </c>
      <c r="L7" s="15">
        <v>1</v>
      </c>
      <c r="M7" s="25" t="s">
        <v>40</v>
      </c>
      <c r="N7">
        <v>2</v>
      </c>
    </row>
    <row r="8" spans="1:14">
      <c r="A8" s="25">
        <f t="shared" si="5"/>
        <v>7</v>
      </c>
      <c r="B8" s="67" t="s">
        <v>46</v>
      </c>
      <c r="C8" s="71" t="s">
        <v>693</v>
      </c>
      <c r="D8" s="71" t="s">
        <v>1039</v>
      </c>
      <c r="E8" s="22">
        <f t="shared" ca="1" si="0"/>
        <v>40951</v>
      </c>
      <c r="F8" s="11">
        <f>DATE(82,1,11)</f>
        <v>29962</v>
      </c>
      <c r="G8" s="12">
        <f t="shared" ca="1" si="1"/>
        <v>30</v>
      </c>
      <c r="H8" s="12">
        <f t="shared" ca="1" si="2"/>
        <v>1</v>
      </c>
      <c r="I8" s="13">
        <f t="shared" ca="1" si="3"/>
        <v>1</v>
      </c>
      <c r="J8" s="14">
        <f t="shared" ca="1" si="4"/>
        <v>30</v>
      </c>
      <c r="K8" s="12" t="s">
        <v>40</v>
      </c>
      <c r="L8" s="15">
        <v>1</v>
      </c>
      <c r="M8" s="25" t="s">
        <v>44</v>
      </c>
      <c r="N8">
        <v>2</v>
      </c>
    </row>
    <row r="9" spans="1:14" ht="15.75" thickBot="1">
      <c r="A9" s="26">
        <f t="shared" si="5"/>
        <v>8</v>
      </c>
      <c r="B9" s="68" t="s">
        <v>46</v>
      </c>
      <c r="C9" s="73" t="s">
        <v>305</v>
      </c>
      <c r="D9" s="73" t="s">
        <v>1039</v>
      </c>
      <c r="E9" s="23">
        <f t="shared" ca="1" si="0"/>
        <v>40951</v>
      </c>
      <c r="F9" s="16">
        <f>DATE(84,11,10)</f>
        <v>30996</v>
      </c>
      <c r="G9" s="17">
        <f t="shared" ca="1" si="1"/>
        <v>28</v>
      </c>
      <c r="H9" s="17">
        <f t="shared" ca="1" si="2"/>
        <v>-9</v>
      </c>
      <c r="I9" s="18">
        <f t="shared" ca="1" si="3"/>
        <v>2</v>
      </c>
      <c r="J9" s="19">
        <f t="shared" ca="1" si="4"/>
        <v>27</v>
      </c>
      <c r="K9" s="17" t="s">
        <v>40</v>
      </c>
      <c r="L9" s="20">
        <v>1</v>
      </c>
      <c r="M9" s="26" t="s">
        <v>44</v>
      </c>
      <c r="N9">
        <v>2</v>
      </c>
    </row>
    <row r="10" spans="1:14">
      <c r="A10" s="24">
        <f t="shared" si="5"/>
        <v>9</v>
      </c>
      <c r="B10" s="66" t="s">
        <v>46</v>
      </c>
      <c r="C10" s="72" t="s">
        <v>400</v>
      </c>
      <c r="D10" s="72" t="s">
        <v>1040</v>
      </c>
      <c r="E10" s="21">
        <f t="shared" ca="1" si="0"/>
        <v>40951</v>
      </c>
      <c r="F10" s="35"/>
      <c r="G10" s="7">
        <f t="shared" ca="1" si="1"/>
        <v>112</v>
      </c>
      <c r="H10" s="7">
        <f t="shared" ca="1" si="2"/>
        <v>1</v>
      </c>
      <c r="I10" s="8">
        <f t="shared" ca="1" si="3"/>
        <v>12</v>
      </c>
      <c r="J10" s="9">
        <f t="shared" ca="1" si="4"/>
        <v>112</v>
      </c>
      <c r="K10" s="7" t="s">
        <v>40</v>
      </c>
      <c r="L10" s="10">
        <v>1</v>
      </c>
      <c r="M10" s="24" t="s">
        <v>40</v>
      </c>
      <c r="N10">
        <v>3</v>
      </c>
    </row>
    <row r="11" spans="1:14">
      <c r="A11" s="25">
        <f t="shared" si="5"/>
        <v>10</v>
      </c>
      <c r="B11" s="67" t="s">
        <v>46</v>
      </c>
      <c r="C11" s="71" t="s">
        <v>1041</v>
      </c>
      <c r="D11" s="71" t="s">
        <v>1040</v>
      </c>
      <c r="E11" s="22">
        <f t="shared" ca="1" si="0"/>
        <v>40951</v>
      </c>
      <c r="F11" s="36"/>
      <c r="G11" s="12">
        <f t="shared" ca="1" si="1"/>
        <v>112</v>
      </c>
      <c r="H11" s="12">
        <f t="shared" ca="1" si="2"/>
        <v>1</v>
      </c>
      <c r="I11" s="13">
        <f t="shared" ca="1" si="3"/>
        <v>12</v>
      </c>
      <c r="J11" s="14">
        <f t="shared" ca="1" si="4"/>
        <v>112</v>
      </c>
      <c r="K11" s="12" t="s">
        <v>40</v>
      </c>
      <c r="L11" s="15">
        <v>1</v>
      </c>
      <c r="M11" s="25" t="s">
        <v>40</v>
      </c>
      <c r="N11">
        <v>3</v>
      </c>
    </row>
    <row r="12" spans="1:14">
      <c r="A12" s="25">
        <f t="shared" si="5"/>
        <v>11</v>
      </c>
      <c r="B12" s="67" t="s">
        <v>46</v>
      </c>
      <c r="C12" s="71" t="s">
        <v>669</v>
      </c>
      <c r="D12" s="71" t="s">
        <v>1041</v>
      </c>
      <c r="E12" s="22">
        <f t="shared" ca="1" si="0"/>
        <v>40951</v>
      </c>
      <c r="F12" s="11">
        <f>DATE(64,6,23)</f>
        <v>23551</v>
      </c>
      <c r="G12" s="12">
        <f t="shared" ca="1" si="1"/>
        <v>48</v>
      </c>
      <c r="H12" s="12">
        <f t="shared" ca="1" si="2"/>
        <v>-4</v>
      </c>
      <c r="I12" s="13">
        <f t="shared" ca="1" si="3"/>
        <v>-11</v>
      </c>
      <c r="J12" s="14">
        <f t="shared" ca="1" si="4"/>
        <v>47</v>
      </c>
      <c r="K12" s="12" t="s">
        <v>41</v>
      </c>
      <c r="L12" s="15">
        <v>1</v>
      </c>
      <c r="M12" s="25" t="s">
        <v>40</v>
      </c>
      <c r="N12">
        <v>3</v>
      </c>
    </row>
    <row r="13" spans="1:14">
      <c r="A13" s="25">
        <f t="shared" si="5"/>
        <v>12</v>
      </c>
      <c r="B13" s="67" t="s">
        <v>46</v>
      </c>
      <c r="C13" s="71" t="s">
        <v>506</v>
      </c>
      <c r="D13" s="71" t="s">
        <v>1041</v>
      </c>
      <c r="E13" s="22">
        <f t="shared" ca="1" si="0"/>
        <v>40951</v>
      </c>
      <c r="F13" s="11">
        <f>DATE(89,11,12)</f>
        <v>32824</v>
      </c>
      <c r="G13" s="12">
        <f t="shared" ca="1" si="1"/>
        <v>23</v>
      </c>
      <c r="H13" s="12">
        <f t="shared" ca="1" si="2"/>
        <v>-9</v>
      </c>
      <c r="I13" s="13">
        <f t="shared" ca="1" si="3"/>
        <v>0</v>
      </c>
      <c r="J13" s="14">
        <f t="shared" ca="1" si="4"/>
        <v>22</v>
      </c>
      <c r="K13" s="12" t="s">
        <v>40</v>
      </c>
      <c r="L13" s="15">
        <v>1</v>
      </c>
      <c r="M13" s="25" t="s">
        <v>44</v>
      </c>
      <c r="N13">
        <v>3</v>
      </c>
    </row>
    <row r="14" spans="1:14">
      <c r="A14" s="25">
        <f t="shared" si="5"/>
        <v>13</v>
      </c>
      <c r="B14" s="67" t="s">
        <v>46</v>
      </c>
      <c r="C14" s="71" t="s">
        <v>348</v>
      </c>
      <c r="D14" s="71" t="s">
        <v>1040</v>
      </c>
      <c r="E14" s="22">
        <f t="shared" ca="1" si="0"/>
        <v>40951</v>
      </c>
      <c r="F14" s="11">
        <f>DATE(57,7,5)</f>
        <v>21006</v>
      </c>
      <c r="G14" s="12">
        <f t="shared" ca="1" si="1"/>
        <v>55</v>
      </c>
      <c r="H14" s="12">
        <f t="shared" ca="1" si="2"/>
        <v>-5</v>
      </c>
      <c r="I14" s="13">
        <f t="shared" ca="1" si="3"/>
        <v>7</v>
      </c>
      <c r="J14" s="14">
        <f t="shared" ca="1" si="4"/>
        <v>54</v>
      </c>
      <c r="K14" s="12" t="s">
        <v>40</v>
      </c>
      <c r="L14" s="15">
        <v>1</v>
      </c>
      <c r="M14" s="25" t="s">
        <v>40</v>
      </c>
      <c r="N14">
        <v>3</v>
      </c>
    </row>
    <row r="15" spans="1:14">
      <c r="A15" s="25">
        <f t="shared" si="5"/>
        <v>14</v>
      </c>
      <c r="B15" s="67" t="s">
        <v>46</v>
      </c>
      <c r="C15" s="71" t="s">
        <v>1074</v>
      </c>
      <c r="D15" s="71" t="s">
        <v>348</v>
      </c>
      <c r="E15" s="22">
        <f t="shared" ca="1" si="0"/>
        <v>40951</v>
      </c>
      <c r="F15" s="11">
        <f>DATE(65,12,23)</f>
        <v>24099</v>
      </c>
      <c r="G15" s="12">
        <f t="shared" ca="1" si="1"/>
        <v>47</v>
      </c>
      <c r="H15" s="12">
        <f t="shared" ca="1" si="2"/>
        <v>-10</v>
      </c>
      <c r="I15" s="13">
        <f t="shared" ca="1" si="3"/>
        <v>-11</v>
      </c>
      <c r="J15" s="14">
        <f t="shared" ca="1" si="4"/>
        <v>46</v>
      </c>
      <c r="K15" s="12" t="s">
        <v>41</v>
      </c>
      <c r="L15" s="15">
        <v>1</v>
      </c>
      <c r="M15" s="25" t="s">
        <v>40</v>
      </c>
      <c r="N15">
        <v>3</v>
      </c>
    </row>
    <row r="16" spans="1:14">
      <c r="A16" s="25">
        <f t="shared" si="5"/>
        <v>15</v>
      </c>
      <c r="B16" s="67" t="s">
        <v>46</v>
      </c>
      <c r="C16" s="71" t="s">
        <v>251</v>
      </c>
      <c r="D16" s="71" t="s">
        <v>348</v>
      </c>
      <c r="E16" s="22">
        <f t="shared" ca="1" si="0"/>
        <v>40951</v>
      </c>
      <c r="F16" s="11">
        <f>DATE(87,5,10)</f>
        <v>31907</v>
      </c>
      <c r="G16" s="12">
        <f t="shared" ca="1" si="1"/>
        <v>25</v>
      </c>
      <c r="H16" s="12">
        <f t="shared" ca="1" si="2"/>
        <v>-3</v>
      </c>
      <c r="I16" s="13">
        <f t="shared" ca="1" si="3"/>
        <v>2</v>
      </c>
      <c r="J16" s="14">
        <f t="shared" ca="1" si="4"/>
        <v>24</v>
      </c>
      <c r="K16" s="12" t="s">
        <v>40</v>
      </c>
      <c r="L16" s="15">
        <v>1</v>
      </c>
      <c r="M16" s="25" t="s">
        <v>44</v>
      </c>
      <c r="N16">
        <v>3</v>
      </c>
    </row>
    <row r="17" spans="1:14" ht="15.75" thickBot="1">
      <c r="A17" s="26">
        <f t="shared" si="5"/>
        <v>16</v>
      </c>
      <c r="B17" s="68" t="s">
        <v>46</v>
      </c>
      <c r="C17" s="73" t="s">
        <v>589</v>
      </c>
      <c r="D17" s="73" t="s">
        <v>348</v>
      </c>
      <c r="E17" s="23">
        <f t="shared" ca="1" si="0"/>
        <v>40951</v>
      </c>
      <c r="F17" s="16">
        <f>DATE(90,9,17)</f>
        <v>33133</v>
      </c>
      <c r="G17" s="17">
        <f t="shared" ca="1" si="1"/>
        <v>22</v>
      </c>
      <c r="H17" s="17">
        <f t="shared" ca="1" si="2"/>
        <v>-7</v>
      </c>
      <c r="I17" s="18">
        <f t="shared" ca="1" si="3"/>
        <v>-5</v>
      </c>
      <c r="J17" s="19">
        <f t="shared" ca="1" si="4"/>
        <v>21</v>
      </c>
      <c r="K17" s="17" t="s">
        <v>40</v>
      </c>
      <c r="L17" s="20">
        <v>1</v>
      </c>
      <c r="M17" s="26" t="s">
        <v>44</v>
      </c>
      <c r="N17">
        <v>3</v>
      </c>
    </row>
    <row r="18" spans="1:14">
      <c r="A18" s="24">
        <f t="shared" si="5"/>
        <v>17</v>
      </c>
      <c r="B18" s="66" t="s">
        <v>46</v>
      </c>
      <c r="C18" s="72" t="s">
        <v>623</v>
      </c>
      <c r="D18" s="72" t="s">
        <v>923</v>
      </c>
      <c r="E18" s="21">
        <f t="shared" ca="1" si="0"/>
        <v>40951</v>
      </c>
      <c r="F18" s="6">
        <f>DATE(49,1,18)</f>
        <v>17916</v>
      </c>
      <c r="G18" s="7">
        <f t="shared" ca="1" si="1"/>
        <v>63</v>
      </c>
      <c r="H18" s="7">
        <f t="shared" ca="1" si="2"/>
        <v>1</v>
      </c>
      <c r="I18" s="8">
        <f t="shared" ca="1" si="3"/>
        <v>-6</v>
      </c>
      <c r="J18" s="9">
        <f t="shared" ca="1" si="4"/>
        <v>63</v>
      </c>
      <c r="K18" s="7" t="s">
        <v>40</v>
      </c>
      <c r="L18" s="28">
        <v>2</v>
      </c>
      <c r="M18" s="24" t="s">
        <v>40</v>
      </c>
      <c r="N18">
        <v>4</v>
      </c>
    </row>
    <row r="19" spans="1:14">
      <c r="A19" s="25">
        <f t="shared" si="5"/>
        <v>18</v>
      </c>
      <c r="B19" s="67" t="s">
        <v>46</v>
      </c>
      <c r="C19" s="71" t="s">
        <v>418</v>
      </c>
      <c r="D19" s="71" t="s">
        <v>623</v>
      </c>
      <c r="E19" s="22">
        <f t="shared" ca="1" si="0"/>
        <v>40951</v>
      </c>
      <c r="F19" s="11">
        <f>DATE(56,9,12)</f>
        <v>20710</v>
      </c>
      <c r="G19" s="12">
        <f t="shared" ca="1" si="1"/>
        <v>56</v>
      </c>
      <c r="H19" s="12">
        <f t="shared" ca="1" si="2"/>
        <v>-7</v>
      </c>
      <c r="I19" s="13">
        <f t="shared" ca="1" si="3"/>
        <v>0</v>
      </c>
      <c r="J19" s="14">
        <f t="shared" ca="1" si="4"/>
        <v>55</v>
      </c>
      <c r="K19" s="30" t="s">
        <v>41</v>
      </c>
      <c r="L19" s="27">
        <v>2</v>
      </c>
      <c r="M19" s="25" t="s">
        <v>40</v>
      </c>
      <c r="N19">
        <v>4</v>
      </c>
    </row>
    <row r="20" spans="1:14">
      <c r="A20" s="25">
        <f t="shared" si="5"/>
        <v>19</v>
      </c>
      <c r="B20" s="67" t="s">
        <v>46</v>
      </c>
      <c r="C20" s="71" t="s">
        <v>169</v>
      </c>
      <c r="D20" s="71" t="s">
        <v>623</v>
      </c>
      <c r="E20" s="22">
        <f t="shared" ca="1" si="0"/>
        <v>40951</v>
      </c>
      <c r="F20" s="11">
        <f>DATE(76,4,8)</f>
        <v>27858</v>
      </c>
      <c r="G20" s="12">
        <f t="shared" ca="1" si="1"/>
        <v>36</v>
      </c>
      <c r="H20" s="12">
        <f t="shared" ca="1" si="2"/>
        <v>-2</v>
      </c>
      <c r="I20" s="13">
        <f t="shared" ca="1" si="3"/>
        <v>4</v>
      </c>
      <c r="J20" s="14">
        <f t="shared" ca="1" si="4"/>
        <v>35</v>
      </c>
      <c r="K20" s="30" t="s">
        <v>40</v>
      </c>
      <c r="L20" s="27">
        <v>2</v>
      </c>
      <c r="M20" s="25" t="s">
        <v>40</v>
      </c>
      <c r="N20">
        <v>4</v>
      </c>
    </row>
    <row r="21" spans="1:14">
      <c r="A21" s="25">
        <f t="shared" si="5"/>
        <v>20</v>
      </c>
      <c r="B21" s="67" t="s">
        <v>46</v>
      </c>
      <c r="C21" s="71" t="s">
        <v>701</v>
      </c>
      <c r="D21" s="71" t="s">
        <v>1042</v>
      </c>
      <c r="E21" s="22">
        <f t="shared" ca="1" si="0"/>
        <v>40951</v>
      </c>
      <c r="F21" s="11">
        <f>DATE(76,6,24)</f>
        <v>27935</v>
      </c>
      <c r="G21" s="12">
        <f t="shared" ca="1" si="1"/>
        <v>36</v>
      </c>
      <c r="H21" s="12">
        <f t="shared" ca="1" si="2"/>
        <v>-4</v>
      </c>
      <c r="I21" s="13">
        <f t="shared" ca="1" si="3"/>
        <v>-12</v>
      </c>
      <c r="J21" s="14">
        <f t="shared" ca="1" si="4"/>
        <v>35</v>
      </c>
      <c r="K21" s="30" t="s">
        <v>41</v>
      </c>
      <c r="L21" s="27">
        <v>2</v>
      </c>
      <c r="M21" s="25" t="s">
        <v>40</v>
      </c>
      <c r="N21">
        <v>4</v>
      </c>
    </row>
    <row r="22" spans="1:14">
      <c r="A22" s="25">
        <f t="shared" si="5"/>
        <v>21</v>
      </c>
      <c r="B22" s="67" t="s">
        <v>46</v>
      </c>
      <c r="C22" s="71" t="s">
        <v>1075</v>
      </c>
      <c r="D22" s="71" t="s">
        <v>1042</v>
      </c>
      <c r="E22" s="22">
        <f t="shared" ca="1" si="0"/>
        <v>40951</v>
      </c>
      <c r="F22" s="11">
        <f>DATE(2001,11,10)</f>
        <v>37205</v>
      </c>
      <c r="G22" s="12">
        <f t="shared" ca="1" si="1"/>
        <v>11</v>
      </c>
      <c r="H22" s="12">
        <f t="shared" ca="1" si="2"/>
        <v>-9</v>
      </c>
      <c r="I22" s="13">
        <f t="shared" ca="1" si="3"/>
        <v>2</v>
      </c>
      <c r="J22" s="14">
        <f t="shared" ca="1" si="4"/>
        <v>10</v>
      </c>
      <c r="K22" s="30" t="s">
        <v>40</v>
      </c>
      <c r="L22" s="27">
        <v>2</v>
      </c>
      <c r="M22" s="25" t="s">
        <v>44</v>
      </c>
      <c r="N22">
        <v>4</v>
      </c>
    </row>
    <row r="23" spans="1:14">
      <c r="A23" s="25">
        <f t="shared" si="5"/>
        <v>22</v>
      </c>
      <c r="B23" s="67" t="s">
        <v>46</v>
      </c>
      <c r="C23" s="71" t="s">
        <v>219</v>
      </c>
      <c r="D23" s="71" t="s">
        <v>1042</v>
      </c>
      <c r="E23" s="22">
        <f t="shared" ca="1" si="0"/>
        <v>40951</v>
      </c>
      <c r="F23" s="11">
        <f>DATE(2003,11,30)</f>
        <v>37955</v>
      </c>
      <c r="G23" s="12">
        <f t="shared" ca="1" si="1"/>
        <v>9</v>
      </c>
      <c r="H23" s="12">
        <f t="shared" ca="1" si="2"/>
        <v>-9</v>
      </c>
      <c r="I23" s="13">
        <f t="shared" ca="1" si="3"/>
        <v>-18</v>
      </c>
      <c r="J23" s="14">
        <f t="shared" ca="1" si="4"/>
        <v>8</v>
      </c>
      <c r="K23" s="30" t="s">
        <v>41</v>
      </c>
      <c r="L23" s="27">
        <v>2</v>
      </c>
      <c r="M23" s="25" t="s">
        <v>44</v>
      </c>
      <c r="N23">
        <v>4</v>
      </c>
    </row>
    <row r="24" spans="1:14" ht="15.75" thickBot="1">
      <c r="A24" s="26">
        <f t="shared" si="5"/>
        <v>23</v>
      </c>
      <c r="B24" s="68" t="s">
        <v>46</v>
      </c>
      <c r="C24" s="73" t="s">
        <v>1076</v>
      </c>
      <c r="D24" s="73" t="s">
        <v>1042</v>
      </c>
      <c r="E24" s="23">
        <f t="shared" ca="1" si="0"/>
        <v>40951</v>
      </c>
      <c r="F24" s="16">
        <f>DATE(86,1,9)</f>
        <v>31421</v>
      </c>
      <c r="G24" s="17">
        <f ca="1">YEAR(E24)-YEAR(F24)</f>
        <v>26</v>
      </c>
      <c r="H24" s="17">
        <f ca="1">MONTH(E24)-MONTH(F24)</f>
        <v>1</v>
      </c>
      <c r="I24" s="18">
        <f ca="1">DAY(E24)-DAY(F24)</f>
        <v>3</v>
      </c>
      <c r="J24" s="19">
        <f t="shared" ca="1" si="4"/>
        <v>26</v>
      </c>
      <c r="K24" s="17" t="s">
        <v>40</v>
      </c>
      <c r="L24" s="29">
        <v>2</v>
      </c>
      <c r="M24" s="26" t="s">
        <v>44</v>
      </c>
      <c r="N24">
        <v>4</v>
      </c>
    </row>
    <row r="25" spans="1:14">
      <c r="A25" s="24">
        <f t="shared" si="5"/>
        <v>24</v>
      </c>
      <c r="B25" s="66" t="s">
        <v>46</v>
      </c>
      <c r="C25" s="72" t="s">
        <v>516</v>
      </c>
      <c r="D25" s="72" t="s">
        <v>923</v>
      </c>
      <c r="E25" s="21">
        <f t="shared" ca="1" si="0"/>
        <v>40951</v>
      </c>
      <c r="F25" s="6">
        <f>DATE(57,5,5)</f>
        <v>20945</v>
      </c>
      <c r="G25" s="7">
        <f t="shared" ref="G25:G88" ca="1" si="6">YEAR(E25)-YEAR(F25)</f>
        <v>55</v>
      </c>
      <c r="H25" s="7">
        <f t="shared" ref="H25:H88" ca="1" si="7">MONTH(E25)-MONTH(F25)</f>
        <v>-3</v>
      </c>
      <c r="I25" s="8">
        <f t="shared" ref="I25:I88" ca="1" si="8">DAY(E25)-DAY(F25)</f>
        <v>7</v>
      </c>
      <c r="J25" s="9">
        <f t="shared" ca="1" si="4"/>
        <v>54</v>
      </c>
      <c r="K25" s="7" t="s">
        <v>40</v>
      </c>
      <c r="L25" s="28">
        <v>2</v>
      </c>
      <c r="M25" s="24" t="s">
        <v>40</v>
      </c>
      <c r="N25">
        <v>5</v>
      </c>
    </row>
    <row r="26" spans="1:14">
      <c r="A26" s="25">
        <f t="shared" si="5"/>
        <v>25</v>
      </c>
      <c r="B26" s="67" t="s">
        <v>46</v>
      </c>
      <c r="C26" s="71" t="s">
        <v>1077</v>
      </c>
      <c r="D26" s="71" t="s">
        <v>516</v>
      </c>
      <c r="E26" s="22">
        <f t="shared" ca="1" si="0"/>
        <v>40951</v>
      </c>
      <c r="F26" s="11">
        <f>DATE(64,4,23)</f>
        <v>23490</v>
      </c>
      <c r="G26" s="12">
        <f t="shared" ca="1" si="6"/>
        <v>48</v>
      </c>
      <c r="H26" s="12">
        <f t="shared" ca="1" si="7"/>
        <v>-2</v>
      </c>
      <c r="I26" s="13">
        <f t="shared" ca="1" si="8"/>
        <v>-11</v>
      </c>
      <c r="J26" s="14">
        <f t="shared" ca="1" si="4"/>
        <v>47</v>
      </c>
      <c r="K26" s="12" t="s">
        <v>41</v>
      </c>
      <c r="L26" s="27">
        <v>2</v>
      </c>
      <c r="M26" s="25" t="s">
        <v>40</v>
      </c>
      <c r="N26">
        <v>5</v>
      </c>
    </row>
    <row r="27" spans="1:14">
      <c r="A27" s="25">
        <f t="shared" si="5"/>
        <v>26</v>
      </c>
      <c r="B27" s="67" t="s">
        <v>46</v>
      </c>
      <c r="C27" s="71" t="s">
        <v>766</v>
      </c>
      <c r="D27" s="71" t="s">
        <v>516</v>
      </c>
      <c r="E27" s="22">
        <f t="shared" ca="1" si="0"/>
        <v>40951</v>
      </c>
      <c r="F27" s="11">
        <f>DATE(84,12,21)</f>
        <v>31037</v>
      </c>
      <c r="G27" s="12">
        <f t="shared" ca="1" si="6"/>
        <v>28</v>
      </c>
      <c r="H27" s="12">
        <f t="shared" ca="1" si="7"/>
        <v>-10</v>
      </c>
      <c r="I27" s="13">
        <f t="shared" ca="1" si="8"/>
        <v>-9</v>
      </c>
      <c r="J27" s="14">
        <f t="shared" ca="1" si="4"/>
        <v>27</v>
      </c>
      <c r="K27" s="12" t="s">
        <v>40</v>
      </c>
      <c r="L27" s="27">
        <v>2</v>
      </c>
      <c r="M27" s="25" t="s">
        <v>44</v>
      </c>
      <c r="N27">
        <v>5</v>
      </c>
    </row>
    <row r="28" spans="1:14" ht="15.75" thickBot="1">
      <c r="A28" s="26">
        <f t="shared" si="5"/>
        <v>27</v>
      </c>
      <c r="B28" s="68" t="s">
        <v>46</v>
      </c>
      <c r="C28" s="73" t="s">
        <v>638</v>
      </c>
      <c r="D28" s="73" t="s">
        <v>516</v>
      </c>
      <c r="E28" s="23">
        <f t="shared" ca="1" si="0"/>
        <v>40951</v>
      </c>
      <c r="F28" s="16">
        <f>DATE(90,12,13)</f>
        <v>33220</v>
      </c>
      <c r="G28" s="17">
        <f t="shared" ca="1" si="6"/>
        <v>22</v>
      </c>
      <c r="H28" s="17">
        <f t="shared" ca="1" si="7"/>
        <v>-10</v>
      </c>
      <c r="I28" s="18">
        <f t="shared" ca="1" si="8"/>
        <v>-1</v>
      </c>
      <c r="J28" s="19">
        <f t="shared" ca="1" si="4"/>
        <v>21</v>
      </c>
      <c r="K28" s="17" t="s">
        <v>41</v>
      </c>
      <c r="L28" s="29">
        <v>2</v>
      </c>
      <c r="M28" s="26" t="s">
        <v>44</v>
      </c>
      <c r="N28">
        <v>5</v>
      </c>
    </row>
    <row r="29" spans="1:14">
      <c r="A29" s="24">
        <f>A28+1</f>
        <v>28</v>
      </c>
      <c r="B29" s="66" t="s">
        <v>1</v>
      </c>
      <c r="C29" s="72" t="s">
        <v>162</v>
      </c>
      <c r="D29" s="72" t="s">
        <v>94</v>
      </c>
      <c r="E29" s="21">
        <f ca="1">TODAY()</f>
        <v>40951</v>
      </c>
      <c r="F29" s="6">
        <f>DATE(56,8,30)</f>
        <v>20697</v>
      </c>
      <c r="G29" s="7">
        <f t="shared" ca="1" si="6"/>
        <v>56</v>
      </c>
      <c r="H29" s="7">
        <f t="shared" ca="1" si="7"/>
        <v>-6</v>
      </c>
      <c r="I29" s="8">
        <f t="shared" ca="1" si="8"/>
        <v>-18</v>
      </c>
      <c r="J29" s="9">
        <f t="shared" ca="1" si="4"/>
        <v>55</v>
      </c>
      <c r="K29" s="7" t="s">
        <v>40</v>
      </c>
      <c r="L29" s="28">
        <v>3</v>
      </c>
      <c r="M29" s="24" t="s">
        <v>40</v>
      </c>
      <c r="N29">
        <v>6</v>
      </c>
    </row>
    <row r="30" spans="1:14">
      <c r="A30" s="25">
        <f t="shared" ref="A30:A93" si="9">A29+1</f>
        <v>29</v>
      </c>
      <c r="B30" s="67" t="s">
        <v>1</v>
      </c>
      <c r="C30" s="71" t="s">
        <v>462</v>
      </c>
      <c r="D30" s="71" t="s">
        <v>162</v>
      </c>
      <c r="E30" s="22">
        <f t="shared" ref="E30:E93" ca="1" si="10">TODAY()</f>
        <v>40951</v>
      </c>
      <c r="F30" s="11">
        <f>DATE(61,8,7)</f>
        <v>22500</v>
      </c>
      <c r="G30" s="12">
        <f t="shared" ca="1" si="6"/>
        <v>51</v>
      </c>
      <c r="H30" s="12">
        <f t="shared" ca="1" si="7"/>
        <v>-6</v>
      </c>
      <c r="I30" s="13">
        <f t="shared" ca="1" si="8"/>
        <v>5</v>
      </c>
      <c r="J30" s="14">
        <f t="shared" ca="1" si="4"/>
        <v>50</v>
      </c>
      <c r="K30" s="12" t="s">
        <v>41</v>
      </c>
      <c r="L30" s="27">
        <v>3</v>
      </c>
      <c r="M30" s="25" t="s">
        <v>40</v>
      </c>
      <c r="N30">
        <v>6</v>
      </c>
    </row>
    <row r="31" spans="1:14">
      <c r="A31" s="25">
        <f t="shared" si="9"/>
        <v>30</v>
      </c>
      <c r="B31" s="67" t="s">
        <v>1</v>
      </c>
      <c r="C31" s="71" t="s">
        <v>1078</v>
      </c>
      <c r="D31" s="71" t="s">
        <v>162</v>
      </c>
      <c r="E31" s="22">
        <f t="shared" ca="1" si="10"/>
        <v>40951</v>
      </c>
      <c r="F31" s="11">
        <f>DATE(86,12,16)</f>
        <v>31762</v>
      </c>
      <c r="G31" s="12">
        <f t="shared" ca="1" si="6"/>
        <v>26</v>
      </c>
      <c r="H31" s="12">
        <f t="shared" ca="1" si="7"/>
        <v>-10</v>
      </c>
      <c r="I31" s="13">
        <f t="shared" ca="1" si="8"/>
        <v>-4</v>
      </c>
      <c r="J31" s="14">
        <f t="shared" ca="1" si="4"/>
        <v>25</v>
      </c>
      <c r="K31" s="12" t="s">
        <v>40</v>
      </c>
      <c r="L31" s="27">
        <v>3</v>
      </c>
      <c r="M31" s="25" t="s">
        <v>44</v>
      </c>
      <c r="N31">
        <v>6</v>
      </c>
    </row>
    <row r="32" spans="1:14">
      <c r="A32" s="25">
        <f t="shared" si="9"/>
        <v>31</v>
      </c>
      <c r="B32" s="67" t="s">
        <v>1</v>
      </c>
      <c r="C32" s="71" t="s">
        <v>125</v>
      </c>
      <c r="D32" s="71" t="s">
        <v>162</v>
      </c>
      <c r="E32" s="22">
        <f t="shared" ca="1" si="10"/>
        <v>40951</v>
      </c>
      <c r="F32" s="11">
        <f>DATE(91,3,8)</f>
        <v>33305</v>
      </c>
      <c r="G32" s="12">
        <f t="shared" ca="1" si="6"/>
        <v>21</v>
      </c>
      <c r="H32" s="12">
        <f t="shared" ca="1" si="7"/>
        <v>-1</v>
      </c>
      <c r="I32" s="13">
        <f t="shared" ca="1" si="8"/>
        <v>4</v>
      </c>
      <c r="J32" s="14">
        <f t="shared" ca="1" si="4"/>
        <v>20</v>
      </c>
      <c r="K32" s="12" t="s">
        <v>41</v>
      </c>
      <c r="L32" s="27">
        <v>3</v>
      </c>
      <c r="M32" s="25" t="s">
        <v>44</v>
      </c>
      <c r="N32">
        <v>6</v>
      </c>
    </row>
    <row r="33" spans="1:14" ht="15.75" thickBot="1">
      <c r="A33" s="26">
        <f t="shared" si="9"/>
        <v>32</v>
      </c>
      <c r="B33" s="68" t="s">
        <v>1</v>
      </c>
      <c r="C33" s="71" t="s">
        <v>503</v>
      </c>
      <c r="D33" s="71" t="s">
        <v>94</v>
      </c>
      <c r="E33" s="23">
        <f t="shared" ca="1" si="10"/>
        <v>40951</v>
      </c>
      <c r="F33" s="34"/>
      <c r="G33" s="17">
        <f t="shared" ca="1" si="6"/>
        <v>112</v>
      </c>
      <c r="H33" s="17">
        <f t="shared" ca="1" si="7"/>
        <v>1</v>
      </c>
      <c r="I33" s="18">
        <f t="shared" ca="1" si="8"/>
        <v>12</v>
      </c>
      <c r="J33" s="19">
        <f t="shared" ca="1" si="4"/>
        <v>112</v>
      </c>
      <c r="K33" s="17" t="s">
        <v>41</v>
      </c>
      <c r="L33" s="29">
        <v>3</v>
      </c>
      <c r="M33" s="26" t="s">
        <v>40</v>
      </c>
      <c r="N33">
        <v>6</v>
      </c>
    </row>
    <row r="34" spans="1:14">
      <c r="A34" s="24">
        <f t="shared" si="9"/>
        <v>33</v>
      </c>
      <c r="B34" s="66" t="s">
        <v>1</v>
      </c>
      <c r="C34" s="72" t="s">
        <v>521</v>
      </c>
      <c r="D34" s="72" t="s">
        <v>94</v>
      </c>
      <c r="E34" s="21">
        <f t="shared" ca="1" si="10"/>
        <v>40951</v>
      </c>
      <c r="F34" s="6">
        <f>DATE(53,3,13)</f>
        <v>19431</v>
      </c>
      <c r="G34" s="7">
        <f t="shared" ca="1" si="6"/>
        <v>59</v>
      </c>
      <c r="H34" s="7">
        <f t="shared" ca="1" si="7"/>
        <v>-1</v>
      </c>
      <c r="I34" s="8">
        <f t="shared" ca="1" si="8"/>
        <v>-1</v>
      </c>
      <c r="J34" s="9">
        <f t="shared" ca="1" si="4"/>
        <v>58</v>
      </c>
      <c r="K34" s="7" t="s">
        <v>40</v>
      </c>
      <c r="L34" s="28">
        <v>3</v>
      </c>
      <c r="M34" s="24" t="s">
        <v>40</v>
      </c>
      <c r="N34">
        <v>7</v>
      </c>
    </row>
    <row r="35" spans="1:14">
      <c r="A35" s="25">
        <f t="shared" si="9"/>
        <v>34</v>
      </c>
      <c r="B35" s="67" t="s">
        <v>1</v>
      </c>
      <c r="C35" s="71" t="s">
        <v>464</v>
      </c>
      <c r="D35" s="71" t="s">
        <v>521</v>
      </c>
      <c r="E35" s="22">
        <f t="shared" ca="1" si="10"/>
        <v>40951</v>
      </c>
      <c r="F35" s="11">
        <f>DATE(57,12,28)</f>
        <v>21182</v>
      </c>
      <c r="G35" s="12">
        <f t="shared" ca="1" si="6"/>
        <v>55</v>
      </c>
      <c r="H35" s="12">
        <f t="shared" ca="1" si="7"/>
        <v>-10</v>
      </c>
      <c r="I35" s="13">
        <f t="shared" ca="1" si="8"/>
        <v>-16</v>
      </c>
      <c r="J35" s="14">
        <f t="shared" ca="1" si="4"/>
        <v>54</v>
      </c>
      <c r="K35" s="12" t="s">
        <v>41</v>
      </c>
      <c r="L35" s="27">
        <v>3</v>
      </c>
      <c r="M35" s="25" t="s">
        <v>40</v>
      </c>
      <c r="N35">
        <v>7</v>
      </c>
    </row>
    <row r="36" spans="1:14" ht="15.75" thickBot="1">
      <c r="A36" s="26">
        <f t="shared" si="9"/>
        <v>35</v>
      </c>
      <c r="B36" s="68" t="s">
        <v>1</v>
      </c>
      <c r="C36" s="73" t="s">
        <v>1079</v>
      </c>
      <c r="D36" s="73" t="s">
        <v>521</v>
      </c>
      <c r="E36" s="23">
        <f t="shared" ca="1" si="10"/>
        <v>40951</v>
      </c>
      <c r="F36" s="16">
        <f>DATE(84,10,8)</f>
        <v>30963</v>
      </c>
      <c r="G36" s="17">
        <f t="shared" ca="1" si="6"/>
        <v>28</v>
      </c>
      <c r="H36" s="17">
        <f t="shared" ca="1" si="7"/>
        <v>-8</v>
      </c>
      <c r="I36" s="18">
        <f t="shared" ca="1" si="8"/>
        <v>4</v>
      </c>
      <c r="J36" s="19">
        <f t="shared" ca="1" si="4"/>
        <v>27</v>
      </c>
      <c r="K36" s="17" t="s">
        <v>40</v>
      </c>
      <c r="L36" s="29">
        <v>3</v>
      </c>
      <c r="M36" s="26" t="s">
        <v>44</v>
      </c>
      <c r="N36">
        <v>7</v>
      </c>
    </row>
    <row r="37" spans="1:14">
      <c r="A37" s="24">
        <f t="shared" si="9"/>
        <v>36</v>
      </c>
      <c r="B37" s="66" t="s">
        <v>1</v>
      </c>
      <c r="C37" s="72" t="s">
        <v>521</v>
      </c>
      <c r="D37" s="72" t="s">
        <v>77</v>
      </c>
      <c r="E37" s="21">
        <f t="shared" ca="1" si="10"/>
        <v>40951</v>
      </c>
      <c r="F37" s="6">
        <f>DATE(51,3,10)</f>
        <v>18697</v>
      </c>
      <c r="G37" s="7">
        <f t="shared" ca="1" si="6"/>
        <v>61</v>
      </c>
      <c r="H37" s="7">
        <f t="shared" ca="1" si="7"/>
        <v>-1</v>
      </c>
      <c r="I37" s="8">
        <f t="shared" ca="1" si="8"/>
        <v>2</v>
      </c>
      <c r="J37" s="9">
        <f t="shared" ca="1" si="4"/>
        <v>60</v>
      </c>
      <c r="K37" s="7" t="s">
        <v>40</v>
      </c>
      <c r="L37" s="28">
        <v>3</v>
      </c>
      <c r="M37" s="24" t="s">
        <v>40</v>
      </c>
      <c r="N37">
        <v>8</v>
      </c>
    </row>
    <row r="38" spans="1:14">
      <c r="A38" s="25">
        <f t="shared" si="9"/>
        <v>37</v>
      </c>
      <c r="B38" s="67" t="s">
        <v>1</v>
      </c>
      <c r="C38" s="71" t="s">
        <v>1080</v>
      </c>
      <c r="D38" s="71" t="s">
        <v>521</v>
      </c>
      <c r="E38" s="22">
        <f t="shared" ca="1" si="10"/>
        <v>40951</v>
      </c>
      <c r="F38" s="11">
        <f>DATE(52,11,26)</f>
        <v>19324</v>
      </c>
      <c r="G38" s="12">
        <f t="shared" ca="1" si="6"/>
        <v>60</v>
      </c>
      <c r="H38" s="12">
        <f t="shared" ca="1" si="7"/>
        <v>-9</v>
      </c>
      <c r="I38" s="13">
        <f t="shared" ca="1" si="8"/>
        <v>-14</v>
      </c>
      <c r="J38" s="14">
        <f t="shared" ca="1" si="4"/>
        <v>59</v>
      </c>
      <c r="K38" s="12" t="s">
        <v>41</v>
      </c>
      <c r="L38" s="27">
        <v>3</v>
      </c>
      <c r="M38" s="25" t="s">
        <v>40</v>
      </c>
      <c r="N38">
        <v>8</v>
      </c>
    </row>
    <row r="39" spans="1:14">
      <c r="A39" s="25">
        <f t="shared" si="9"/>
        <v>38</v>
      </c>
      <c r="B39" s="67" t="s">
        <v>1</v>
      </c>
      <c r="C39" s="71" t="s">
        <v>1081</v>
      </c>
      <c r="D39" s="71" t="s">
        <v>521</v>
      </c>
      <c r="E39" s="22">
        <f t="shared" ca="1" si="10"/>
        <v>40951</v>
      </c>
      <c r="F39" s="11">
        <f>DATE(77,12,26)</f>
        <v>28485</v>
      </c>
      <c r="G39" s="12">
        <f t="shared" ca="1" si="6"/>
        <v>35</v>
      </c>
      <c r="H39" s="12">
        <f t="shared" ca="1" si="7"/>
        <v>-10</v>
      </c>
      <c r="I39" s="13">
        <f t="shared" ca="1" si="8"/>
        <v>-14</v>
      </c>
      <c r="J39" s="14">
        <f t="shared" ca="1" si="4"/>
        <v>34</v>
      </c>
      <c r="K39" s="12" t="s">
        <v>41</v>
      </c>
      <c r="L39" s="27">
        <v>3</v>
      </c>
      <c r="M39" s="25" t="s">
        <v>44</v>
      </c>
      <c r="N39">
        <v>8</v>
      </c>
    </row>
    <row r="40" spans="1:14" ht="15.75" thickBot="1">
      <c r="A40" s="26">
        <f t="shared" si="9"/>
        <v>39</v>
      </c>
      <c r="B40" s="68" t="s">
        <v>1</v>
      </c>
      <c r="C40" s="73" t="s">
        <v>229</v>
      </c>
      <c r="D40" s="73" t="s">
        <v>521</v>
      </c>
      <c r="E40" s="23">
        <f t="shared" ca="1" si="10"/>
        <v>40951</v>
      </c>
      <c r="F40" s="16">
        <f>DATE(81,9,20)</f>
        <v>29849</v>
      </c>
      <c r="G40" s="17">
        <f t="shared" ca="1" si="6"/>
        <v>31</v>
      </c>
      <c r="H40" s="17">
        <f t="shared" ca="1" si="7"/>
        <v>-7</v>
      </c>
      <c r="I40" s="18">
        <f t="shared" ca="1" si="8"/>
        <v>-8</v>
      </c>
      <c r="J40" s="19">
        <f t="shared" ca="1" si="4"/>
        <v>30</v>
      </c>
      <c r="K40" s="17" t="s">
        <v>40</v>
      </c>
      <c r="L40" s="29">
        <v>3</v>
      </c>
      <c r="M40" s="26" t="s">
        <v>44</v>
      </c>
      <c r="N40">
        <v>8</v>
      </c>
    </row>
    <row r="41" spans="1:14">
      <c r="A41" s="24">
        <f t="shared" si="9"/>
        <v>40</v>
      </c>
      <c r="B41" s="66" t="s">
        <v>1</v>
      </c>
      <c r="C41" s="72" t="s">
        <v>962</v>
      </c>
      <c r="D41" s="72" t="s">
        <v>91</v>
      </c>
      <c r="E41" s="21">
        <f t="shared" ca="1" si="10"/>
        <v>40951</v>
      </c>
      <c r="F41" s="6">
        <f>DATE(54,11,4)</f>
        <v>20032</v>
      </c>
      <c r="G41" s="7">
        <f t="shared" ca="1" si="6"/>
        <v>58</v>
      </c>
      <c r="H41" s="7">
        <f t="shared" ca="1" si="7"/>
        <v>-9</v>
      </c>
      <c r="I41" s="8">
        <f t="shared" ca="1" si="8"/>
        <v>8</v>
      </c>
      <c r="J41" s="9">
        <f t="shared" ca="1" si="4"/>
        <v>57</v>
      </c>
      <c r="K41" s="7" t="s">
        <v>40</v>
      </c>
      <c r="L41" s="28">
        <v>4</v>
      </c>
      <c r="M41" s="24" t="s">
        <v>40</v>
      </c>
      <c r="N41">
        <v>9</v>
      </c>
    </row>
    <row r="42" spans="1:14">
      <c r="A42" s="25">
        <f t="shared" si="9"/>
        <v>41</v>
      </c>
      <c r="B42" s="67" t="s">
        <v>1</v>
      </c>
      <c r="C42" s="71" t="s">
        <v>221</v>
      </c>
      <c r="D42" s="71" t="s">
        <v>962</v>
      </c>
      <c r="E42" s="22">
        <f t="shared" ca="1" si="10"/>
        <v>40951</v>
      </c>
      <c r="F42" s="11">
        <f>DATE(58,10,12)</f>
        <v>21470</v>
      </c>
      <c r="G42" s="12">
        <f t="shared" ca="1" si="6"/>
        <v>54</v>
      </c>
      <c r="H42" s="12">
        <f t="shared" ca="1" si="7"/>
        <v>-8</v>
      </c>
      <c r="I42" s="13">
        <f t="shared" ca="1" si="8"/>
        <v>0</v>
      </c>
      <c r="J42" s="14">
        <f t="shared" ca="1" si="4"/>
        <v>53</v>
      </c>
      <c r="K42" s="12" t="s">
        <v>41</v>
      </c>
      <c r="L42" s="27">
        <v>4</v>
      </c>
      <c r="M42" s="25" t="s">
        <v>40</v>
      </c>
      <c r="N42">
        <v>9</v>
      </c>
    </row>
    <row r="43" spans="1:14">
      <c r="A43" s="25">
        <f t="shared" si="9"/>
        <v>42</v>
      </c>
      <c r="B43" s="67" t="s">
        <v>1</v>
      </c>
      <c r="C43" s="71" t="s">
        <v>628</v>
      </c>
      <c r="D43" s="71" t="s">
        <v>962</v>
      </c>
      <c r="E43" s="22">
        <f t="shared" ca="1" si="10"/>
        <v>40951</v>
      </c>
      <c r="F43" s="11">
        <f>DATE(81,3,10)</f>
        <v>29655</v>
      </c>
      <c r="G43" s="12">
        <f t="shared" ca="1" si="6"/>
        <v>31</v>
      </c>
      <c r="H43" s="12">
        <f t="shared" ca="1" si="7"/>
        <v>-1</v>
      </c>
      <c r="I43" s="13">
        <f t="shared" ca="1" si="8"/>
        <v>2</v>
      </c>
      <c r="J43" s="14">
        <f t="shared" ca="1" si="4"/>
        <v>30</v>
      </c>
      <c r="K43" s="12" t="s">
        <v>41</v>
      </c>
      <c r="L43" s="27">
        <v>4</v>
      </c>
      <c r="M43" s="25" t="s">
        <v>40</v>
      </c>
      <c r="N43">
        <v>9</v>
      </c>
    </row>
    <row r="44" spans="1:14" ht="15.75" thickBot="1">
      <c r="A44" s="26">
        <f t="shared" si="9"/>
        <v>43</v>
      </c>
      <c r="B44" s="68" t="s">
        <v>1</v>
      </c>
      <c r="C44" s="73" t="s">
        <v>125</v>
      </c>
      <c r="D44" s="73" t="s">
        <v>962</v>
      </c>
      <c r="E44" s="23">
        <f t="shared" ca="1" si="10"/>
        <v>40951</v>
      </c>
      <c r="F44" s="16">
        <f>DATE(85,10,17)</f>
        <v>31337</v>
      </c>
      <c r="G44" s="17">
        <f t="shared" ca="1" si="6"/>
        <v>27</v>
      </c>
      <c r="H44" s="17">
        <f t="shared" ca="1" si="7"/>
        <v>-8</v>
      </c>
      <c r="I44" s="18">
        <f t="shared" ca="1" si="8"/>
        <v>-5</v>
      </c>
      <c r="J44" s="19">
        <f t="shared" ca="1" si="4"/>
        <v>26</v>
      </c>
      <c r="K44" s="17" t="s">
        <v>41</v>
      </c>
      <c r="L44" s="29">
        <v>4</v>
      </c>
      <c r="M44" s="26" t="s">
        <v>44</v>
      </c>
      <c r="N44">
        <v>9</v>
      </c>
    </row>
    <row r="45" spans="1:14">
      <c r="A45" s="24">
        <f t="shared" si="9"/>
        <v>44</v>
      </c>
      <c r="B45" s="66" t="s">
        <v>1</v>
      </c>
      <c r="C45" s="72" t="s">
        <v>962</v>
      </c>
      <c r="D45" s="72" t="s">
        <v>417</v>
      </c>
      <c r="E45" s="21">
        <f t="shared" ca="1" si="10"/>
        <v>40951</v>
      </c>
      <c r="F45" s="6">
        <f>DATE(43,9,1)</f>
        <v>15950</v>
      </c>
      <c r="G45" s="7">
        <f t="shared" ca="1" si="6"/>
        <v>69</v>
      </c>
      <c r="H45" s="7">
        <f t="shared" ca="1" si="7"/>
        <v>-7</v>
      </c>
      <c r="I45" s="8">
        <f t="shared" ca="1" si="8"/>
        <v>11</v>
      </c>
      <c r="J45" s="9">
        <f t="shared" ca="1" si="4"/>
        <v>68</v>
      </c>
      <c r="K45" s="7" t="s">
        <v>40</v>
      </c>
      <c r="L45" s="28">
        <v>4</v>
      </c>
      <c r="M45" s="24" t="s">
        <v>40</v>
      </c>
      <c r="N45">
        <v>10</v>
      </c>
    </row>
    <row r="46" spans="1:14">
      <c r="A46" s="25">
        <f t="shared" si="9"/>
        <v>45</v>
      </c>
      <c r="B46" s="67" t="s">
        <v>1</v>
      </c>
      <c r="C46" s="71" t="s">
        <v>731</v>
      </c>
      <c r="D46" s="71" t="s">
        <v>1043</v>
      </c>
      <c r="E46" s="22">
        <f t="shared" ca="1" si="10"/>
        <v>40951</v>
      </c>
      <c r="F46" s="11">
        <f>DATE(46,5,31)</f>
        <v>16953</v>
      </c>
      <c r="G46" s="12">
        <f t="shared" ca="1" si="6"/>
        <v>66</v>
      </c>
      <c r="H46" s="12">
        <f t="shared" ca="1" si="7"/>
        <v>-3</v>
      </c>
      <c r="I46" s="13">
        <f t="shared" ca="1" si="8"/>
        <v>-19</v>
      </c>
      <c r="J46" s="14">
        <f t="shared" ca="1" si="4"/>
        <v>65</v>
      </c>
      <c r="K46" s="12" t="s">
        <v>41</v>
      </c>
      <c r="L46" s="27">
        <v>4</v>
      </c>
      <c r="M46" s="25" t="s">
        <v>40</v>
      </c>
      <c r="N46">
        <v>10</v>
      </c>
    </row>
    <row r="47" spans="1:14">
      <c r="A47" s="25">
        <f t="shared" si="9"/>
        <v>46</v>
      </c>
      <c r="B47" s="67" t="s">
        <v>1</v>
      </c>
      <c r="C47" s="71" t="s">
        <v>1044</v>
      </c>
      <c r="D47" s="71" t="s">
        <v>962</v>
      </c>
      <c r="E47" s="22">
        <f t="shared" ca="1" si="10"/>
        <v>40951</v>
      </c>
      <c r="F47" s="11">
        <f>DATE(76,3,31)</f>
        <v>27850</v>
      </c>
      <c r="G47" s="12">
        <f t="shared" ca="1" si="6"/>
        <v>36</v>
      </c>
      <c r="H47" s="12">
        <f t="shared" ca="1" si="7"/>
        <v>-1</v>
      </c>
      <c r="I47" s="13">
        <f t="shared" ca="1" si="8"/>
        <v>-19</v>
      </c>
      <c r="J47" s="14">
        <f t="shared" ca="1" si="4"/>
        <v>35</v>
      </c>
      <c r="K47" s="12" t="s">
        <v>40</v>
      </c>
      <c r="L47" s="27">
        <v>4</v>
      </c>
      <c r="M47" s="25" t="s">
        <v>40</v>
      </c>
      <c r="N47">
        <v>10</v>
      </c>
    </row>
    <row r="48" spans="1:14" ht="15.75" thickBot="1">
      <c r="A48" s="26">
        <f t="shared" si="9"/>
        <v>47</v>
      </c>
      <c r="B48" s="68" t="s">
        <v>1</v>
      </c>
      <c r="C48" s="73" t="s">
        <v>299</v>
      </c>
      <c r="D48" s="73" t="s">
        <v>1044</v>
      </c>
      <c r="E48" s="23">
        <f t="shared" ca="1" si="10"/>
        <v>40951</v>
      </c>
      <c r="F48" s="16">
        <f>DATE(78,7,29)</f>
        <v>28700</v>
      </c>
      <c r="G48" s="17">
        <f t="shared" ca="1" si="6"/>
        <v>34</v>
      </c>
      <c r="H48" s="17">
        <f t="shared" ca="1" si="7"/>
        <v>-5</v>
      </c>
      <c r="I48" s="18">
        <f t="shared" ca="1" si="8"/>
        <v>-17</v>
      </c>
      <c r="J48" s="19">
        <f t="shared" ca="1" si="4"/>
        <v>33</v>
      </c>
      <c r="K48" s="17" t="s">
        <v>41</v>
      </c>
      <c r="L48" s="29">
        <v>4</v>
      </c>
      <c r="M48" s="26" t="s">
        <v>40</v>
      </c>
      <c r="N48">
        <v>10</v>
      </c>
    </row>
    <row r="49" spans="1:14">
      <c r="A49" s="24">
        <f t="shared" si="9"/>
        <v>48</v>
      </c>
      <c r="B49" s="66" t="s">
        <v>1</v>
      </c>
      <c r="C49" s="72" t="s">
        <v>962</v>
      </c>
      <c r="D49" s="72" t="s">
        <v>77</v>
      </c>
      <c r="E49" s="21">
        <f t="shared" ca="1" si="10"/>
        <v>40951</v>
      </c>
      <c r="F49" s="6">
        <f>DATE(53,5,5)</f>
        <v>19484</v>
      </c>
      <c r="G49" s="7">
        <f t="shared" ca="1" si="6"/>
        <v>59</v>
      </c>
      <c r="H49" s="7">
        <f t="shared" ca="1" si="7"/>
        <v>-3</v>
      </c>
      <c r="I49" s="8">
        <f t="shared" ca="1" si="8"/>
        <v>7</v>
      </c>
      <c r="J49" s="9">
        <f t="shared" ca="1" si="4"/>
        <v>58</v>
      </c>
      <c r="K49" s="7" t="s">
        <v>40</v>
      </c>
      <c r="L49" s="28">
        <v>4</v>
      </c>
      <c r="M49" s="24" t="s">
        <v>40</v>
      </c>
      <c r="N49">
        <v>11</v>
      </c>
    </row>
    <row r="50" spans="1:14">
      <c r="A50" s="25">
        <f t="shared" si="9"/>
        <v>49</v>
      </c>
      <c r="B50" s="67" t="s">
        <v>1</v>
      </c>
      <c r="C50" s="71" t="s">
        <v>488</v>
      </c>
      <c r="D50" s="71" t="s">
        <v>962</v>
      </c>
      <c r="E50" s="22">
        <f t="shared" ca="1" si="10"/>
        <v>40951</v>
      </c>
      <c r="F50" s="11">
        <f>DATE(56,4,4)</f>
        <v>20549</v>
      </c>
      <c r="G50" s="12">
        <f t="shared" ca="1" si="6"/>
        <v>56</v>
      </c>
      <c r="H50" s="12">
        <f t="shared" ca="1" si="7"/>
        <v>-2</v>
      </c>
      <c r="I50" s="13">
        <f t="shared" ca="1" si="8"/>
        <v>8</v>
      </c>
      <c r="J50" s="14">
        <f t="shared" ca="1" si="4"/>
        <v>55</v>
      </c>
      <c r="K50" s="12" t="s">
        <v>41</v>
      </c>
      <c r="L50" s="27">
        <v>4</v>
      </c>
      <c r="M50" s="25" t="s">
        <v>40</v>
      </c>
      <c r="N50">
        <v>11</v>
      </c>
    </row>
    <row r="51" spans="1:14" ht="15.75" thickBot="1">
      <c r="A51" s="26">
        <f t="shared" si="9"/>
        <v>50</v>
      </c>
      <c r="B51" s="68" t="s">
        <v>1</v>
      </c>
      <c r="C51" s="73" t="s">
        <v>1082</v>
      </c>
      <c r="D51" s="73" t="s">
        <v>962</v>
      </c>
      <c r="E51" s="23">
        <f t="shared" ca="1" si="10"/>
        <v>40951</v>
      </c>
      <c r="F51" s="16">
        <f>DATE(81,6,12)</f>
        <v>29749</v>
      </c>
      <c r="G51" s="17">
        <f t="shared" ca="1" si="6"/>
        <v>31</v>
      </c>
      <c r="H51" s="17">
        <f t="shared" ca="1" si="7"/>
        <v>-4</v>
      </c>
      <c r="I51" s="18">
        <f t="shared" ca="1" si="8"/>
        <v>0</v>
      </c>
      <c r="J51" s="19">
        <f t="shared" ca="1" si="4"/>
        <v>30</v>
      </c>
      <c r="K51" s="17" t="s">
        <v>40</v>
      </c>
      <c r="L51" s="29">
        <v>4</v>
      </c>
      <c r="M51" s="26" t="s">
        <v>44</v>
      </c>
      <c r="N51">
        <v>11</v>
      </c>
    </row>
    <row r="52" spans="1:14">
      <c r="A52" s="24">
        <f t="shared" si="9"/>
        <v>51</v>
      </c>
      <c r="B52" s="66" t="s">
        <v>1</v>
      </c>
      <c r="C52" s="72" t="s">
        <v>1045</v>
      </c>
      <c r="D52" s="72" t="s">
        <v>82</v>
      </c>
      <c r="E52" s="21">
        <f t="shared" ca="1" si="10"/>
        <v>40951</v>
      </c>
      <c r="F52" s="6">
        <f>DATE(57,9,23)</f>
        <v>21086</v>
      </c>
      <c r="G52" s="7">
        <f t="shared" ca="1" si="6"/>
        <v>55</v>
      </c>
      <c r="H52" s="7">
        <f t="shared" ca="1" si="7"/>
        <v>-7</v>
      </c>
      <c r="I52" s="8">
        <f t="shared" ca="1" si="8"/>
        <v>-11</v>
      </c>
      <c r="J52" s="9">
        <f t="shared" ca="1" si="4"/>
        <v>54</v>
      </c>
      <c r="K52" s="7" t="s">
        <v>40</v>
      </c>
      <c r="L52" s="28">
        <v>5</v>
      </c>
      <c r="M52" s="24" t="s">
        <v>40</v>
      </c>
      <c r="N52">
        <v>12</v>
      </c>
    </row>
    <row r="53" spans="1:14">
      <c r="A53" s="25">
        <f t="shared" si="9"/>
        <v>52</v>
      </c>
      <c r="B53" s="67" t="s">
        <v>1</v>
      </c>
      <c r="C53" s="71" t="s">
        <v>216</v>
      </c>
      <c r="D53" s="71" t="s">
        <v>1045</v>
      </c>
      <c r="E53" s="22">
        <f t="shared" ca="1" si="10"/>
        <v>40951</v>
      </c>
      <c r="F53" s="11">
        <f>DATE(55,12,16)</f>
        <v>20439</v>
      </c>
      <c r="G53" s="12">
        <f t="shared" ca="1" si="6"/>
        <v>57</v>
      </c>
      <c r="H53" s="12">
        <f t="shared" ca="1" si="7"/>
        <v>-10</v>
      </c>
      <c r="I53" s="13">
        <f t="shared" ca="1" si="8"/>
        <v>-4</v>
      </c>
      <c r="J53" s="14">
        <f t="shared" ca="1" si="4"/>
        <v>56</v>
      </c>
      <c r="K53" s="12" t="s">
        <v>41</v>
      </c>
      <c r="L53" s="15">
        <v>5</v>
      </c>
      <c r="M53" s="25" t="s">
        <v>40</v>
      </c>
      <c r="N53">
        <v>12</v>
      </c>
    </row>
    <row r="54" spans="1:14">
      <c r="A54" s="25">
        <f t="shared" si="9"/>
        <v>53</v>
      </c>
      <c r="B54" s="67" t="s">
        <v>1</v>
      </c>
      <c r="C54" s="71" t="s">
        <v>299</v>
      </c>
      <c r="D54" s="71" t="s">
        <v>1045</v>
      </c>
      <c r="E54" s="22">
        <f t="shared" ca="1" si="10"/>
        <v>40951</v>
      </c>
      <c r="F54" s="11">
        <f>DATE(76,12,28)</f>
        <v>28122</v>
      </c>
      <c r="G54" s="12">
        <f t="shared" ca="1" si="6"/>
        <v>36</v>
      </c>
      <c r="H54" s="12">
        <f t="shared" ca="1" si="7"/>
        <v>-10</v>
      </c>
      <c r="I54" s="13">
        <f t="shared" ca="1" si="8"/>
        <v>-16</v>
      </c>
      <c r="J54" s="14">
        <f t="shared" ca="1" si="4"/>
        <v>35</v>
      </c>
      <c r="K54" s="12" t="s">
        <v>40</v>
      </c>
      <c r="L54" s="15">
        <v>5</v>
      </c>
      <c r="M54" s="25" t="s">
        <v>44</v>
      </c>
      <c r="N54">
        <v>12</v>
      </c>
    </row>
    <row r="55" spans="1:14">
      <c r="A55" s="25">
        <f t="shared" si="9"/>
        <v>54</v>
      </c>
      <c r="B55" s="67" t="s">
        <v>1</v>
      </c>
      <c r="C55" s="71" t="s">
        <v>231</v>
      </c>
      <c r="D55" s="71" t="s">
        <v>1045</v>
      </c>
      <c r="E55" s="22">
        <f t="shared" ca="1" si="10"/>
        <v>40951</v>
      </c>
      <c r="F55" s="11">
        <f>DATE(78,3,26)</f>
        <v>28575</v>
      </c>
      <c r="G55" s="12">
        <f t="shared" ca="1" si="6"/>
        <v>34</v>
      </c>
      <c r="H55" s="12">
        <f t="shared" ca="1" si="7"/>
        <v>-1</v>
      </c>
      <c r="I55" s="13">
        <f t="shared" ca="1" si="8"/>
        <v>-14</v>
      </c>
      <c r="J55" s="14">
        <f t="shared" ca="1" si="4"/>
        <v>33</v>
      </c>
      <c r="K55" s="12" t="s">
        <v>41</v>
      </c>
      <c r="L55" s="15">
        <v>5</v>
      </c>
      <c r="M55" s="25" t="s">
        <v>44</v>
      </c>
      <c r="N55">
        <v>12</v>
      </c>
    </row>
    <row r="56" spans="1:14" ht="15.75" thickBot="1">
      <c r="A56" s="26">
        <f t="shared" si="9"/>
        <v>55</v>
      </c>
      <c r="B56" s="68" t="s">
        <v>1</v>
      </c>
      <c r="C56" s="73" t="s">
        <v>1083</v>
      </c>
      <c r="D56" s="71" t="s">
        <v>1045</v>
      </c>
      <c r="E56" s="23">
        <f t="shared" ca="1" si="10"/>
        <v>40951</v>
      </c>
      <c r="F56" s="31">
        <f>DATE(78,6,2)</f>
        <v>28643</v>
      </c>
      <c r="G56" s="17">
        <f t="shared" ca="1" si="6"/>
        <v>34</v>
      </c>
      <c r="H56" s="17">
        <f t="shared" ca="1" si="7"/>
        <v>-4</v>
      </c>
      <c r="I56" s="18">
        <f t="shared" ca="1" si="8"/>
        <v>10</v>
      </c>
      <c r="J56" s="19">
        <f t="shared" ca="1" si="4"/>
        <v>33</v>
      </c>
      <c r="K56" s="17" t="s">
        <v>41</v>
      </c>
      <c r="L56" s="20">
        <v>5</v>
      </c>
      <c r="M56" s="26" t="s">
        <v>44</v>
      </c>
      <c r="N56">
        <v>12</v>
      </c>
    </row>
    <row r="57" spans="1:14">
      <c r="A57" s="24">
        <f t="shared" si="9"/>
        <v>56</v>
      </c>
      <c r="B57" s="66" t="s">
        <v>1</v>
      </c>
      <c r="C57" s="72" t="s">
        <v>315</v>
      </c>
      <c r="D57" s="72" t="s">
        <v>91</v>
      </c>
      <c r="E57" s="21">
        <f t="shared" ca="1" si="10"/>
        <v>40951</v>
      </c>
      <c r="F57" s="6">
        <f>DATE(50,5,20)</f>
        <v>18403</v>
      </c>
      <c r="G57" s="7">
        <f t="shared" ca="1" si="6"/>
        <v>62</v>
      </c>
      <c r="H57" s="7">
        <f t="shared" ca="1" si="7"/>
        <v>-3</v>
      </c>
      <c r="I57" s="8">
        <f t="shared" ca="1" si="8"/>
        <v>-8</v>
      </c>
      <c r="J57" s="9">
        <f t="shared" ca="1" si="4"/>
        <v>61</v>
      </c>
      <c r="K57" s="7" t="s">
        <v>40</v>
      </c>
      <c r="L57" s="10">
        <v>5</v>
      </c>
      <c r="M57" s="24" t="s">
        <v>40</v>
      </c>
      <c r="N57">
        <v>13</v>
      </c>
    </row>
    <row r="58" spans="1:14">
      <c r="A58" s="25">
        <f t="shared" si="9"/>
        <v>57</v>
      </c>
      <c r="B58" s="67" t="s">
        <v>1</v>
      </c>
      <c r="C58" s="71" t="s">
        <v>1084</v>
      </c>
      <c r="D58" s="71" t="s">
        <v>315</v>
      </c>
      <c r="E58" s="22">
        <f t="shared" ca="1" si="10"/>
        <v>40951</v>
      </c>
      <c r="F58" s="11">
        <f>DATE(54,2,11)</f>
        <v>19766</v>
      </c>
      <c r="G58" s="12">
        <f t="shared" ca="1" si="6"/>
        <v>58</v>
      </c>
      <c r="H58" s="12">
        <f t="shared" ca="1" si="7"/>
        <v>0</v>
      </c>
      <c r="I58" s="13">
        <f t="shared" ca="1" si="8"/>
        <v>1</v>
      </c>
      <c r="J58" s="14">
        <f t="shared" ca="1" si="4"/>
        <v>58</v>
      </c>
      <c r="K58" s="12" t="s">
        <v>41</v>
      </c>
      <c r="L58" s="15">
        <v>5</v>
      </c>
      <c r="M58" s="25" t="s">
        <v>40</v>
      </c>
      <c r="N58">
        <v>13</v>
      </c>
    </row>
    <row r="59" spans="1:14">
      <c r="A59" s="25">
        <f t="shared" si="9"/>
        <v>58</v>
      </c>
      <c r="B59" s="67" t="s">
        <v>1</v>
      </c>
      <c r="C59" s="71" t="s">
        <v>305</v>
      </c>
      <c r="D59" s="71" t="s">
        <v>315</v>
      </c>
      <c r="E59" s="22">
        <f t="shared" ca="1" si="10"/>
        <v>40951</v>
      </c>
      <c r="F59" s="32"/>
      <c r="G59" s="12">
        <f t="shared" ca="1" si="6"/>
        <v>112</v>
      </c>
      <c r="H59" s="12">
        <f t="shared" ca="1" si="7"/>
        <v>1</v>
      </c>
      <c r="I59" s="13">
        <f t="shared" ca="1" si="8"/>
        <v>12</v>
      </c>
      <c r="J59" s="14">
        <f t="shared" ca="1" si="4"/>
        <v>112</v>
      </c>
      <c r="K59" s="12" t="s">
        <v>40</v>
      </c>
      <c r="L59" s="15">
        <v>5</v>
      </c>
      <c r="M59" s="25" t="s">
        <v>44</v>
      </c>
      <c r="N59">
        <v>13</v>
      </c>
    </row>
    <row r="60" spans="1:14" ht="15.75" thickBot="1">
      <c r="A60" s="26">
        <f t="shared" si="9"/>
        <v>59</v>
      </c>
      <c r="B60" s="68" t="s">
        <v>1</v>
      </c>
      <c r="C60" s="73" t="s">
        <v>1085</v>
      </c>
      <c r="D60" s="71" t="s">
        <v>315</v>
      </c>
      <c r="E60" s="23">
        <f t="shared" ca="1" si="10"/>
        <v>40951</v>
      </c>
      <c r="F60" s="33"/>
      <c r="G60" s="17">
        <f t="shared" ca="1" si="6"/>
        <v>112</v>
      </c>
      <c r="H60" s="17">
        <f t="shared" ca="1" si="7"/>
        <v>1</v>
      </c>
      <c r="I60" s="18">
        <f t="shared" ca="1" si="8"/>
        <v>12</v>
      </c>
      <c r="J60" s="19">
        <f t="shared" ca="1" si="4"/>
        <v>112</v>
      </c>
      <c r="K60" s="17" t="s">
        <v>41</v>
      </c>
      <c r="L60" s="20">
        <v>5</v>
      </c>
      <c r="M60" s="26" t="s">
        <v>44</v>
      </c>
      <c r="N60">
        <v>13</v>
      </c>
    </row>
    <row r="61" spans="1:14">
      <c r="A61" s="24">
        <f t="shared" si="9"/>
        <v>60</v>
      </c>
      <c r="B61" s="66" t="s">
        <v>1</v>
      </c>
      <c r="C61" s="72" t="s">
        <v>315</v>
      </c>
      <c r="D61" s="72" t="s">
        <v>417</v>
      </c>
      <c r="E61" s="21">
        <f t="shared" ca="1" si="10"/>
        <v>40951</v>
      </c>
      <c r="F61" s="6">
        <f>DATE(45,12,10)</f>
        <v>16781</v>
      </c>
      <c r="G61" s="7">
        <f t="shared" ca="1" si="6"/>
        <v>67</v>
      </c>
      <c r="H61" s="7">
        <f t="shared" ca="1" si="7"/>
        <v>-10</v>
      </c>
      <c r="I61" s="8">
        <f t="shared" ca="1" si="8"/>
        <v>2</v>
      </c>
      <c r="J61" s="9">
        <f t="shared" ca="1" si="4"/>
        <v>66</v>
      </c>
      <c r="K61" s="7" t="s">
        <v>40</v>
      </c>
      <c r="L61" s="10">
        <v>5</v>
      </c>
      <c r="M61" s="24" t="s">
        <v>40</v>
      </c>
      <c r="N61">
        <v>14</v>
      </c>
    </row>
    <row r="62" spans="1:14">
      <c r="A62" s="25">
        <f t="shared" si="9"/>
        <v>61</v>
      </c>
      <c r="B62" s="67" t="s">
        <v>1</v>
      </c>
      <c r="C62" s="71" t="s">
        <v>1086</v>
      </c>
      <c r="D62" s="71" t="s">
        <v>315</v>
      </c>
      <c r="E62" s="22">
        <f t="shared" ca="1" si="10"/>
        <v>40951</v>
      </c>
      <c r="F62" s="32"/>
      <c r="G62" s="12">
        <f t="shared" ca="1" si="6"/>
        <v>112</v>
      </c>
      <c r="H62" s="12">
        <f t="shared" ca="1" si="7"/>
        <v>1</v>
      </c>
      <c r="I62" s="13">
        <f t="shared" ca="1" si="8"/>
        <v>12</v>
      </c>
      <c r="J62" s="14">
        <f t="shared" ca="1" si="4"/>
        <v>112</v>
      </c>
      <c r="K62" s="12" t="s">
        <v>41</v>
      </c>
      <c r="L62" s="15">
        <v>5</v>
      </c>
      <c r="M62" s="25" t="s">
        <v>40</v>
      </c>
      <c r="N62">
        <v>14</v>
      </c>
    </row>
    <row r="63" spans="1:14">
      <c r="A63" s="25">
        <f t="shared" si="9"/>
        <v>62</v>
      </c>
      <c r="B63" s="67" t="s">
        <v>1</v>
      </c>
      <c r="C63" s="71" t="s">
        <v>305</v>
      </c>
      <c r="D63" s="71" t="s">
        <v>315</v>
      </c>
      <c r="E63" s="22">
        <f t="shared" ca="1" si="10"/>
        <v>40951</v>
      </c>
      <c r="F63" s="11">
        <f>DATE(78,12,17)</f>
        <v>28841</v>
      </c>
      <c r="G63" s="12">
        <f t="shared" ca="1" si="6"/>
        <v>34</v>
      </c>
      <c r="H63" s="12">
        <f t="shared" ca="1" si="7"/>
        <v>-10</v>
      </c>
      <c r="I63" s="13">
        <f t="shared" ca="1" si="8"/>
        <v>-5</v>
      </c>
      <c r="J63" s="14">
        <f t="shared" ca="1" si="4"/>
        <v>33</v>
      </c>
      <c r="K63" s="12" t="s">
        <v>40</v>
      </c>
      <c r="L63" s="15">
        <v>5</v>
      </c>
      <c r="M63" s="25" t="s">
        <v>44</v>
      </c>
      <c r="N63">
        <v>14</v>
      </c>
    </row>
    <row r="64" spans="1:14" ht="15.75" thickBot="1">
      <c r="A64" s="26">
        <f t="shared" si="9"/>
        <v>63</v>
      </c>
      <c r="B64" s="68" t="s">
        <v>1</v>
      </c>
      <c r="C64" s="73" t="s">
        <v>982</v>
      </c>
      <c r="D64" s="71" t="s">
        <v>315</v>
      </c>
      <c r="E64" s="23">
        <f t="shared" ca="1" si="10"/>
        <v>40951</v>
      </c>
      <c r="F64" s="16">
        <f>DATE(80,7,15)</f>
        <v>29417</v>
      </c>
      <c r="G64" s="17">
        <f t="shared" ca="1" si="6"/>
        <v>32</v>
      </c>
      <c r="H64" s="17">
        <f t="shared" ca="1" si="7"/>
        <v>-5</v>
      </c>
      <c r="I64" s="18">
        <f t="shared" ca="1" si="8"/>
        <v>-3</v>
      </c>
      <c r="J64" s="19">
        <f t="shared" ca="1" si="4"/>
        <v>31</v>
      </c>
      <c r="K64" s="17" t="s">
        <v>40</v>
      </c>
      <c r="L64" s="20">
        <v>5</v>
      </c>
      <c r="M64" s="26" t="s">
        <v>44</v>
      </c>
      <c r="N64">
        <v>14</v>
      </c>
    </row>
    <row r="65" spans="1:14">
      <c r="A65" s="24">
        <f t="shared" si="9"/>
        <v>64</v>
      </c>
      <c r="B65" s="66" t="s">
        <v>1</v>
      </c>
      <c r="C65" s="72" t="s">
        <v>57</v>
      </c>
      <c r="D65" s="72" t="s">
        <v>973</v>
      </c>
      <c r="E65" s="21">
        <f t="shared" ca="1" si="10"/>
        <v>40951</v>
      </c>
      <c r="F65" s="6">
        <f>DATE(45,11,2)</f>
        <v>16743</v>
      </c>
      <c r="G65" s="7">
        <f t="shared" ca="1" si="6"/>
        <v>67</v>
      </c>
      <c r="H65" s="7">
        <f t="shared" ca="1" si="7"/>
        <v>-9</v>
      </c>
      <c r="I65" s="8">
        <f t="shared" ca="1" si="8"/>
        <v>10</v>
      </c>
      <c r="J65" s="9">
        <f t="shared" ca="1" si="4"/>
        <v>66</v>
      </c>
      <c r="K65" s="7" t="s">
        <v>40</v>
      </c>
      <c r="L65" s="10">
        <v>6</v>
      </c>
      <c r="M65" s="24" t="s">
        <v>40</v>
      </c>
      <c r="N65">
        <v>15</v>
      </c>
    </row>
    <row r="66" spans="1:14">
      <c r="A66" s="25">
        <f t="shared" si="9"/>
        <v>65</v>
      </c>
      <c r="B66" s="67" t="s">
        <v>1</v>
      </c>
      <c r="C66" s="71" t="s">
        <v>506</v>
      </c>
      <c r="D66" s="71" t="s">
        <v>560</v>
      </c>
      <c r="E66" s="22">
        <f t="shared" ca="1" si="10"/>
        <v>40951</v>
      </c>
      <c r="F66" s="11">
        <f>DATE(66,9,6)</f>
        <v>24356</v>
      </c>
      <c r="G66" s="12">
        <f t="shared" ca="1" si="6"/>
        <v>46</v>
      </c>
      <c r="H66" s="12">
        <f t="shared" ca="1" si="7"/>
        <v>-7</v>
      </c>
      <c r="I66" s="13">
        <f t="shared" ca="1" si="8"/>
        <v>6</v>
      </c>
      <c r="J66" s="14">
        <f t="shared" ca="1" si="4"/>
        <v>45</v>
      </c>
      <c r="K66" s="12" t="s">
        <v>40</v>
      </c>
      <c r="L66" s="15">
        <v>6</v>
      </c>
      <c r="M66" s="25" t="s">
        <v>40</v>
      </c>
      <c r="N66">
        <v>15</v>
      </c>
    </row>
    <row r="67" spans="1:14">
      <c r="A67" s="25">
        <f t="shared" si="9"/>
        <v>66</v>
      </c>
      <c r="B67" s="67" t="s">
        <v>1</v>
      </c>
      <c r="C67" s="71" t="s">
        <v>122</v>
      </c>
      <c r="D67" s="71" t="s">
        <v>1046</v>
      </c>
      <c r="E67" s="22">
        <f t="shared" ca="1" si="10"/>
        <v>40951</v>
      </c>
      <c r="F67" s="11">
        <f>DATE(68,10,4)</f>
        <v>25115</v>
      </c>
      <c r="G67" s="12">
        <f t="shared" ca="1" si="6"/>
        <v>44</v>
      </c>
      <c r="H67" s="12">
        <f t="shared" ca="1" si="7"/>
        <v>-8</v>
      </c>
      <c r="I67" s="13">
        <f t="shared" ca="1" si="8"/>
        <v>8</v>
      </c>
      <c r="J67" s="14">
        <f t="shared" ref="J67:J130" ca="1" si="11">IF(H67&lt;0,G67-1,IF(H67&gt;0,G67,IF(I67&lt;0,G67-1,G67)))</f>
        <v>43</v>
      </c>
      <c r="K67" s="12" t="s">
        <v>41</v>
      </c>
      <c r="L67" s="15">
        <v>6</v>
      </c>
      <c r="M67" s="25" t="s">
        <v>40</v>
      </c>
      <c r="N67">
        <v>15</v>
      </c>
    </row>
    <row r="68" spans="1:14">
      <c r="A68" s="25">
        <f t="shared" si="9"/>
        <v>67</v>
      </c>
      <c r="B68" s="67" t="s">
        <v>1</v>
      </c>
      <c r="C68" s="71" t="s">
        <v>1087</v>
      </c>
      <c r="D68" s="71" t="s">
        <v>1046</v>
      </c>
      <c r="E68" s="22">
        <f t="shared" ca="1" si="10"/>
        <v>40951</v>
      </c>
      <c r="F68" s="11">
        <f>DATE(93,11,19)</f>
        <v>34292</v>
      </c>
      <c r="G68" s="12">
        <f t="shared" ca="1" si="6"/>
        <v>19</v>
      </c>
      <c r="H68" s="12">
        <f t="shared" ca="1" si="7"/>
        <v>-9</v>
      </c>
      <c r="I68" s="13">
        <f t="shared" ca="1" si="8"/>
        <v>-7</v>
      </c>
      <c r="J68" s="14">
        <f t="shared" ca="1" si="11"/>
        <v>18</v>
      </c>
      <c r="K68" s="12" t="s">
        <v>40</v>
      </c>
      <c r="L68" s="15">
        <v>6</v>
      </c>
      <c r="M68" s="25" t="s">
        <v>44</v>
      </c>
      <c r="N68">
        <v>15</v>
      </c>
    </row>
    <row r="69" spans="1:14" ht="15.75" thickBot="1">
      <c r="A69" s="26">
        <f t="shared" si="9"/>
        <v>68</v>
      </c>
      <c r="B69" s="68" t="s">
        <v>1</v>
      </c>
      <c r="C69" s="73" t="s">
        <v>1088</v>
      </c>
      <c r="D69" s="71" t="s">
        <v>1046</v>
      </c>
      <c r="E69" s="23">
        <f t="shared" ca="1" si="10"/>
        <v>40951</v>
      </c>
      <c r="F69" s="16">
        <f>DATE(2000,2,1)</f>
        <v>36557</v>
      </c>
      <c r="G69" s="17">
        <f t="shared" ca="1" si="6"/>
        <v>12</v>
      </c>
      <c r="H69" s="17">
        <f t="shared" ca="1" si="7"/>
        <v>0</v>
      </c>
      <c r="I69" s="18">
        <f t="shared" ca="1" si="8"/>
        <v>11</v>
      </c>
      <c r="J69" s="19">
        <f t="shared" ca="1" si="11"/>
        <v>12</v>
      </c>
      <c r="K69" s="17" t="s">
        <v>40</v>
      </c>
      <c r="L69" s="20">
        <v>6</v>
      </c>
      <c r="M69" s="26" t="s">
        <v>44</v>
      </c>
      <c r="N69">
        <v>15</v>
      </c>
    </row>
    <row r="70" spans="1:14">
      <c r="A70" s="24">
        <f t="shared" si="9"/>
        <v>69</v>
      </c>
      <c r="B70" s="66" t="s">
        <v>1</v>
      </c>
      <c r="C70" s="72" t="s">
        <v>1047</v>
      </c>
      <c r="D70" s="72" t="s">
        <v>103</v>
      </c>
      <c r="E70" s="21">
        <f t="shared" ca="1" si="10"/>
        <v>40951</v>
      </c>
      <c r="F70" s="6">
        <f>DATE(76,7,13)</f>
        <v>27954</v>
      </c>
      <c r="G70" s="7">
        <f t="shared" ca="1" si="6"/>
        <v>36</v>
      </c>
      <c r="H70" s="7">
        <f t="shared" ca="1" si="7"/>
        <v>-5</v>
      </c>
      <c r="I70" s="8">
        <f t="shared" ca="1" si="8"/>
        <v>-1</v>
      </c>
      <c r="J70" s="9">
        <f t="shared" ca="1" si="11"/>
        <v>35</v>
      </c>
      <c r="K70" s="7" t="s">
        <v>40</v>
      </c>
      <c r="L70" s="10">
        <v>6</v>
      </c>
      <c r="M70" s="24" t="s">
        <v>40</v>
      </c>
      <c r="N70">
        <v>16</v>
      </c>
    </row>
    <row r="71" spans="1:14" ht="15.75" thickBot="1">
      <c r="A71" s="26">
        <f t="shared" si="9"/>
        <v>70</v>
      </c>
      <c r="B71" s="68" t="s">
        <v>1</v>
      </c>
      <c r="C71" s="73" t="s">
        <v>170</v>
      </c>
      <c r="D71" s="73" t="s">
        <v>1047</v>
      </c>
      <c r="E71" s="23">
        <f t="shared" ca="1" si="10"/>
        <v>40951</v>
      </c>
      <c r="F71" s="16">
        <f>DATE(78,7,13)</f>
        <v>28684</v>
      </c>
      <c r="G71" s="17">
        <f t="shared" ca="1" si="6"/>
        <v>34</v>
      </c>
      <c r="H71" s="17">
        <f t="shared" ca="1" si="7"/>
        <v>-5</v>
      </c>
      <c r="I71" s="18">
        <f t="shared" ca="1" si="8"/>
        <v>-1</v>
      </c>
      <c r="J71" s="19">
        <f t="shared" ca="1" si="11"/>
        <v>33</v>
      </c>
      <c r="K71" s="17" t="s">
        <v>41</v>
      </c>
      <c r="L71" s="20">
        <v>6</v>
      </c>
      <c r="M71" s="26" t="s">
        <v>40</v>
      </c>
      <c r="N71">
        <v>16</v>
      </c>
    </row>
    <row r="72" spans="1:14">
      <c r="A72" s="24">
        <f t="shared" si="9"/>
        <v>71</v>
      </c>
      <c r="B72" s="66" t="s">
        <v>1</v>
      </c>
      <c r="C72" s="72" t="s">
        <v>967</v>
      </c>
      <c r="D72" s="72" t="s">
        <v>1048</v>
      </c>
      <c r="E72" s="21">
        <f t="shared" ca="1" si="10"/>
        <v>40951</v>
      </c>
      <c r="F72" s="6">
        <f>DATE(50,5,9)</f>
        <v>18392</v>
      </c>
      <c r="G72" s="7">
        <f t="shared" ca="1" si="6"/>
        <v>62</v>
      </c>
      <c r="H72" s="7">
        <f t="shared" ca="1" si="7"/>
        <v>-3</v>
      </c>
      <c r="I72" s="8">
        <f t="shared" ca="1" si="8"/>
        <v>3</v>
      </c>
      <c r="J72" s="9">
        <f t="shared" ca="1" si="11"/>
        <v>61</v>
      </c>
      <c r="K72" s="7" t="s">
        <v>40</v>
      </c>
      <c r="L72" s="10">
        <v>6</v>
      </c>
      <c r="M72" s="24" t="s">
        <v>40</v>
      </c>
      <c r="N72">
        <v>17</v>
      </c>
    </row>
    <row r="73" spans="1:14">
      <c r="A73" s="25">
        <f t="shared" si="9"/>
        <v>72</v>
      </c>
      <c r="B73" s="67" t="s">
        <v>1</v>
      </c>
      <c r="C73" s="71" t="s">
        <v>1089</v>
      </c>
      <c r="D73" s="71" t="s">
        <v>1049</v>
      </c>
      <c r="E73" s="22">
        <f t="shared" ca="1" si="10"/>
        <v>40951</v>
      </c>
      <c r="F73" s="32"/>
      <c r="G73" s="12">
        <f t="shared" ca="1" si="6"/>
        <v>112</v>
      </c>
      <c r="H73" s="12">
        <f t="shared" ca="1" si="7"/>
        <v>1</v>
      </c>
      <c r="I73" s="13">
        <f t="shared" ca="1" si="8"/>
        <v>12</v>
      </c>
      <c r="J73" s="14">
        <f t="shared" ca="1" si="11"/>
        <v>112</v>
      </c>
      <c r="K73" s="12" t="s">
        <v>41</v>
      </c>
      <c r="L73" s="15">
        <v>6</v>
      </c>
      <c r="M73" s="25" t="s">
        <v>40</v>
      </c>
      <c r="N73">
        <v>17</v>
      </c>
    </row>
    <row r="74" spans="1:14">
      <c r="A74" s="25">
        <f t="shared" si="9"/>
        <v>73</v>
      </c>
      <c r="B74" s="67" t="s">
        <v>1</v>
      </c>
      <c r="C74" s="71" t="s">
        <v>1090</v>
      </c>
      <c r="D74" s="71" t="s">
        <v>967</v>
      </c>
      <c r="E74" s="22">
        <f t="shared" ca="1" si="10"/>
        <v>40951</v>
      </c>
      <c r="F74" s="11">
        <f>DATE(57,2,22)</f>
        <v>20873</v>
      </c>
      <c r="G74" s="12">
        <f t="shared" ca="1" si="6"/>
        <v>55</v>
      </c>
      <c r="H74" s="12">
        <f t="shared" ca="1" si="7"/>
        <v>0</v>
      </c>
      <c r="I74" s="13">
        <f t="shared" ca="1" si="8"/>
        <v>-10</v>
      </c>
      <c r="J74" s="14">
        <f t="shared" ca="1" si="11"/>
        <v>54</v>
      </c>
      <c r="K74" s="12" t="s">
        <v>41</v>
      </c>
      <c r="L74" s="15">
        <v>6</v>
      </c>
      <c r="M74" s="25" t="s">
        <v>40</v>
      </c>
      <c r="N74">
        <v>17</v>
      </c>
    </row>
    <row r="75" spans="1:14">
      <c r="A75" s="25">
        <f t="shared" si="9"/>
        <v>74</v>
      </c>
      <c r="B75" s="67" t="s">
        <v>1</v>
      </c>
      <c r="C75" s="71" t="s">
        <v>1050</v>
      </c>
      <c r="D75" s="71" t="s">
        <v>967</v>
      </c>
      <c r="E75" s="22">
        <f t="shared" ca="1" si="10"/>
        <v>40951</v>
      </c>
      <c r="F75" s="11">
        <f>DATE(79,7,23)</f>
        <v>29059</v>
      </c>
      <c r="G75" s="12">
        <f t="shared" ca="1" si="6"/>
        <v>33</v>
      </c>
      <c r="H75" s="12">
        <f t="shared" ca="1" si="7"/>
        <v>-5</v>
      </c>
      <c r="I75" s="13">
        <f t="shared" ca="1" si="8"/>
        <v>-11</v>
      </c>
      <c r="J75" s="14">
        <f t="shared" ca="1" si="11"/>
        <v>32</v>
      </c>
      <c r="K75" s="12" t="s">
        <v>40</v>
      </c>
      <c r="L75" s="15">
        <v>6</v>
      </c>
      <c r="M75" s="25" t="s">
        <v>40</v>
      </c>
      <c r="N75">
        <v>17</v>
      </c>
    </row>
    <row r="76" spans="1:14">
      <c r="A76" s="25">
        <f t="shared" si="9"/>
        <v>75</v>
      </c>
      <c r="B76" s="67" t="s">
        <v>1</v>
      </c>
      <c r="C76" s="71" t="s">
        <v>160</v>
      </c>
      <c r="D76" s="71" t="s">
        <v>1050</v>
      </c>
      <c r="E76" s="22">
        <f t="shared" ca="1" si="10"/>
        <v>40951</v>
      </c>
      <c r="F76" s="11">
        <f>DATE(81,11,23)</f>
        <v>29913</v>
      </c>
      <c r="G76" s="12">
        <f t="shared" ca="1" si="6"/>
        <v>31</v>
      </c>
      <c r="H76" s="12">
        <f t="shared" ca="1" si="7"/>
        <v>-9</v>
      </c>
      <c r="I76" s="13">
        <f t="shared" ca="1" si="8"/>
        <v>-11</v>
      </c>
      <c r="J76" s="14">
        <f t="shared" ca="1" si="11"/>
        <v>30</v>
      </c>
      <c r="K76" s="12" t="s">
        <v>41</v>
      </c>
      <c r="L76" s="15">
        <v>6</v>
      </c>
      <c r="M76" s="25" t="s">
        <v>40</v>
      </c>
      <c r="N76">
        <v>17</v>
      </c>
    </row>
    <row r="77" spans="1:14">
      <c r="A77" s="25">
        <f t="shared" si="9"/>
        <v>76</v>
      </c>
      <c r="B77" s="67" t="s">
        <v>1</v>
      </c>
      <c r="C77" s="71" t="s">
        <v>604</v>
      </c>
      <c r="D77" s="71" t="s">
        <v>1050</v>
      </c>
      <c r="E77" s="22">
        <f t="shared" ca="1" si="10"/>
        <v>40951</v>
      </c>
      <c r="F77" s="11">
        <f>DATE(2005,9,24)</f>
        <v>38619</v>
      </c>
      <c r="G77" s="12">
        <f t="shared" ca="1" si="6"/>
        <v>7</v>
      </c>
      <c r="H77" s="12">
        <f t="shared" ca="1" si="7"/>
        <v>-7</v>
      </c>
      <c r="I77" s="13">
        <f t="shared" ca="1" si="8"/>
        <v>-12</v>
      </c>
      <c r="J77" s="14">
        <f t="shared" ca="1" si="11"/>
        <v>6</v>
      </c>
      <c r="K77" s="12" t="s">
        <v>40</v>
      </c>
      <c r="L77" s="15">
        <v>6</v>
      </c>
      <c r="M77" s="25" t="s">
        <v>44</v>
      </c>
      <c r="N77">
        <v>17</v>
      </c>
    </row>
    <row r="78" spans="1:14" ht="15.75" thickBot="1">
      <c r="A78" s="26">
        <f t="shared" si="9"/>
        <v>77</v>
      </c>
      <c r="B78" s="68" t="s">
        <v>1</v>
      </c>
      <c r="C78" s="73" t="s">
        <v>406</v>
      </c>
      <c r="D78" s="73" t="s">
        <v>967</v>
      </c>
      <c r="E78" s="23">
        <f t="shared" ca="1" si="10"/>
        <v>40951</v>
      </c>
      <c r="F78" s="16">
        <f>DATE(83,11,23)</f>
        <v>30643</v>
      </c>
      <c r="G78" s="17">
        <f t="shared" ca="1" si="6"/>
        <v>29</v>
      </c>
      <c r="H78" s="17">
        <f t="shared" ca="1" si="7"/>
        <v>-9</v>
      </c>
      <c r="I78" s="18">
        <f t="shared" ca="1" si="8"/>
        <v>-11</v>
      </c>
      <c r="J78" s="19">
        <f t="shared" ca="1" si="11"/>
        <v>28</v>
      </c>
      <c r="K78" s="17" t="s">
        <v>41</v>
      </c>
      <c r="L78" s="20">
        <v>6</v>
      </c>
      <c r="M78" s="26" t="s">
        <v>44</v>
      </c>
      <c r="N78">
        <v>17</v>
      </c>
    </row>
    <row r="79" spans="1:14">
      <c r="A79" s="24">
        <f t="shared" si="9"/>
        <v>78</v>
      </c>
      <c r="B79" s="66" t="s">
        <v>1</v>
      </c>
      <c r="C79" s="72" t="s">
        <v>545</v>
      </c>
      <c r="D79" s="72" t="s">
        <v>1051</v>
      </c>
      <c r="E79" s="21">
        <f t="shared" ca="1" si="10"/>
        <v>40951</v>
      </c>
      <c r="F79" s="6">
        <f>DATE(60,9,9)</f>
        <v>22168</v>
      </c>
      <c r="G79" s="7">
        <f t="shared" ca="1" si="6"/>
        <v>52</v>
      </c>
      <c r="H79" s="7">
        <f t="shared" ca="1" si="7"/>
        <v>-7</v>
      </c>
      <c r="I79" s="8">
        <f t="shared" ca="1" si="8"/>
        <v>3</v>
      </c>
      <c r="J79" s="9">
        <f t="shared" ca="1" si="11"/>
        <v>51</v>
      </c>
      <c r="K79" s="7" t="s">
        <v>40</v>
      </c>
      <c r="L79" s="10">
        <v>7</v>
      </c>
      <c r="M79" s="24" t="s">
        <v>40</v>
      </c>
      <c r="N79">
        <v>18</v>
      </c>
    </row>
    <row r="80" spans="1:14">
      <c r="A80" s="25">
        <f t="shared" si="9"/>
        <v>79</v>
      </c>
      <c r="B80" s="67" t="s">
        <v>1</v>
      </c>
      <c r="C80" s="71" t="s">
        <v>119</v>
      </c>
      <c r="D80" s="71" t="s">
        <v>545</v>
      </c>
      <c r="E80" s="22">
        <f t="shared" ca="1" si="10"/>
        <v>40951</v>
      </c>
      <c r="F80" s="44">
        <f>DATE(66,9,9)</f>
        <v>24359</v>
      </c>
      <c r="G80" s="12">
        <f t="shared" ca="1" si="6"/>
        <v>46</v>
      </c>
      <c r="H80" s="12">
        <f t="shared" ca="1" si="7"/>
        <v>-7</v>
      </c>
      <c r="I80" s="13">
        <f t="shared" ca="1" si="8"/>
        <v>3</v>
      </c>
      <c r="J80" s="14">
        <f t="shared" ca="1" si="11"/>
        <v>45</v>
      </c>
      <c r="K80" s="12" t="s">
        <v>41</v>
      </c>
      <c r="L80" s="15">
        <v>7</v>
      </c>
      <c r="M80" s="25" t="s">
        <v>40</v>
      </c>
      <c r="N80">
        <v>18</v>
      </c>
    </row>
    <row r="81" spans="1:14">
      <c r="A81" s="25">
        <f t="shared" si="9"/>
        <v>80</v>
      </c>
      <c r="B81" s="67" t="s">
        <v>1</v>
      </c>
      <c r="C81" s="71" t="s">
        <v>1091</v>
      </c>
      <c r="D81" s="71" t="s">
        <v>545</v>
      </c>
      <c r="E81" s="22">
        <f t="shared" ca="1" si="10"/>
        <v>40951</v>
      </c>
      <c r="F81" s="11">
        <f>DATE(90,2,6)</f>
        <v>32910</v>
      </c>
      <c r="G81" s="12">
        <f t="shared" ca="1" si="6"/>
        <v>22</v>
      </c>
      <c r="H81" s="12">
        <f t="shared" ca="1" si="7"/>
        <v>0</v>
      </c>
      <c r="I81" s="13">
        <f t="shared" ca="1" si="8"/>
        <v>6</v>
      </c>
      <c r="J81" s="14">
        <f t="shared" ca="1" si="11"/>
        <v>22</v>
      </c>
      <c r="K81" s="12" t="s">
        <v>41</v>
      </c>
      <c r="L81" s="15">
        <v>7</v>
      </c>
      <c r="M81" s="25" t="s">
        <v>44</v>
      </c>
      <c r="N81">
        <v>18</v>
      </c>
    </row>
    <row r="82" spans="1:14" ht="15.75" thickBot="1">
      <c r="A82" s="26">
        <f t="shared" si="9"/>
        <v>81</v>
      </c>
      <c r="B82" s="68" t="s">
        <v>1</v>
      </c>
      <c r="C82" s="73" t="s">
        <v>177</v>
      </c>
      <c r="D82" s="71" t="s">
        <v>545</v>
      </c>
      <c r="E82" s="23">
        <f t="shared" ca="1" si="10"/>
        <v>40951</v>
      </c>
      <c r="F82" s="16">
        <f>DATE(93,3,14)</f>
        <v>34042</v>
      </c>
      <c r="G82" s="17">
        <f t="shared" ca="1" si="6"/>
        <v>19</v>
      </c>
      <c r="H82" s="17">
        <f t="shared" ca="1" si="7"/>
        <v>-1</v>
      </c>
      <c r="I82" s="18">
        <f t="shared" ca="1" si="8"/>
        <v>-2</v>
      </c>
      <c r="J82" s="19">
        <f t="shared" ca="1" si="11"/>
        <v>18</v>
      </c>
      <c r="K82" s="17" t="s">
        <v>40</v>
      </c>
      <c r="L82" s="20">
        <v>7</v>
      </c>
      <c r="M82" s="26" t="s">
        <v>44</v>
      </c>
      <c r="N82">
        <v>18</v>
      </c>
    </row>
    <row r="83" spans="1:14">
      <c r="A83" s="24">
        <f t="shared" si="9"/>
        <v>82</v>
      </c>
      <c r="B83" s="66" t="s">
        <v>1</v>
      </c>
      <c r="C83" s="72" t="s">
        <v>1052</v>
      </c>
      <c r="D83" s="72" t="s">
        <v>77</v>
      </c>
      <c r="E83" s="21">
        <f t="shared" ca="1" si="10"/>
        <v>40951</v>
      </c>
      <c r="F83" s="6">
        <f>DATE(49,12,10)</f>
        <v>18242</v>
      </c>
      <c r="G83" s="7">
        <f t="shared" ca="1" si="6"/>
        <v>63</v>
      </c>
      <c r="H83" s="7">
        <f t="shared" ca="1" si="7"/>
        <v>-10</v>
      </c>
      <c r="I83" s="8">
        <f t="shared" ca="1" si="8"/>
        <v>2</v>
      </c>
      <c r="J83" s="9">
        <f t="shared" ca="1" si="11"/>
        <v>62</v>
      </c>
      <c r="K83" s="7" t="s">
        <v>40</v>
      </c>
      <c r="L83" s="10">
        <v>7</v>
      </c>
      <c r="M83" s="24" t="s">
        <v>40</v>
      </c>
      <c r="N83">
        <v>19</v>
      </c>
    </row>
    <row r="84" spans="1:14">
      <c r="A84" s="25">
        <f t="shared" si="9"/>
        <v>83</v>
      </c>
      <c r="B84" s="67" t="s">
        <v>1</v>
      </c>
      <c r="C84" s="71" t="s">
        <v>1092</v>
      </c>
      <c r="D84" s="71" t="s">
        <v>1052</v>
      </c>
      <c r="E84" s="22">
        <f t="shared" ca="1" si="10"/>
        <v>40951</v>
      </c>
      <c r="F84" s="11">
        <f>DATE(52,12,26)</f>
        <v>19354</v>
      </c>
      <c r="G84" s="12">
        <f t="shared" ca="1" si="6"/>
        <v>60</v>
      </c>
      <c r="H84" s="12">
        <f t="shared" ca="1" si="7"/>
        <v>-10</v>
      </c>
      <c r="I84" s="13">
        <f t="shared" ca="1" si="8"/>
        <v>-14</v>
      </c>
      <c r="J84" s="14">
        <f t="shared" ca="1" si="11"/>
        <v>59</v>
      </c>
      <c r="K84" s="12" t="s">
        <v>41</v>
      </c>
      <c r="L84" s="15">
        <v>7</v>
      </c>
      <c r="M84" s="25" t="s">
        <v>40</v>
      </c>
      <c r="N84">
        <v>19</v>
      </c>
    </row>
    <row r="85" spans="1:14" ht="15.75" thickBot="1">
      <c r="A85" s="26">
        <f t="shared" si="9"/>
        <v>84</v>
      </c>
      <c r="B85" s="68" t="s">
        <v>1</v>
      </c>
      <c r="C85" s="73" t="s">
        <v>121</v>
      </c>
      <c r="D85" s="71" t="s">
        <v>1052</v>
      </c>
      <c r="E85" s="23">
        <f t="shared" ca="1" si="10"/>
        <v>40951</v>
      </c>
      <c r="F85" s="16">
        <f>DATE(79,4,30)</f>
        <v>28975</v>
      </c>
      <c r="G85" s="17">
        <f t="shared" ca="1" si="6"/>
        <v>33</v>
      </c>
      <c r="H85" s="17">
        <f t="shared" ca="1" si="7"/>
        <v>-2</v>
      </c>
      <c r="I85" s="18">
        <f t="shared" ca="1" si="8"/>
        <v>-18</v>
      </c>
      <c r="J85" s="19">
        <f t="shared" ca="1" si="11"/>
        <v>32</v>
      </c>
      <c r="K85" s="17" t="s">
        <v>40</v>
      </c>
      <c r="L85" s="20">
        <v>7</v>
      </c>
      <c r="M85" s="26" t="s">
        <v>44</v>
      </c>
      <c r="N85">
        <v>19</v>
      </c>
    </row>
    <row r="86" spans="1:14">
      <c r="A86" s="24">
        <f t="shared" si="9"/>
        <v>85</v>
      </c>
      <c r="B86" s="66" t="s">
        <v>1</v>
      </c>
      <c r="C86" s="72" t="s">
        <v>560</v>
      </c>
      <c r="D86" s="72" t="s">
        <v>1053</v>
      </c>
      <c r="E86" s="21">
        <f t="shared" ca="1" si="10"/>
        <v>40951</v>
      </c>
      <c r="F86" s="45"/>
      <c r="G86" s="7">
        <f t="shared" ca="1" si="6"/>
        <v>112</v>
      </c>
      <c r="H86" s="7">
        <f t="shared" ca="1" si="7"/>
        <v>1</v>
      </c>
      <c r="I86" s="8">
        <f t="shared" ca="1" si="8"/>
        <v>12</v>
      </c>
      <c r="J86" s="9">
        <f t="shared" ca="1" si="11"/>
        <v>112</v>
      </c>
      <c r="K86" s="7" t="s">
        <v>40</v>
      </c>
      <c r="L86" s="10">
        <v>7</v>
      </c>
      <c r="M86" s="24" t="s">
        <v>40</v>
      </c>
      <c r="N86">
        <v>20</v>
      </c>
    </row>
    <row r="87" spans="1:14">
      <c r="A87" s="25">
        <f t="shared" si="9"/>
        <v>86</v>
      </c>
      <c r="B87" s="67" t="s">
        <v>1</v>
      </c>
      <c r="C87" s="71" t="s">
        <v>1093</v>
      </c>
      <c r="D87" s="71" t="s">
        <v>560</v>
      </c>
      <c r="E87" s="22">
        <f t="shared" ca="1" si="10"/>
        <v>40951</v>
      </c>
      <c r="F87" s="11">
        <f>DATE(61,9,24)</f>
        <v>22548</v>
      </c>
      <c r="G87" s="12">
        <f t="shared" ca="1" si="6"/>
        <v>51</v>
      </c>
      <c r="H87" s="12">
        <f t="shared" ca="1" si="7"/>
        <v>-7</v>
      </c>
      <c r="I87" s="13">
        <f t="shared" ca="1" si="8"/>
        <v>-12</v>
      </c>
      <c r="J87" s="14">
        <f t="shared" ca="1" si="11"/>
        <v>50</v>
      </c>
      <c r="K87" s="12" t="s">
        <v>41</v>
      </c>
      <c r="L87" s="15">
        <v>7</v>
      </c>
      <c r="M87" s="25" t="s">
        <v>40</v>
      </c>
      <c r="N87">
        <v>20</v>
      </c>
    </row>
    <row r="88" spans="1:14">
      <c r="A88" s="25">
        <f t="shared" si="9"/>
        <v>87</v>
      </c>
      <c r="B88" s="67" t="s">
        <v>1</v>
      </c>
      <c r="C88" s="71" t="s">
        <v>392</v>
      </c>
      <c r="D88" s="71" t="s">
        <v>560</v>
      </c>
      <c r="E88" s="22">
        <f t="shared" ca="1" si="10"/>
        <v>40951</v>
      </c>
      <c r="F88" s="46">
        <f>DATE(81,9,24)</f>
        <v>29853</v>
      </c>
      <c r="G88" s="12">
        <f t="shared" ca="1" si="6"/>
        <v>31</v>
      </c>
      <c r="H88" s="12">
        <f t="shared" ca="1" si="7"/>
        <v>-7</v>
      </c>
      <c r="I88" s="13">
        <f t="shared" ca="1" si="8"/>
        <v>-12</v>
      </c>
      <c r="J88" s="14">
        <f t="shared" ca="1" si="11"/>
        <v>30</v>
      </c>
      <c r="K88" s="12" t="s">
        <v>40</v>
      </c>
      <c r="L88" s="15">
        <v>7</v>
      </c>
      <c r="M88" s="25" t="s">
        <v>44</v>
      </c>
      <c r="N88">
        <v>20</v>
      </c>
    </row>
    <row r="89" spans="1:14" ht="15.75" thickBot="1">
      <c r="A89" s="26">
        <f t="shared" si="9"/>
        <v>88</v>
      </c>
      <c r="B89" s="68" t="s">
        <v>1</v>
      </c>
      <c r="C89" s="73" t="s">
        <v>324</v>
      </c>
      <c r="D89" s="71" t="s">
        <v>560</v>
      </c>
      <c r="E89" s="23">
        <f t="shared" ca="1" si="10"/>
        <v>40951</v>
      </c>
      <c r="F89" s="16">
        <f>DATE(2002,12,29)</f>
        <v>37619</v>
      </c>
      <c r="G89" s="17">
        <f t="shared" ref="G89:G152" ca="1" si="12">YEAR(E89)-YEAR(F89)</f>
        <v>10</v>
      </c>
      <c r="H89" s="17">
        <f t="shared" ref="H89:H152" ca="1" si="13">MONTH(E89)-MONTH(F89)</f>
        <v>-10</v>
      </c>
      <c r="I89" s="18">
        <f t="shared" ref="I89:I152" ca="1" si="14">DAY(E89)-DAY(F89)</f>
        <v>-17</v>
      </c>
      <c r="J89" s="19">
        <f t="shared" ca="1" si="11"/>
        <v>9</v>
      </c>
      <c r="K89" s="17" t="s">
        <v>41</v>
      </c>
      <c r="L89" s="20">
        <v>7</v>
      </c>
      <c r="M89" s="26" t="s">
        <v>44</v>
      </c>
      <c r="N89">
        <v>20</v>
      </c>
    </row>
    <row r="90" spans="1:14">
      <c r="A90" s="24">
        <f t="shared" si="9"/>
        <v>89</v>
      </c>
      <c r="B90" s="66" t="s">
        <v>1</v>
      </c>
      <c r="C90" s="72" t="s">
        <v>277</v>
      </c>
      <c r="D90" s="72" t="s">
        <v>82</v>
      </c>
      <c r="E90" s="21">
        <f t="shared" ca="1" si="10"/>
        <v>40951</v>
      </c>
      <c r="F90" s="6">
        <f>DATE(58,5,22)</f>
        <v>21327</v>
      </c>
      <c r="G90" s="7">
        <f t="shared" ca="1" si="12"/>
        <v>54</v>
      </c>
      <c r="H90" s="7">
        <f t="shared" ca="1" si="13"/>
        <v>-3</v>
      </c>
      <c r="I90" s="8">
        <f t="shared" ca="1" si="14"/>
        <v>-10</v>
      </c>
      <c r="J90" s="9">
        <f t="shared" ca="1" si="11"/>
        <v>53</v>
      </c>
      <c r="K90" s="7" t="s">
        <v>40</v>
      </c>
      <c r="L90" s="10">
        <v>8</v>
      </c>
      <c r="M90" s="24" t="s">
        <v>40</v>
      </c>
      <c r="N90">
        <v>21</v>
      </c>
    </row>
    <row r="91" spans="1:14">
      <c r="A91" s="25">
        <f t="shared" si="9"/>
        <v>90</v>
      </c>
      <c r="B91" s="67" t="s">
        <v>1</v>
      </c>
      <c r="C91" s="71" t="s">
        <v>1054</v>
      </c>
      <c r="D91" s="71" t="s">
        <v>1055</v>
      </c>
      <c r="E91" s="22">
        <f t="shared" ca="1" si="10"/>
        <v>40951</v>
      </c>
      <c r="F91" s="11">
        <f>DATE(58,12,19)</f>
        <v>21538</v>
      </c>
      <c r="G91" s="12">
        <f t="shared" ca="1" si="12"/>
        <v>54</v>
      </c>
      <c r="H91" s="12">
        <f t="shared" ca="1" si="13"/>
        <v>-10</v>
      </c>
      <c r="I91" s="13">
        <f t="shared" ca="1" si="14"/>
        <v>-7</v>
      </c>
      <c r="J91" s="14">
        <f t="shared" ca="1" si="11"/>
        <v>53</v>
      </c>
      <c r="K91" s="12" t="s">
        <v>41</v>
      </c>
      <c r="L91" s="15">
        <v>8</v>
      </c>
      <c r="M91" s="25" t="s">
        <v>40</v>
      </c>
      <c r="N91">
        <v>21</v>
      </c>
    </row>
    <row r="92" spans="1:14">
      <c r="A92" s="25">
        <f t="shared" si="9"/>
        <v>91</v>
      </c>
      <c r="B92" s="67" t="s">
        <v>1</v>
      </c>
      <c r="C92" s="71" t="s">
        <v>160</v>
      </c>
      <c r="D92" s="71" t="s">
        <v>277</v>
      </c>
      <c r="E92" s="22">
        <f t="shared" ca="1" si="10"/>
        <v>40951</v>
      </c>
      <c r="F92" s="11">
        <f>DATE(87,8,16)</f>
        <v>32005</v>
      </c>
      <c r="G92" s="12">
        <f t="shared" ca="1" si="12"/>
        <v>25</v>
      </c>
      <c r="H92" s="12">
        <f t="shared" ca="1" si="13"/>
        <v>-6</v>
      </c>
      <c r="I92" s="13">
        <f t="shared" ca="1" si="14"/>
        <v>-4</v>
      </c>
      <c r="J92" s="14">
        <f t="shared" ca="1" si="11"/>
        <v>24</v>
      </c>
      <c r="K92" s="12" t="s">
        <v>41</v>
      </c>
      <c r="L92" s="15">
        <v>8</v>
      </c>
      <c r="M92" s="25" t="s">
        <v>44</v>
      </c>
      <c r="N92">
        <v>21</v>
      </c>
    </row>
    <row r="93" spans="1:14" ht="15.75" thickBot="1">
      <c r="A93" s="26">
        <f t="shared" si="9"/>
        <v>92</v>
      </c>
      <c r="B93" s="68" t="s">
        <v>1</v>
      </c>
      <c r="C93" s="73" t="s">
        <v>1056</v>
      </c>
      <c r="D93" s="73" t="s">
        <v>277</v>
      </c>
      <c r="E93" s="23">
        <f t="shared" ca="1" si="10"/>
        <v>40951</v>
      </c>
      <c r="F93" s="16">
        <f>DATE(90,9,27)</f>
        <v>33143</v>
      </c>
      <c r="G93" s="17">
        <f t="shared" ca="1" si="12"/>
        <v>22</v>
      </c>
      <c r="H93" s="17">
        <f t="shared" ca="1" si="13"/>
        <v>-7</v>
      </c>
      <c r="I93" s="18">
        <f t="shared" ca="1" si="14"/>
        <v>-15</v>
      </c>
      <c r="J93" s="19">
        <f t="shared" ca="1" si="11"/>
        <v>21</v>
      </c>
      <c r="K93" s="17" t="s">
        <v>40</v>
      </c>
      <c r="L93" s="20">
        <v>8</v>
      </c>
      <c r="M93" s="26" t="s">
        <v>44</v>
      </c>
      <c r="N93">
        <v>21</v>
      </c>
    </row>
    <row r="94" spans="1:14">
      <c r="A94" s="24">
        <f t="shared" ref="A94:A157" si="15">A93+1</f>
        <v>93</v>
      </c>
      <c r="B94" s="66" t="s">
        <v>1</v>
      </c>
      <c r="C94" s="72" t="s">
        <v>277</v>
      </c>
      <c r="D94" s="72" t="s">
        <v>1057</v>
      </c>
      <c r="E94" s="21">
        <f t="shared" ref="E94:E159" ca="1" si="16">TODAY()</f>
        <v>40951</v>
      </c>
      <c r="F94" s="6">
        <f>DATE(57,9,17)</f>
        <v>21080</v>
      </c>
      <c r="G94" s="7">
        <f t="shared" ca="1" si="12"/>
        <v>55</v>
      </c>
      <c r="H94" s="7">
        <f t="shared" ca="1" si="13"/>
        <v>-7</v>
      </c>
      <c r="I94" s="8">
        <f t="shared" ca="1" si="14"/>
        <v>-5</v>
      </c>
      <c r="J94" s="9">
        <f t="shared" ca="1" si="11"/>
        <v>54</v>
      </c>
      <c r="K94" s="7" t="s">
        <v>40</v>
      </c>
      <c r="L94" s="10">
        <v>8</v>
      </c>
      <c r="M94" s="24" t="s">
        <v>40</v>
      </c>
      <c r="N94">
        <v>22</v>
      </c>
    </row>
    <row r="95" spans="1:14">
      <c r="A95" s="25">
        <f t="shared" si="15"/>
        <v>94</v>
      </c>
      <c r="B95" s="67" t="s">
        <v>1</v>
      </c>
      <c r="C95" s="71" t="s">
        <v>487</v>
      </c>
      <c r="D95" s="71" t="s">
        <v>277</v>
      </c>
      <c r="E95" s="22">
        <f t="shared" ca="1" si="16"/>
        <v>40951</v>
      </c>
      <c r="F95" s="11">
        <f>DATE(65,7,18)</f>
        <v>23941</v>
      </c>
      <c r="G95" s="12">
        <f t="shared" ca="1" si="12"/>
        <v>47</v>
      </c>
      <c r="H95" s="12">
        <f t="shared" ca="1" si="13"/>
        <v>-5</v>
      </c>
      <c r="I95" s="13">
        <f t="shared" ca="1" si="14"/>
        <v>-6</v>
      </c>
      <c r="J95" s="14">
        <f t="shared" ca="1" si="11"/>
        <v>46</v>
      </c>
      <c r="K95" s="12" t="s">
        <v>41</v>
      </c>
      <c r="L95" s="15">
        <v>8</v>
      </c>
      <c r="M95" s="25" t="s">
        <v>40</v>
      </c>
      <c r="N95">
        <v>22</v>
      </c>
    </row>
    <row r="96" spans="1:14">
      <c r="A96" s="25">
        <f t="shared" si="15"/>
        <v>95</v>
      </c>
      <c r="B96" s="67" t="s">
        <v>1</v>
      </c>
      <c r="C96" s="71" t="s">
        <v>1058</v>
      </c>
      <c r="D96" s="71" t="s">
        <v>277</v>
      </c>
      <c r="E96" s="22">
        <f t="shared" ca="1" si="16"/>
        <v>40951</v>
      </c>
      <c r="F96" s="11">
        <f>DATE(90,7,12)</f>
        <v>33066</v>
      </c>
      <c r="G96" s="12">
        <f t="shared" ca="1" si="12"/>
        <v>22</v>
      </c>
      <c r="H96" s="12">
        <f t="shared" ca="1" si="13"/>
        <v>-5</v>
      </c>
      <c r="I96" s="13">
        <f t="shared" ca="1" si="14"/>
        <v>0</v>
      </c>
      <c r="J96" s="14">
        <f t="shared" ca="1" si="11"/>
        <v>21</v>
      </c>
      <c r="K96" s="12" t="s">
        <v>40</v>
      </c>
      <c r="L96" s="15">
        <v>8</v>
      </c>
      <c r="M96" s="25" t="s">
        <v>44</v>
      </c>
      <c r="N96">
        <v>22</v>
      </c>
    </row>
    <row r="97" spans="1:14" ht="15.75" thickBot="1">
      <c r="A97" s="26">
        <f t="shared" si="15"/>
        <v>96</v>
      </c>
      <c r="B97" s="68" t="s">
        <v>1</v>
      </c>
      <c r="C97" s="73" t="s">
        <v>589</v>
      </c>
      <c r="D97" s="73" t="s">
        <v>277</v>
      </c>
      <c r="E97" s="23">
        <f t="shared" ca="1" si="16"/>
        <v>40951</v>
      </c>
      <c r="F97" s="16">
        <f>DATE(94,4,9)</f>
        <v>34433</v>
      </c>
      <c r="G97" s="17">
        <f t="shared" ca="1" si="12"/>
        <v>18</v>
      </c>
      <c r="H97" s="17">
        <f t="shared" ca="1" si="13"/>
        <v>-2</v>
      </c>
      <c r="I97" s="18">
        <f t="shared" ca="1" si="14"/>
        <v>3</v>
      </c>
      <c r="J97" s="19">
        <f t="shared" ca="1" si="11"/>
        <v>17</v>
      </c>
      <c r="K97" s="17" t="s">
        <v>40</v>
      </c>
      <c r="L97" s="20">
        <v>8</v>
      </c>
      <c r="M97" s="26" t="s">
        <v>44</v>
      </c>
      <c r="N97">
        <v>22</v>
      </c>
    </row>
    <row r="98" spans="1:14">
      <c r="A98" s="24">
        <f t="shared" si="15"/>
        <v>97</v>
      </c>
      <c r="B98" s="66" t="s">
        <v>1</v>
      </c>
      <c r="C98" s="72" t="s">
        <v>1059</v>
      </c>
      <c r="D98" s="72" t="s">
        <v>356</v>
      </c>
      <c r="E98" s="21">
        <f t="shared" ca="1" si="16"/>
        <v>40951</v>
      </c>
      <c r="F98" s="6">
        <f>DATE(39,7,4)</f>
        <v>14430</v>
      </c>
      <c r="G98" s="7">
        <f t="shared" ca="1" si="12"/>
        <v>73</v>
      </c>
      <c r="H98" s="7">
        <f t="shared" ca="1" si="13"/>
        <v>-5</v>
      </c>
      <c r="I98" s="8">
        <f t="shared" ca="1" si="14"/>
        <v>8</v>
      </c>
      <c r="J98" s="9">
        <f t="shared" ca="1" si="11"/>
        <v>72</v>
      </c>
      <c r="K98" s="7" t="s">
        <v>40</v>
      </c>
      <c r="L98" s="10">
        <v>8</v>
      </c>
      <c r="M98" s="24" t="s">
        <v>40</v>
      </c>
      <c r="N98">
        <v>23</v>
      </c>
    </row>
    <row r="99" spans="1:14">
      <c r="A99" s="25">
        <f t="shared" si="15"/>
        <v>98</v>
      </c>
      <c r="B99" s="67" t="s">
        <v>1</v>
      </c>
      <c r="C99" s="71" t="s">
        <v>395</v>
      </c>
      <c r="D99" s="71" t="s">
        <v>1059</v>
      </c>
      <c r="E99" s="22">
        <f t="shared" ca="1" si="16"/>
        <v>40951</v>
      </c>
      <c r="F99" s="11">
        <f>DATE(49,6,27)</f>
        <v>18076</v>
      </c>
      <c r="G99" s="12">
        <f t="shared" ca="1" si="12"/>
        <v>63</v>
      </c>
      <c r="H99" s="12">
        <f t="shared" ca="1" si="13"/>
        <v>-4</v>
      </c>
      <c r="I99" s="13">
        <f t="shared" ca="1" si="14"/>
        <v>-15</v>
      </c>
      <c r="J99" s="14">
        <f t="shared" ca="1" si="11"/>
        <v>62</v>
      </c>
      <c r="K99" s="12" t="s">
        <v>41</v>
      </c>
      <c r="L99" s="15">
        <v>8</v>
      </c>
      <c r="M99" s="25" t="s">
        <v>40</v>
      </c>
      <c r="N99">
        <v>23</v>
      </c>
    </row>
    <row r="100" spans="1:14">
      <c r="A100" s="25">
        <f t="shared" si="15"/>
        <v>99</v>
      </c>
      <c r="B100" s="67" t="s">
        <v>1</v>
      </c>
      <c r="C100" s="71" t="s">
        <v>1060</v>
      </c>
      <c r="D100" s="71" t="s">
        <v>1059</v>
      </c>
      <c r="E100" s="22">
        <f t="shared" ca="1" si="16"/>
        <v>40951</v>
      </c>
      <c r="F100" s="11">
        <f>DATE(67,9,14)</f>
        <v>24729</v>
      </c>
      <c r="G100" s="12">
        <f t="shared" ca="1" si="12"/>
        <v>45</v>
      </c>
      <c r="H100" s="12">
        <f t="shared" ca="1" si="13"/>
        <v>-7</v>
      </c>
      <c r="I100" s="13">
        <f t="shared" ca="1" si="14"/>
        <v>-2</v>
      </c>
      <c r="J100" s="14">
        <f t="shared" ca="1" si="11"/>
        <v>44</v>
      </c>
      <c r="K100" s="12" t="s">
        <v>40</v>
      </c>
      <c r="L100" s="15">
        <v>8</v>
      </c>
      <c r="M100" s="25" t="s">
        <v>40</v>
      </c>
      <c r="N100">
        <v>23</v>
      </c>
    </row>
    <row r="101" spans="1:14">
      <c r="A101" s="25">
        <f t="shared" si="15"/>
        <v>100</v>
      </c>
      <c r="B101" s="67" t="s">
        <v>1</v>
      </c>
      <c r="C101" s="71" t="s">
        <v>288</v>
      </c>
      <c r="D101" s="71" t="s">
        <v>1060</v>
      </c>
      <c r="E101" s="22">
        <f t="shared" ca="1" si="16"/>
        <v>40951</v>
      </c>
      <c r="F101" s="11">
        <f>DATE(73,12,18)</f>
        <v>27016</v>
      </c>
      <c r="G101" s="12">
        <f t="shared" ca="1" si="12"/>
        <v>39</v>
      </c>
      <c r="H101" s="12">
        <f t="shared" ca="1" si="13"/>
        <v>-10</v>
      </c>
      <c r="I101" s="13">
        <f t="shared" ca="1" si="14"/>
        <v>-6</v>
      </c>
      <c r="J101" s="14">
        <f t="shared" ca="1" si="11"/>
        <v>38</v>
      </c>
      <c r="K101" s="12" t="s">
        <v>41</v>
      </c>
      <c r="L101" s="15">
        <v>8</v>
      </c>
      <c r="M101" s="25" t="s">
        <v>40</v>
      </c>
      <c r="N101">
        <v>23</v>
      </c>
    </row>
    <row r="102" spans="1:14">
      <c r="A102" s="25">
        <f t="shared" si="15"/>
        <v>101</v>
      </c>
      <c r="B102" s="67" t="s">
        <v>1</v>
      </c>
      <c r="C102" s="71" t="s">
        <v>1061</v>
      </c>
      <c r="D102" s="71" t="s">
        <v>1060</v>
      </c>
      <c r="E102" s="22">
        <f t="shared" ca="1" si="16"/>
        <v>40951</v>
      </c>
      <c r="F102" s="11">
        <f>DATE(96,10,27)</f>
        <v>35365</v>
      </c>
      <c r="G102" s="12">
        <f t="shared" ca="1" si="12"/>
        <v>16</v>
      </c>
      <c r="H102" s="12">
        <f t="shared" ca="1" si="13"/>
        <v>-8</v>
      </c>
      <c r="I102" s="13">
        <f t="shared" ca="1" si="14"/>
        <v>-15</v>
      </c>
      <c r="J102" s="14">
        <f t="shared" ca="1" si="11"/>
        <v>15</v>
      </c>
      <c r="K102" s="12" t="s">
        <v>40</v>
      </c>
      <c r="L102" s="15">
        <v>8</v>
      </c>
      <c r="M102" s="25" t="s">
        <v>44</v>
      </c>
      <c r="N102">
        <v>23</v>
      </c>
    </row>
    <row r="103" spans="1:14" ht="15.75" thickBot="1">
      <c r="A103" s="26">
        <f t="shared" si="15"/>
        <v>102</v>
      </c>
      <c r="B103" s="68" t="s">
        <v>1</v>
      </c>
      <c r="C103" s="73" t="s">
        <v>1062</v>
      </c>
      <c r="D103" s="73" t="s">
        <v>1060</v>
      </c>
      <c r="E103" s="23">
        <f t="shared" ca="1" si="16"/>
        <v>40951</v>
      </c>
      <c r="F103" s="16">
        <f>DATE(91,12,16)</f>
        <v>33588</v>
      </c>
      <c r="G103" s="17">
        <f t="shared" ca="1" si="12"/>
        <v>21</v>
      </c>
      <c r="H103" s="17">
        <f t="shared" ca="1" si="13"/>
        <v>-10</v>
      </c>
      <c r="I103" s="18">
        <f t="shared" ca="1" si="14"/>
        <v>-4</v>
      </c>
      <c r="J103" s="19">
        <f t="shared" ca="1" si="11"/>
        <v>20</v>
      </c>
      <c r="K103" s="17" t="s">
        <v>41</v>
      </c>
      <c r="L103" s="20">
        <v>8</v>
      </c>
      <c r="M103" s="26" t="s">
        <v>44</v>
      </c>
      <c r="N103">
        <v>23</v>
      </c>
    </row>
    <row r="104" spans="1:14">
      <c r="A104" s="24">
        <f t="shared" si="15"/>
        <v>103</v>
      </c>
      <c r="B104" s="66" t="s">
        <v>1</v>
      </c>
      <c r="C104" s="72" t="s">
        <v>1063</v>
      </c>
      <c r="D104" s="72" t="s">
        <v>700</v>
      </c>
      <c r="E104" s="21">
        <f t="shared" ca="1" si="16"/>
        <v>40951</v>
      </c>
      <c r="F104" s="6">
        <f>DATE(51,10,24)</f>
        <v>18925</v>
      </c>
      <c r="G104" s="7">
        <f t="shared" ca="1" si="12"/>
        <v>61</v>
      </c>
      <c r="H104" s="7">
        <f t="shared" ca="1" si="13"/>
        <v>-8</v>
      </c>
      <c r="I104" s="8">
        <f t="shared" ca="1" si="14"/>
        <v>-12</v>
      </c>
      <c r="J104" s="9">
        <f t="shared" ca="1" si="11"/>
        <v>60</v>
      </c>
      <c r="K104" s="7" t="s">
        <v>40</v>
      </c>
      <c r="L104" s="10">
        <v>9</v>
      </c>
      <c r="M104" s="24" t="s">
        <v>40</v>
      </c>
      <c r="N104">
        <v>24</v>
      </c>
    </row>
    <row r="105" spans="1:14">
      <c r="A105" s="25">
        <f t="shared" si="15"/>
        <v>104</v>
      </c>
      <c r="B105" s="67" t="s">
        <v>1</v>
      </c>
      <c r="C105" s="71" t="s">
        <v>768</v>
      </c>
      <c r="D105" s="71" t="s">
        <v>1063</v>
      </c>
      <c r="E105" s="22">
        <f t="shared" ca="1" si="16"/>
        <v>40951</v>
      </c>
      <c r="F105" s="11">
        <f>DATE(58,8,12)</f>
        <v>21409</v>
      </c>
      <c r="G105" s="12">
        <f t="shared" ca="1" si="12"/>
        <v>54</v>
      </c>
      <c r="H105" s="12">
        <f t="shared" ca="1" si="13"/>
        <v>-6</v>
      </c>
      <c r="I105" s="13">
        <f t="shared" ca="1" si="14"/>
        <v>0</v>
      </c>
      <c r="J105" s="14">
        <f t="shared" ca="1" si="11"/>
        <v>53</v>
      </c>
      <c r="K105" s="12" t="s">
        <v>41</v>
      </c>
      <c r="L105" s="15">
        <v>9</v>
      </c>
      <c r="M105" s="25" t="s">
        <v>40</v>
      </c>
      <c r="N105">
        <v>24</v>
      </c>
    </row>
    <row r="106" spans="1:14">
      <c r="A106" s="25">
        <f t="shared" si="15"/>
        <v>105</v>
      </c>
      <c r="B106" s="67" t="s">
        <v>1</v>
      </c>
      <c r="C106" s="71" t="s">
        <v>857</v>
      </c>
      <c r="D106" s="71" t="s">
        <v>1063</v>
      </c>
      <c r="E106" s="22">
        <f t="shared" ca="1" si="16"/>
        <v>40951</v>
      </c>
      <c r="F106" s="11">
        <f>DATE(77,4,18)</f>
        <v>28233</v>
      </c>
      <c r="G106" s="12">
        <f t="shared" ca="1" si="12"/>
        <v>35</v>
      </c>
      <c r="H106" s="12">
        <f t="shared" ca="1" si="13"/>
        <v>-2</v>
      </c>
      <c r="I106" s="13">
        <f t="shared" ca="1" si="14"/>
        <v>-6</v>
      </c>
      <c r="J106" s="14">
        <f t="shared" ca="1" si="11"/>
        <v>34</v>
      </c>
      <c r="K106" s="12" t="s">
        <v>40</v>
      </c>
      <c r="L106" s="15">
        <v>9</v>
      </c>
      <c r="M106" s="25" t="s">
        <v>40</v>
      </c>
      <c r="N106">
        <v>24</v>
      </c>
    </row>
    <row r="107" spans="1:14" ht="15.75" thickBot="1">
      <c r="A107" s="26">
        <f t="shared" si="15"/>
        <v>106</v>
      </c>
      <c r="B107" s="68" t="s">
        <v>1</v>
      </c>
      <c r="C107" s="73" t="s">
        <v>125</v>
      </c>
      <c r="D107" s="73" t="s">
        <v>857</v>
      </c>
      <c r="E107" s="23">
        <f t="shared" ca="1" si="16"/>
        <v>40951</v>
      </c>
      <c r="F107" s="33"/>
      <c r="G107" s="17">
        <f t="shared" ca="1" si="12"/>
        <v>112</v>
      </c>
      <c r="H107" s="17">
        <f t="shared" ca="1" si="13"/>
        <v>1</v>
      </c>
      <c r="I107" s="18">
        <f t="shared" ca="1" si="14"/>
        <v>12</v>
      </c>
      <c r="J107" s="19">
        <f t="shared" ca="1" si="11"/>
        <v>112</v>
      </c>
      <c r="K107" s="17" t="s">
        <v>41</v>
      </c>
      <c r="L107" s="20">
        <v>9</v>
      </c>
      <c r="M107" s="26" t="s">
        <v>40</v>
      </c>
      <c r="N107">
        <v>24</v>
      </c>
    </row>
    <row r="108" spans="1:14" ht="15.75" thickBot="1">
      <c r="A108" s="43">
        <f t="shared" si="15"/>
        <v>107</v>
      </c>
      <c r="B108" s="69" t="s">
        <v>1</v>
      </c>
      <c r="C108" s="74" t="s">
        <v>569</v>
      </c>
      <c r="D108" s="74" t="s">
        <v>1064</v>
      </c>
      <c r="E108" s="37">
        <f t="shared" ca="1" si="16"/>
        <v>40951</v>
      </c>
      <c r="F108" s="38">
        <f>DATE(74,10,23)</f>
        <v>27325</v>
      </c>
      <c r="G108" s="39">
        <f t="shared" ca="1" si="12"/>
        <v>38</v>
      </c>
      <c r="H108" s="39">
        <f t="shared" ca="1" si="13"/>
        <v>-8</v>
      </c>
      <c r="I108" s="40">
        <f t="shared" ca="1" si="14"/>
        <v>-11</v>
      </c>
      <c r="J108" s="41">
        <f t="shared" ca="1" si="11"/>
        <v>37</v>
      </c>
      <c r="K108" s="39" t="s">
        <v>40</v>
      </c>
      <c r="L108" s="42">
        <v>9</v>
      </c>
      <c r="M108" s="43" t="s">
        <v>40</v>
      </c>
      <c r="N108">
        <v>25</v>
      </c>
    </row>
    <row r="109" spans="1:14">
      <c r="A109" s="24">
        <f t="shared" si="15"/>
        <v>108</v>
      </c>
      <c r="B109" s="66" t="s">
        <v>1</v>
      </c>
      <c r="C109" s="72" t="s">
        <v>1065</v>
      </c>
      <c r="D109" s="72" t="s">
        <v>733</v>
      </c>
      <c r="E109" s="21">
        <f t="shared" ca="1" si="16"/>
        <v>40951</v>
      </c>
      <c r="F109" s="6">
        <f>DATE(56,7,18)</f>
        <v>20654</v>
      </c>
      <c r="G109" s="7">
        <f t="shared" ca="1" si="12"/>
        <v>56</v>
      </c>
      <c r="H109" s="7">
        <f t="shared" ca="1" si="13"/>
        <v>-5</v>
      </c>
      <c r="I109" s="8">
        <f t="shared" ca="1" si="14"/>
        <v>-6</v>
      </c>
      <c r="J109" s="9">
        <f t="shared" ca="1" si="11"/>
        <v>55</v>
      </c>
      <c r="K109" s="7" t="s">
        <v>40</v>
      </c>
      <c r="L109" s="10">
        <v>9</v>
      </c>
      <c r="M109" s="24" t="s">
        <v>40</v>
      </c>
      <c r="N109">
        <v>26</v>
      </c>
    </row>
    <row r="110" spans="1:14">
      <c r="A110" s="25">
        <f t="shared" si="15"/>
        <v>109</v>
      </c>
      <c r="B110" s="67" t="s">
        <v>1</v>
      </c>
      <c r="C110" s="71" t="s">
        <v>113</v>
      </c>
      <c r="D110" s="71" t="s">
        <v>1066</v>
      </c>
      <c r="E110" s="22">
        <f t="shared" ca="1" si="16"/>
        <v>40951</v>
      </c>
      <c r="F110" s="11">
        <f>DATE(57,1,22)</f>
        <v>20842</v>
      </c>
      <c r="G110" s="12">
        <f t="shared" ca="1" si="12"/>
        <v>55</v>
      </c>
      <c r="H110" s="12">
        <f t="shared" ca="1" si="13"/>
        <v>1</v>
      </c>
      <c r="I110" s="13">
        <f t="shared" ca="1" si="14"/>
        <v>-10</v>
      </c>
      <c r="J110" s="14">
        <f t="shared" ca="1" si="11"/>
        <v>55</v>
      </c>
      <c r="K110" s="12" t="s">
        <v>41</v>
      </c>
      <c r="L110" s="15">
        <v>9</v>
      </c>
      <c r="M110" s="25" t="s">
        <v>40</v>
      </c>
      <c r="N110">
        <v>26</v>
      </c>
    </row>
    <row r="111" spans="1:14">
      <c r="A111" s="25">
        <f t="shared" si="15"/>
        <v>110</v>
      </c>
      <c r="B111" s="67" t="s">
        <v>1</v>
      </c>
      <c r="C111" s="71" t="s">
        <v>1067</v>
      </c>
      <c r="D111" s="71" t="s">
        <v>1065</v>
      </c>
      <c r="E111" s="22">
        <f t="shared" ca="1" si="16"/>
        <v>40951</v>
      </c>
      <c r="F111" s="11">
        <f>DATE(82,4,30)</f>
        <v>30071</v>
      </c>
      <c r="G111" s="12">
        <f t="shared" ca="1" si="12"/>
        <v>30</v>
      </c>
      <c r="H111" s="12">
        <f t="shared" ca="1" si="13"/>
        <v>-2</v>
      </c>
      <c r="I111" s="13">
        <f t="shared" ca="1" si="14"/>
        <v>-18</v>
      </c>
      <c r="J111" s="14">
        <f t="shared" ca="1" si="11"/>
        <v>29</v>
      </c>
      <c r="K111" s="12" t="s">
        <v>40</v>
      </c>
      <c r="L111" s="15">
        <v>9</v>
      </c>
      <c r="M111" s="25" t="s">
        <v>44</v>
      </c>
      <c r="N111">
        <v>26</v>
      </c>
    </row>
    <row r="112" spans="1:14" ht="15.75" thickBot="1">
      <c r="A112" s="26">
        <f t="shared" si="15"/>
        <v>111</v>
      </c>
      <c r="B112" s="68" t="s">
        <v>1</v>
      </c>
      <c r="C112" s="73" t="s">
        <v>543</v>
      </c>
      <c r="D112" s="73" t="s">
        <v>1065</v>
      </c>
      <c r="E112" s="23">
        <f t="shared" ca="1" si="16"/>
        <v>40951</v>
      </c>
      <c r="F112" s="16">
        <f>DATE(85,1,30)</f>
        <v>31077</v>
      </c>
      <c r="G112" s="17">
        <f t="shared" ca="1" si="12"/>
        <v>27</v>
      </c>
      <c r="H112" s="17">
        <f t="shared" ca="1" si="13"/>
        <v>1</v>
      </c>
      <c r="I112" s="18">
        <f t="shared" ca="1" si="14"/>
        <v>-18</v>
      </c>
      <c r="J112" s="19">
        <f t="shared" ca="1" si="11"/>
        <v>27</v>
      </c>
      <c r="K112" s="17" t="s">
        <v>40</v>
      </c>
      <c r="L112" s="20">
        <v>9</v>
      </c>
      <c r="M112" s="26" t="s">
        <v>44</v>
      </c>
      <c r="N112">
        <v>26</v>
      </c>
    </row>
    <row r="113" spans="1:14">
      <c r="A113" s="24">
        <f t="shared" si="15"/>
        <v>112</v>
      </c>
      <c r="B113" s="66" t="s">
        <v>1</v>
      </c>
      <c r="C113" s="72" t="s">
        <v>1068</v>
      </c>
      <c r="D113" s="72" t="s">
        <v>77</v>
      </c>
      <c r="E113" s="21">
        <f t="shared" ca="1" si="16"/>
        <v>40951</v>
      </c>
      <c r="F113" s="6">
        <f>DATE(54,11,15)</f>
        <v>20043</v>
      </c>
      <c r="G113" s="7">
        <f t="shared" ca="1" si="12"/>
        <v>58</v>
      </c>
      <c r="H113" s="7">
        <f t="shared" ca="1" si="13"/>
        <v>-9</v>
      </c>
      <c r="I113" s="8">
        <f t="shared" ca="1" si="14"/>
        <v>-3</v>
      </c>
      <c r="J113" s="9">
        <f t="shared" ca="1" si="11"/>
        <v>57</v>
      </c>
      <c r="K113" s="7" t="s">
        <v>40</v>
      </c>
      <c r="L113" s="10">
        <v>9</v>
      </c>
      <c r="M113" s="24" t="s">
        <v>40</v>
      </c>
      <c r="N113">
        <v>27</v>
      </c>
    </row>
    <row r="114" spans="1:14">
      <c r="A114" s="25">
        <f t="shared" si="15"/>
        <v>113</v>
      </c>
      <c r="B114" s="67" t="s">
        <v>1</v>
      </c>
      <c r="C114" s="71" t="s">
        <v>155</v>
      </c>
      <c r="D114" s="71" t="s">
        <v>1068</v>
      </c>
      <c r="E114" s="22">
        <f t="shared" ca="1" si="16"/>
        <v>40951</v>
      </c>
      <c r="F114" s="11">
        <f>DATE(62,6,28)</f>
        <v>22825</v>
      </c>
      <c r="G114" s="12">
        <f t="shared" ca="1" si="12"/>
        <v>50</v>
      </c>
      <c r="H114" s="12">
        <f t="shared" ca="1" si="13"/>
        <v>-4</v>
      </c>
      <c r="I114" s="13">
        <f t="shared" ca="1" si="14"/>
        <v>-16</v>
      </c>
      <c r="J114" s="14">
        <f t="shared" ca="1" si="11"/>
        <v>49</v>
      </c>
      <c r="K114" s="12" t="s">
        <v>41</v>
      </c>
      <c r="L114" s="15">
        <v>9</v>
      </c>
      <c r="M114" s="25" t="s">
        <v>40</v>
      </c>
      <c r="N114">
        <v>27</v>
      </c>
    </row>
    <row r="115" spans="1:14" ht="15.75" thickBot="1">
      <c r="A115" s="26">
        <f t="shared" si="15"/>
        <v>114</v>
      </c>
      <c r="B115" s="68" t="s">
        <v>1</v>
      </c>
      <c r="C115" s="73" t="s">
        <v>74</v>
      </c>
      <c r="D115" s="73" t="s">
        <v>1068</v>
      </c>
      <c r="E115" s="23">
        <f t="shared" ca="1" si="16"/>
        <v>40951</v>
      </c>
      <c r="F115" s="16">
        <f>DATE(86,8,17)</f>
        <v>31641</v>
      </c>
      <c r="G115" s="17">
        <f t="shared" ca="1" si="12"/>
        <v>26</v>
      </c>
      <c r="H115" s="17">
        <f t="shared" ca="1" si="13"/>
        <v>-6</v>
      </c>
      <c r="I115" s="18">
        <f t="shared" ca="1" si="14"/>
        <v>-5</v>
      </c>
      <c r="J115" s="19">
        <f t="shared" ca="1" si="11"/>
        <v>25</v>
      </c>
      <c r="K115" s="17" t="s">
        <v>41</v>
      </c>
      <c r="L115" s="20">
        <v>9</v>
      </c>
      <c r="M115" s="26" t="s">
        <v>44</v>
      </c>
      <c r="N115">
        <v>27</v>
      </c>
    </row>
    <row r="116" spans="1:14" ht="15.75" thickBot="1">
      <c r="A116" s="43">
        <f t="shared" si="15"/>
        <v>115</v>
      </c>
      <c r="B116" s="69" t="s">
        <v>1</v>
      </c>
      <c r="C116" s="74" t="s">
        <v>503</v>
      </c>
      <c r="D116" s="74" t="s">
        <v>94</v>
      </c>
      <c r="E116" s="37">
        <f t="shared" ca="1" si="16"/>
        <v>40951</v>
      </c>
      <c r="F116" s="47"/>
      <c r="G116" s="39">
        <f t="shared" ca="1" si="12"/>
        <v>112</v>
      </c>
      <c r="H116" s="39">
        <f t="shared" ca="1" si="13"/>
        <v>1</v>
      </c>
      <c r="I116" s="40">
        <f t="shared" ca="1" si="14"/>
        <v>12</v>
      </c>
      <c r="J116" s="41">
        <f t="shared" ca="1" si="11"/>
        <v>112</v>
      </c>
      <c r="K116" s="39" t="s">
        <v>41</v>
      </c>
      <c r="L116" s="42">
        <v>10</v>
      </c>
      <c r="M116" s="43" t="s">
        <v>40</v>
      </c>
      <c r="N116">
        <v>28</v>
      </c>
    </row>
    <row r="117" spans="1:14">
      <c r="A117" s="24">
        <f t="shared" si="15"/>
        <v>116</v>
      </c>
      <c r="B117" s="66" t="s">
        <v>1</v>
      </c>
      <c r="C117" s="72" t="s">
        <v>348</v>
      </c>
      <c r="D117" s="72" t="s">
        <v>1069</v>
      </c>
      <c r="E117" s="21">
        <f t="shared" ca="1" si="16"/>
        <v>40951</v>
      </c>
      <c r="F117" s="6">
        <f>DATE(63,8,16)</f>
        <v>23239</v>
      </c>
      <c r="G117" s="7">
        <f t="shared" ca="1" si="12"/>
        <v>49</v>
      </c>
      <c r="H117" s="7">
        <f t="shared" ca="1" si="13"/>
        <v>-6</v>
      </c>
      <c r="I117" s="8">
        <f t="shared" ca="1" si="14"/>
        <v>-4</v>
      </c>
      <c r="J117" s="9">
        <f t="shared" ca="1" si="11"/>
        <v>48</v>
      </c>
      <c r="K117" s="7" t="s">
        <v>40</v>
      </c>
      <c r="L117" s="10">
        <v>10</v>
      </c>
      <c r="M117" s="24" t="s">
        <v>40</v>
      </c>
      <c r="N117">
        <v>29</v>
      </c>
    </row>
    <row r="118" spans="1:14">
      <c r="A118" s="25">
        <f t="shared" si="15"/>
        <v>117</v>
      </c>
      <c r="B118" s="67" t="s">
        <v>1</v>
      </c>
      <c r="C118" s="71" t="s">
        <v>458</v>
      </c>
      <c r="D118" s="71" t="s">
        <v>348</v>
      </c>
      <c r="E118" s="22">
        <f t="shared" ca="1" si="16"/>
        <v>40951</v>
      </c>
      <c r="F118" s="11">
        <f>DATE(66,5,1)</f>
        <v>24228</v>
      </c>
      <c r="G118" s="12">
        <f t="shared" ca="1" si="12"/>
        <v>46</v>
      </c>
      <c r="H118" s="12">
        <f t="shared" ca="1" si="13"/>
        <v>-3</v>
      </c>
      <c r="I118" s="13">
        <f t="shared" ca="1" si="14"/>
        <v>11</v>
      </c>
      <c r="J118" s="14">
        <f t="shared" ca="1" si="11"/>
        <v>45</v>
      </c>
      <c r="K118" s="12" t="s">
        <v>41</v>
      </c>
      <c r="L118" s="15">
        <v>10</v>
      </c>
      <c r="M118" s="25" t="s">
        <v>40</v>
      </c>
      <c r="N118">
        <v>29</v>
      </c>
    </row>
    <row r="119" spans="1:14">
      <c r="A119" s="25">
        <f t="shared" si="15"/>
        <v>118</v>
      </c>
      <c r="B119" s="67" t="s">
        <v>1</v>
      </c>
      <c r="C119" s="71" t="s">
        <v>403</v>
      </c>
      <c r="D119" s="71" t="s">
        <v>348</v>
      </c>
      <c r="E119" s="22">
        <f t="shared" ca="1" si="16"/>
        <v>40951</v>
      </c>
      <c r="F119" s="11">
        <f>DATE(86,8,12)</f>
        <v>31636</v>
      </c>
      <c r="G119" s="12">
        <f t="shared" ca="1" si="12"/>
        <v>26</v>
      </c>
      <c r="H119" s="12">
        <f t="shared" ca="1" si="13"/>
        <v>-6</v>
      </c>
      <c r="I119" s="13">
        <f t="shared" ca="1" si="14"/>
        <v>0</v>
      </c>
      <c r="J119" s="14">
        <f t="shared" ca="1" si="11"/>
        <v>25</v>
      </c>
      <c r="K119" s="12" t="s">
        <v>41</v>
      </c>
      <c r="L119" s="15">
        <v>10</v>
      </c>
      <c r="M119" s="25" t="s">
        <v>44</v>
      </c>
      <c r="N119">
        <v>29</v>
      </c>
    </row>
    <row r="120" spans="1:14">
      <c r="A120" s="25">
        <f t="shared" si="15"/>
        <v>119</v>
      </c>
      <c r="B120" s="67" t="s">
        <v>1</v>
      </c>
      <c r="C120" s="71" t="s">
        <v>437</v>
      </c>
      <c r="D120" s="71" t="s">
        <v>348</v>
      </c>
      <c r="E120" s="22">
        <f t="shared" ca="1" si="16"/>
        <v>40951</v>
      </c>
      <c r="F120" s="11">
        <f>DATE(87,9,15)</f>
        <v>32035</v>
      </c>
      <c r="G120" s="12">
        <f t="shared" ca="1" si="12"/>
        <v>25</v>
      </c>
      <c r="H120" s="12">
        <f t="shared" ca="1" si="13"/>
        <v>-7</v>
      </c>
      <c r="I120" s="13">
        <f t="shared" ca="1" si="14"/>
        <v>-3</v>
      </c>
      <c r="J120" s="14">
        <f t="shared" ca="1" si="11"/>
        <v>24</v>
      </c>
      <c r="K120" s="12" t="s">
        <v>40</v>
      </c>
      <c r="L120" s="15">
        <v>10</v>
      </c>
      <c r="M120" s="25" t="s">
        <v>44</v>
      </c>
      <c r="N120">
        <v>29</v>
      </c>
    </row>
    <row r="121" spans="1:14" ht="15.75" thickBot="1">
      <c r="A121" s="26">
        <f t="shared" si="15"/>
        <v>120</v>
      </c>
      <c r="B121" s="68" t="s">
        <v>1</v>
      </c>
      <c r="C121" s="73" t="s">
        <v>1070</v>
      </c>
      <c r="D121" s="73" t="s">
        <v>348</v>
      </c>
      <c r="E121" s="23">
        <f t="shared" ca="1" si="16"/>
        <v>40951</v>
      </c>
      <c r="F121" s="16">
        <f>DATE(97,6,15)</f>
        <v>35596</v>
      </c>
      <c r="G121" s="17">
        <f t="shared" ca="1" si="12"/>
        <v>15</v>
      </c>
      <c r="H121" s="17">
        <f t="shared" ca="1" si="13"/>
        <v>-4</v>
      </c>
      <c r="I121" s="18">
        <f t="shared" ca="1" si="14"/>
        <v>-3</v>
      </c>
      <c r="J121" s="19">
        <f t="shared" ca="1" si="11"/>
        <v>14</v>
      </c>
      <c r="K121" s="17" t="s">
        <v>41</v>
      </c>
      <c r="L121" s="20">
        <v>10</v>
      </c>
      <c r="M121" s="26" t="s">
        <v>44</v>
      </c>
      <c r="N121">
        <v>29</v>
      </c>
    </row>
    <row r="122" spans="1:14">
      <c r="A122" s="24">
        <f t="shared" si="15"/>
        <v>121</v>
      </c>
      <c r="B122" s="66" t="s">
        <v>1</v>
      </c>
      <c r="C122" s="72" t="s">
        <v>591</v>
      </c>
      <c r="D122" s="72" t="s">
        <v>94</v>
      </c>
      <c r="E122" s="21">
        <f t="shared" ca="1" si="16"/>
        <v>40951</v>
      </c>
      <c r="F122" s="6">
        <f>DATE(57,9,16)</f>
        <v>21079</v>
      </c>
      <c r="G122" s="7">
        <f t="shared" ca="1" si="12"/>
        <v>55</v>
      </c>
      <c r="H122" s="7">
        <f t="shared" ca="1" si="13"/>
        <v>-7</v>
      </c>
      <c r="I122" s="8">
        <f t="shared" ca="1" si="14"/>
        <v>-4</v>
      </c>
      <c r="J122" s="9">
        <f t="shared" ca="1" si="11"/>
        <v>54</v>
      </c>
      <c r="K122" s="7" t="s">
        <v>40</v>
      </c>
      <c r="L122" s="10">
        <v>10</v>
      </c>
      <c r="M122" s="24" t="s">
        <v>40</v>
      </c>
      <c r="N122">
        <v>30</v>
      </c>
    </row>
    <row r="123" spans="1:14">
      <c r="A123" s="25">
        <f t="shared" si="15"/>
        <v>122</v>
      </c>
      <c r="B123" s="67" t="s">
        <v>1</v>
      </c>
      <c r="C123" s="71" t="s">
        <v>1071</v>
      </c>
      <c r="D123" s="71" t="s">
        <v>591</v>
      </c>
      <c r="E123" s="22">
        <f t="shared" ca="1" si="16"/>
        <v>40951</v>
      </c>
      <c r="F123" s="11">
        <f>DATE(61,7,27)</f>
        <v>22489</v>
      </c>
      <c r="G123" s="12">
        <f t="shared" ca="1" si="12"/>
        <v>51</v>
      </c>
      <c r="H123" s="12">
        <f t="shared" ca="1" si="13"/>
        <v>-5</v>
      </c>
      <c r="I123" s="13">
        <f t="shared" ca="1" si="14"/>
        <v>-15</v>
      </c>
      <c r="J123" s="14">
        <f t="shared" ca="1" si="11"/>
        <v>50</v>
      </c>
      <c r="K123" s="12" t="s">
        <v>41</v>
      </c>
      <c r="L123" s="15">
        <v>10</v>
      </c>
      <c r="M123" s="25" t="s">
        <v>40</v>
      </c>
      <c r="N123">
        <v>30</v>
      </c>
    </row>
    <row r="124" spans="1:14">
      <c r="A124" s="25">
        <f t="shared" si="15"/>
        <v>123</v>
      </c>
      <c r="B124" s="67" t="s">
        <v>1</v>
      </c>
      <c r="C124" s="71" t="s">
        <v>533</v>
      </c>
      <c r="D124" s="71" t="s">
        <v>591</v>
      </c>
      <c r="E124" s="22">
        <f t="shared" ca="1" si="16"/>
        <v>40951</v>
      </c>
      <c r="F124" s="11">
        <f>DATE(84,7,7)</f>
        <v>30870</v>
      </c>
      <c r="G124" s="12">
        <f t="shared" ca="1" si="12"/>
        <v>28</v>
      </c>
      <c r="H124" s="12">
        <f t="shared" ca="1" si="13"/>
        <v>-5</v>
      </c>
      <c r="I124" s="13">
        <f t="shared" ca="1" si="14"/>
        <v>5</v>
      </c>
      <c r="J124" s="14">
        <f t="shared" ca="1" si="11"/>
        <v>27</v>
      </c>
      <c r="K124" s="12" t="s">
        <v>41</v>
      </c>
      <c r="L124" s="15">
        <v>10</v>
      </c>
      <c r="M124" s="25" t="s">
        <v>44</v>
      </c>
      <c r="N124">
        <v>30</v>
      </c>
    </row>
    <row r="125" spans="1:14">
      <c r="A125" s="25">
        <f t="shared" si="15"/>
        <v>124</v>
      </c>
      <c r="B125" s="67" t="s">
        <v>1</v>
      </c>
      <c r="C125" s="71" t="s">
        <v>1072</v>
      </c>
      <c r="D125" s="71" t="s">
        <v>591</v>
      </c>
      <c r="E125" s="22">
        <f t="shared" ca="1" si="16"/>
        <v>40951</v>
      </c>
      <c r="F125" s="11">
        <f>DATE(86,12,1)</f>
        <v>31747</v>
      </c>
      <c r="G125" s="12">
        <f t="shared" ca="1" si="12"/>
        <v>26</v>
      </c>
      <c r="H125" s="12">
        <f t="shared" ca="1" si="13"/>
        <v>-10</v>
      </c>
      <c r="I125" s="13">
        <f t="shared" ca="1" si="14"/>
        <v>11</v>
      </c>
      <c r="J125" s="14">
        <f t="shared" ca="1" si="11"/>
        <v>25</v>
      </c>
      <c r="K125" s="12" t="s">
        <v>41</v>
      </c>
      <c r="L125" s="15">
        <v>10</v>
      </c>
      <c r="M125" s="25" t="s">
        <v>44</v>
      </c>
      <c r="N125">
        <v>30</v>
      </c>
    </row>
    <row r="126" spans="1:14" ht="15.75" thickBot="1">
      <c r="A126" s="26">
        <f t="shared" si="15"/>
        <v>125</v>
      </c>
      <c r="B126" s="68" t="s">
        <v>1</v>
      </c>
      <c r="C126" s="73" t="s">
        <v>741</v>
      </c>
      <c r="D126" s="73" t="s">
        <v>591</v>
      </c>
      <c r="E126" s="23">
        <f t="shared" ca="1" si="16"/>
        <v>40951</v>
      </c>
      <c r="F126" s="16">
        <f>DATE(88,10,14)</f>
        <v>32430</v>
      </c>
      <c r="G126" s="17">
        <f t="shared" ca="1" si="12"/>
        <v>24</v>
      </c>
      <c r="H126" s="17">
        <f t="shared" ca="1" si="13"/>
        <v>-8</v>
      </c>
      <c r="I126" s="18">
        <f t="shared" ca="1" si="14"/>
        <v>-2</v>
      </c>
      <c r="J126" s="19">
        <f t="shared" ca="1" si="11"/>
        <v>23</v>
      </c>
      <c r="K126" s="17" t="s">
        <v>41</v>
      </c>
      <c r="L126" s="20">
        <v>10</v>
      </c>
      <c r="M126" s="26" t="s">
        <v>44</v>
      </c>
      <c r="N126">
        <v>30</v>
      </c>
    </row>
    <row r="127" spans="1:14">
      <c r="A127" s="24">
        <f t="shared" si="15"/>
        <v>126</v>
      </c>
      <c r="B127" s="66" t="s">
        <v>1</v>
      </c>
      <c r="C127" s="66" t="s">
        <v>49</v>
      </c>
      <c r="D127" s="66" t="s">
        <v>50</v>
      </c>
      <c r="E127" s="21">
        <f t="shared" ca="1" si="16"/>
        <v>40951</v>
      </c>
      <c r="F127" s="6">
        <f>DATE(51,9,2)</f>
        <v>18873</v>
      </c>
      <c r="G127" s="7">
        <f t="shared" ca="1" si="12"/>
        <v>61</v>
      </c>
      <c r="H127" s="7">
        <f t="shared" ca="1" si="13"/>
        <v>-7</v>
      </c>
      <c r="I127" s="8">
        <f t="shared" ca="1" si="14"/>
        <v>10</v>
      </c>
      <c r="J127" s="9">
        <f t="shared" ca="1" si="11"/>
        <v>60</v>
      </c>
      <c r="K127" s="7" t="s">
        <v>40</v>
      </c>
      <c r="L127" s="10">
        <v>11</v>
      </c>
      <c r="M127" s="24" t="s">
        <v>40</v>
      </c>
      <c r="N127">
        <v>31</v>
      </c>
    </row>
    <row r="128" spans="1:14">
      <c r="A128" s="25">
        <f t="shared" si="15"/>
        <v>127</v>
      </c>
      <c r="B128" s="67" t="s">
        <v>1</v>
      </c>
      <c r="C128" s="67" t="s">
        <v>51</v>
      </c>
      <c r="D128" s="67" t="s">
        <v>49</v>
      </c>
      <c r="E128" s="22">
        <f t="shared" ca="1" si="16"/>
        <v>40951</v>
      </c>
      <c r="F128" s="11">
        <f>DATE(53,5,8)</f>
        <v>19487</v>
      </c>
      <c r="G128" s="12">
        <f t="shared" ca="1" si="12"/>
        <v>59</v>
      </c>
      <c r="H128" s="12">
        <f t="shared" ca="1" si="13"/>
        <v>-3</v>
      </c>
      <c r="I128" s="13">
        <f t="shared" ca="1" si="14"/>
        <v>4</v>
      </c>
      <c r="J128" s="14">
        <f t="shared" ca="1" si="11"/>
        <v>58</v>
      </c>
      <c r="K128" s="12" t="s">
        <v>41</v>
      </c>
      <c r="L128" s="15">
        <v>11</v>
      </c>
      <c r="M128" s="25" t="s">
        <v>40</v>
      </c>
      <c r="N128">
        <v>31</v>
      </c>
    </row>
    <row r="129" spans="1:14">
      <c r="A129" s="25">
        <f t="shared" si="15"/>
        <v>128</v>
      </c>
      <c r="B129" s="67" t="s">
        <v>1</v>
      </c>
      <c r="C129" s="67" t="s">
        <v>52</v>
      </c>
      <c r="D129" s="67" t="s">
        <v>49</v>
      </c>
      <c r="E129" s="22">
        <f t="shared" ca="1" si="16"/>
        <v>40951</v>
      </c>
      <c r="F129" s="11">
        <f>DATE(84,3,15)</f>
        <v>30756</v>
      </c>
      <c r="G129" s="12">
        <f t="shared" ca="1" si="12"/>
        <v>28</v>
      </c>
      <c r="H129" s="12">
        <f t="shared" ca="1" si="13"/>
        <v>-1</v>
      </c>
      <c r="I129" s="13">
        <f t="shared" ca="1" si="14"/>
        <v>-3</v>
      </c>
      <c r="J129" s="14">
        <f t="shared" ca="1" si="11"/>
        <v>27</v>
      </c>
      <c r="K129" s="12" t="s">
        <v>40</v>
      </c>
      <c r="L129" s="15">
        <v>11</v>
      </c>
      <c r="M129" s="25" t="s">
        <v>44</v>
      </c>
      <c r="N129">
        <v>31</v>
      </c>
    </row>
    <row r="130" spans="1:14">
      <c r="A130" s="25">
        <f t="shared" si="15"/>
        <v>129</v>
      </c>
      <c r="B130" s="67" t="s">
        <v>1</v>
      </c>
      <c r="C130" s="67" t="s">
        <v>53</v>
      </c>
      <c r="D130" s="67" t="s">
        <v>50</v>
      </c>
      <c r="E130" s="22">
        <f t="shared" ca="1" si="16"/>
        <v>40951</v>
      </c>
      <c r="F130" s="11">
        <f>DATE(31,3,11)</f>
        <v>11393</v>
      </c>
      <c r="G130" s="12">
        <f t="shared" ca="1" si="12"/>
        <v>81</v>
      </c>
      <c r="H130" s="12">
        <f t="shared" ca="1" si="13"/>
        <v>-1</v>
      </c>
      <c r="I130" s="13">
        <f t="shared" ca="1" si="14"/>
        <v>1</v>
      </c>
      <c r="J130" s="14">
        <f t="shared" ca="1" si="11"/>
        <v>80</v>
      </c>
      <c r="K130" s="12" t="s">
        <v>41</v>
      </c>
      <c r="L130" s="15">
        <v>11</v>
      </c>
      <c r="M130" s="25" t="s">
        <v>40</v>
      </c>
      <c r="N130">
        <v>31</v>
      </c>
    </row>
    <row r="131" spans="1:14" ht="15.75" thickBot="1">
      <c r="A131" s="26">
        <f t="shared" si="15"/>
        <v>130</v>
      </c>
      <c r="B131" s="68" t="s">
        <v>1</v>
      </c>
      <c r="C131" s="68" t="s">
        <v>54</v>
      </c>
      <c r="D131" s="68" t="s">
        <v>50</v>
      </c>
      <c r="E131" s="23">
        <f t="shared" ca="1" si="16"/>
        <v>40951</v>
      </c>
      <c r="F131" s="16">
        <f>DATE(54,3,13)</f>
        <v>19796</v>
      </c>
      <c r="G131" s="17">
        <f t="shared" ca="1" si="12"/>
        <v>58</v>
      </c>
      <c r="H131" s="17">
        <f t="shared" ca="1" si="13"/>
        <v>-1</v>
      </c>
      <c r="I131" s="18">
        <f t="shared" ca="1" si="14"/>
        <v>-1</v>
      </c>
      <c r="J131" s="19">
        <f t="shared" ref="J131:J194" ca="1" si="17">IF(H131&lt;0,G131-1,IF(H131&gt;0,G131,IF(I131&lt;0,G131-1,G131)))</f>
        <v>57</v>
      </c>
      <c r="K131" s="17" t="s">
        <v>40</v>
      </c>
      <c r="L131" s="20">
        <v>11</v>
      </c>
      <c r="M131" s="26" t="s">
        <v>44</v>
      </c>
      <c r="N131">
        <v>31</v>
      </c>
    </row>
    <row r="132" spans="1:14">
      <c r="A132" s="24">
        <f t="shared" si="15"/>
        <v>131</v>
      </c>
      <c r="B132" s="66" t="s">
        <v>1</v>
      </c>
      <c r="C132" s="66" t="s">
        <v>55</v>
      </c>
      <c r="D132" s="66" t="s">
        <v>56</v>
      </c>
      <c r="E132" s="21">
        <f t="shared" ca="1" si="16"/>
        <v>40951</v>
      </c>
      <c r="F132" s="6">
        <f>DATE(55,3,7)</f>
        <v>20155</v>
      </c>
      <c r="G132" s="7">
        <f t="shared" ca="1" si="12"/>
        <v>57</v>
      </c>
      <c r="H132" s="7">
        <f t="shared" ca="1" si="13"/>
        <v>-1</v>
      </c>
      <c r="I132" s="8">
        <f t="shared" ca="1" si="14"/>
        <v>5</v>
      </c>
      <c r="J132" s="9">
        <f t="shared" ca="1" si="17"/>
        <v>56</v>
      </c>
      <c r="K132" s="7" t="s">
        <v>40</v>
      </c>
      <c r="L132" s="10">
        <v>11</v>
      </c>
      <c r="M132" s="24" t="s">
        <v>40</v>
      </c>
      <c r="N132">
        <v>32</v>
      </c>
    </row>
    <row r="133" spans="1:14">
      <c r="A133" s="25">
        <f t="shared" si="15"/>
        <v>132</v>
      </c>
      <c r="B133" s="67" t="s">
        <v>1</v>
      </c>
      <c r="C133" s="67" t="s">
        <v>57</v>
      </c>
      <c r="D133" s="67" t="s">
        <v>55</v>
      </c>
      <c r="E133" s="22">
        <f t="shared" ca="1" si="16"/>
        <v>40951</v>
      </c>
      <c r="F133" s="32"/>
      <c r="G133" s="12">
        <f t="shared" ca="1" si="12"/>
        <v>112</v>
      </c>
      <c r="H133" s="12">
        <f t="shared" ca="1" si="13"/>
        <v>1</v>
      </c>
      <c r="I133" s="13">
        <f t="shared" ca="1" si="14"/>
        <v>12</v>
      </c>
      <c r="J133" s="14">
        <f t="shared" ca="1" si="17"/>
        <v>112</v>
      </c>
      <c r="K133" s="12" t="s">
        <v>41</v>
      </c>
      <c r="L133" s="15">
        <v>11</v>
      </c>
      <c r="M133" s="25" t="s">
        <v>40</v>
      </c>
      <c r="N133">
        <v>32</v>
      </c>
    </row>
    <row r="134" spans="1:14" ht="15.75" thickBot="1">
      <c r="A134" s="26">
        <f t="shared" si="15"/>
        <v>133</v>
      </c>
      <c r="B134" s="68" t="s">
        <v>1</v>
      </c>
      <c r="C134" s="68" t="s">
        <v>58</v>
      </c>
      <c r="D134" s="68" t="s">
        <v>55</v>
      </c>
      <c r="E134" s="23">
        <f t="shared" ca="1" si="16"/>
        <v>40951</v>
      </c>
      <c r="F134" s="16">
        <f>DATE(80,4,18)</f>
        <v>29329</v>
      </c>
      <c r="G134" s="17">
        <f t="shared" ca="1" si="12"/>
        <v>32</v>
      </c>
      <c r="H134" s="17">
        <f t="shared" ca="1" si="13"/>
        <v>-2</v>
      </c>
      <c r="I134" s="18">
        <f t="shared" ca="1" si="14"/>
        <v>-6</v>
      </c>
      <c r="J134" s="19">
        <f t="shared" ca="1" si="17"/>
        <v>31</v>
      </c>
      <c r="K134" s="17" t="s">
        <v>40</v>
      </c>
      <c r="L134" s="20">
        <v>11</v>
      </c>
      <c r="M134" s="26" t="s">
        <v>44</v>
      </c>
      <c r="N134">
        <v>32</v>
      </c>
    </row>
    <row r="135" spans="1:14">
      <c r="A135" s="24">
        <f t="shared" si="15"/>
        <v>134</v>
      </c>
      <c r="B135" s="66" t="s">
        <v>1</v>
      </c>
      <c r="C135" s="66" t="s">
        <v>59</v>
      </c>
      <c r="D135" s="66" t="s">
        <v>60</v>
      </c>
      <c r="E135" s="21">
        <f t="shared" ca="1" si="16"/>
        <v>40951</v>
      </c>
      <c r="F135" s="45"/>
      <c r="G135" s="7">
        <f t="shared" ca="1" si="12"/>
        <v>112</v>
      </c>
      <c r="H135" s="7">
        <f t="shared" ca="1" si="13"/>
        <v>1</v>
      </c>
      <c r="I135" s="8">
        <f t="shared" ca="1" si="14"/>
        <v>12</v>
      </c>
      <c r="J135" s="9">
        <f t="shared" ca="1" si="17"/>
        <v>112</v>
      </c>
      <c r="K135" s="7" t="s">
        <v>41</v>
      </c>
      <c r="L135" s="10">
        <v>11</v>
      </c>
      <c r="M135" s="24" t="s">
        <v>40</v>
      </c>
      <c r="N135">
        <v>33</v>
      </c>
    </row>
    <row r="136" spans="1:14">
      <c r="A136" s="25">
        <f t="shared" si="15"/>
        <v>135</v>
      </c>
      <c r="B136" s="67" t="s">
        <v>1</v>
      </c>
      <c r="C136" s="67" t="s">
        <v>61</v>
      </c>
      <c r="D136" s="67" t="s">
        <v>60</v>
      </c>
      <c r="E136" s="22">
        <f t="shared" ca="1" si="16"/>
        <v>40951</v>
      </c>
      <c r="F136" s="11">
        <f>DATE(71,8,2)</f>
        <v>26147</v>
      </c>
      <c r="G136" s="12">
        <f t="shared" ca="1" si="12"/>
        <v>41</v>
      </c>
      <c r="H136" s="12">
        <f t="shared" ca="1" si="13"/>
        <v>-6</v>
      </c>
      <c r="I136" s="13">
        <f t="shared" ca="1" si="14"/>
        <v>10</v>
      </c>
      <c r="J136" s="14">
        <f t="shared" ca="1" si="17"/>
        <v>40</v>
      </c>
      <c r="K136" s="12" t="s">
        <v>40</v>
      </c>
      <c r="L136" s="15">
        <v>11</v>
      </c>
      <c r="M136" s="25" t="s">
        <v>40</v>
      </c>
      <c r="N136">
        <v>33</v>
      </c>
    </row>
    <row r="137" spans="1:14">
      <c r="A137" s="25">
        <f t="shared" si="15"/>
        <v>136</v>
      </c>
      <c r="B137" s="67" t="s">
        <v>1</v>
      </c>
      <c r="C137" s="67" t="s">
        <v>62</v>
      </c>
      <c r="D137" s="67" t="s">
        <v>61</v>
      </c>
      <c r="E137" s="22">
        <f t="shared" ca="1" si="16"/>
        <v>40951</v>
      </c>
      <c r="F137" s="11">
        <f>DATE(73,9,29)</f>
        <v>26936</v>
      </c>
      <c r="G137" s="12">
        <f t="shared" ca="1" si="12"/>
        <v>39</v>
      </c>
      <c r="H137" s="12">
        <f t="shared" ca="1" si="13"/>
        <v>-7</v>
      </c>
      <c r="I137" s="13">
        <f t="shared" ca="1" si="14"/>
        <v>-17</v>
      </c>
      <c r="J137" s="14">
        <f t="shared" ca="1" si="17"/>
        <v>38</v>
      </c>
      <c r="K137" s="12" t="s">
        <v>41</v>
      </c>
      <c r="L137" s="15">
        <v>11</v>
      </c>
      <c r="M137" s="25" t="s">
        <v>40</v>
      </c>
      <c r="N137">
        <v>33</v>
      </c>
    </row>
    <row r="138" spans="1:14" ht="15.75" thickBot="1">
      <c r="A138" s="26">
        <f t="shared" si="15"/>
        <v>137</v>
      </c>
      <c r="B138" s="68" t="s">
        <v>1</v>
      </c>
      <c r="C138" s="68" t="s">
        <v>63</v>
      </c>
      <c r="D138" s="68" t="s">
        <v>61</v>
      </c>
      <c r="E138" s="23">
        <f t="shared" ca="1" si="16"/>
        <v>40951</v>
      </c>
      <c r="F138" s="48">
        <f>DATE(2002,8,2)</f>
        <v>37470</v>
      </c>
      <c r="G138" s="17">
        <f t="shared" ca="1" si="12"/>
        <v>10</v>
      </c>
      <c r="H138" s="17">
        <f t="shared" ca="1" si="13"/>
        <v>-6</v>
      </c>
      <c r="I138" s="18">
        <f t="shared" ca="1" si="14"/>
        <v>10</v>
      </c>
      <c r="J138" s="19">
        <f t="shared" ca="1" si="17"/>
        <v>9</v>
      </c>
      <c r="K138" s="17" t="s">
        <v>40</v>
      </c>
      <c r="L138" s="20">
        <v>11</v>
      </c>
      <c r="M138" s="26" t="s">
        <v>44</v>
      </c>
      <c r="N138">
        <v>33</v>
      </c>
    </row>
    <row r="139" spans="1:14">
      <c r="A139" s="24">
        <f t="shared" si="15"/>
        <v>138</v>
      </c>
      <c r="B139" s="66" t="s">
        <v>1</v>
      </c>
      <c r="C139" s="66" t="s">
        <v>64</v>
      </c>
      <c r="D139" s="66" t="s">
        <v>65</v>
      </c>
      <c r="E139" s="21">
        <f t="shared" ca="1" si="16"/>
        <v>40951</v>
      </c>
      <c r="F139" s="6">
        <f>DATE(50,8,5)</f>
        <v>18480</v>
      </c>
      <c r="G139" s="7">
        <f t="shared" ca="1" si="12"/>
        <v>62</v>
      </c>
      <c r="H139" s="7">
        <f t="shared" ca="1" si="13"/>
        <v>-6</v>
      </c>
      <c r="I139" s="8">
        <f t="shared" ca="1" si="14"/>
        <v>7</v>
      </c>
      <c r="J139" s="9">
        <f t="shared" ca="1" si="17"/>
        <v>61</v>
      </c>
      <c r="K139" s="7" t="s">
        <v>40</v>
      </c>
      <c r="L139" s="10">
        <v>12</v>
      </c>
      <c r="M139" s="24" t="s">
        <v>40</v>
      </c>
      <c r="N139">
        <v>34</v>
      </c>
    </row>
    <row r="140" spans="1:14">
      <c r="A140" s="25">
        <f t="shared" si="15"/>
        <v>139</v>
      </c>
      <c r="B140" s="67" t="s">
        <v>1</v>
      </c>
      <c r="C140" s="67" t="s">
        <v>66</v>
      </c>
      <c r="D140" s="67" t="s">
        <v>64</v>
      </c>
      <c r="E140" s="22">
        <f t="shared" ca="1" si="16"/>
        <v>40951</v>
      </c>
      <c r="F140" s="11">
        <f>DATE(56,1,3)</f>
        <v>20457</v>
      </c>
      <c r="G140" s="12">
        <f t="shared" ca="1" si="12"/>
        <v>56</v>
      </c>
      <c r="H140" s="12">
        <f t="shared" ca="1" si="13"/>
        <v>1</v>
      </c>
      <c r="I140" s="13">
        <f t="shared" ca="1" si="14"/>
        <v>9</v>
      </c>
      <c r="J140" s="14">
        <f t="shared" ca="1" si="17"/>
        <v>56</v>
      </c>
      <c r="K140" s="12" t="s">
        <v>41</v>
      </c>
      <c r="L140" s="15">
        <v>12</v>
      </c>
      <c r="M140" s="25" t="s">
        <v>40</v>
      </c>
      <c r="N140">
        <v>34</v>
      </c>
    </row>
    <row r="141" spans="1:14">
      <c r="A141" s="25">
        <f t="shared" si="15"/>
        <v>140</v>
      </c>
      <c r="B141" s="67" t="s">
        <v>1</v>
      </c>
      <c r="C141" s="67" t="s">
        <v>67</v>
      </c>
      <c r="D141" s="67" t="s">
        <v>64</v>
      </c>
      <c r="E141" s="22">
        <f t="shared" ca="1" si="16"/>
        <v>40951</v>
      </c>
      <c r="F141" s="11">
        <f>DATE(79,4,26)</f>
        <v>28971</v>
      </c>
      <c r="G141" s="12">
        <f t="shared" ca="1" si="12"/>
        <v>33</v>
      </c>
      <c r="H141" s="12">
        <f t="shared" ca="1" si="13"/>
        <v>-2</v>
      </c>
      <c r="I141" s="13">
        <f t="shared" ca="1" si="14"/>
        <v>-14</v>
      </c>
      <c r="J141" s="14">
        <f t="shared" ca="1" si="17"/>
        <v>32</v>
      </c>
      <c r="K141" s="12" t="s">
        <v>40</v>
      </c>
      <c r="L141" s="15">
        <v>12</v>
      </c>
      <c r="M141" s="25" t="s">
        <v>40</v>
      </c>
      <c r="N141">
        <v>34</v>
      </c>
    </row>
    <row r="142" spans="1:14" ht="15.75" thickBot="1">
      <c r="A142" s="26">
        <f t="shared" si="15"/>
        <v>141</v>
      </c>
      <c r="B142" s="68" t="s">
        <v>1</v>
      </c>
      <c r="C142" s="68" t="s">
        <v>68</v>
      </c>
      <c r="D142" s="68" t="s">
        <v>64</v>
      </c>
      <c r="E142" s="23">
        <f t="shared" ca="1" si="16"/>
        <v>40951</v>
      </c>
      <c r="F142" s="16">
        <f>DATE(82,12,28)</f>
        <v>30313</v>
      </c>
      <c r="G142" s="17">
        <f t="shared" ca="1" si="12"/>
        <v>30</v>
      </c>
      <c r="H142" s="17">
        <f t="shared" ca="1" si="13"/>
        <v>-10</v>
      </c>
      <c r="I142" s="18">
        <f t="shared" ca="1" si="14"/>
        <v>-16</v>
      </c>
      <c r="J142" s="19">
        <f t="shared" ca="1" si="17"/>
        <v>29</v>
      </c>
      <c r="K142" s="17" t="s">
        <v>41</v>
      </c>
      <c r="L142" s="20">
        <v>12</v>
      </c>
      <c r="M142" s="26" t="s">
        <v>40</v>
      </c>
      <c r="N142">
        <v>34</v>
      </c>
    </row>
    <row r="143" spans="1:14" ht="15.75" thickBot="1">
      <c r="A143" s="43">
        <f t="shared" si="15"/>
        <v>142</v>
      </c>
      <c r="B143" s="69" t="s">
        <v>1</v>
      </c>
      <c r="C143" s="69" t="s">
        <v>69</v>
      </c>
      <c r="D143" s="69" t="s">
        <v>70</v>
      </c>
      <c r="E143" s="37">
        <f t="shared" ca="1" si="16"/>
        <v>40951</v>
      </c>
      <c r="F143" s="38">
        <f>DATE(51,11,14)</f>
        <v>18946</v>
      </c>
      <c r="G143" s="39">
        <f t="shared" ca="1" si="12"/>
        <v>61</v>
      </c>
      <c r="H143" s="39">
        <f t="shared" ca="1" si="13"/>
        <v>-9</v>
      </c>
      <c r="I143" s="40">
        <f t="shared" ca="1" si="14"/>
        <v>-2</v>
      </c>
      <c r="J143" s="41">
        <f t="shared" ca="1" si="17"/>
        <v>60</v>
      </c>
      <c r="K143" s="39" t="s">
        <v>41</v>
      </c>
      <c r="L143" s="42">
        <v>12</v>
      </c>
      <c r="M143" s="43" t="s">
        <v>40</v>
      </c>
      <c r="N143">
        <v>35</v>
      </c>
    </row>
    <row r="144" spans="1:14">
      <c r="A144" s="24">
        <f t="shared" si="15"/>
        <v>143</v>
      </c>
      <c r="B144" s="66" t="s">
        <v>1</v>
      </c>
      <c r="C144" s="66" t="s">
        <v>71</v>
      </c>
      <c r="D144" s="66" t="s">
        <v>72</v>
      </c>
      <c r="E144" s="21">
        <f t="shared" ca="1" si="16"/>
        <v>40951</v>
      </c>
      <c r="F144" s="6">
        <f>DATE(67,7,7)</f>
        <v>24660</v>
      </c>
      <c r="G144" s="7">
        <f t="shared" ca="1" si="12"/>
        <v>45</v>
      </c>
      <c r="H144" s="7">
        <f t="shared" ca="1" si="13"/>
        <v>-5</v>
      </c>
      <c r="I144" s="8">
        <f t="shared" ca="1" si="14"/>
        <v>5</v>
      </c>
      <c r="J144" s="9">
        <f t="shared" ca="1" si="17"/>
        <v>44</v>
      </c>
      <c r="K144" s="7" t="s">
        <v>40</v>
      </c>
      <c r="L144" s="10">
        <v>12</v>
      </c>
      <c r="M144" s="24" t="s">
        <v>40</v>
      </c>
      <c r="N144">
        <v>36</v>
      </c>
    </row>
    <row r="145" spans="1:14">
      <c r="A145" s="25">
        <f t="shared" si="15"/>
        <v>144</v>
      </c>
      <c r="B145" s="67" t="s">
        <v>1</v>
      </c>
      <c r="C145" s="67" t="s">
        <v>73</v>
      </c>
      <c r="D145" s="67" t="s">
        <v>71</v>
      </c>
      <c r="E145" s="22">
        <f t="shared" ca="1" si="16"/>
        <v>40951</v>
      </c>
      <c r="F145" s="11">
        <f>DATE(72,5,21)</f>
        <v>26440</v>
      </c>
      <c r="G145" s="12">
        <f t="shared" ca="1" si="12"/>
        <v>40</v>
      </c>
      <c r="H145" s="12">
        <f t="shared" ca="1" si="13"/>
        <v>-3</v>
      </c>
      <c r="I145" s="13">
        <f t="shared" ca="1" si="14"/>
        <v>-9</v>
      </c>
      <c r="J145" s="14">
        <f t="shared" ca="1" si="17"/>
        <v>39</v>
      </c>
      <c r="K145" s="12" t="s">
        <v>41</v>
      </c>
      <c r="L145" s="15">
        <v>12</v>
      </c>
      <c r="M145" s="25" t="s">
        <v>40</v>
      </c>
      <c r="N145">
        <v>36</v>
      </c>
    </row>
    <row r="146" spans="1:14">
      <c r="A146" s="25">
        <f t="shared" si="15"/>
        <v>145</v>
      </c>
      <c r="B146" s="67" t="s">
        <v>1</v>
      </c>
      <c r="C146" s="67" t="s">
        <v>74</v>
      </c>
      <c r="D146" s="67" t="s">
        <v>71</v>
      </c>
      <c r="E146" s="22">
        <f t="shared" ca="1" si="16"/>
        <v>40951</v>
      </c>
      <c r="F146" s="11">
        <f>DATE(92,10,31)</f>
        <v>33908</v>
      </c>
      <c r="G146" s="12">
        <f t="shared" ca="1" si="12"/>
        <v>20</v>
      </c>
      <c r="H146" s="12">
        <f t="shared" ca="1" si="13"/>
        <v>-8</v>
      </c>
      <c r="I146" s="13">
        <f t="shared" ca="1" si="14"/>
        <v>-19</v>
      </c>
      <c r="J146" s="14">
        <f t="shared" ca="1" si="17"/>
        <v>19</v>
      </c>
      <c r="K146" s="12" t="s">
        <v>41</v>
      </c>
      <c r="L146" s="15">
        <v>12</v>
      </c>
      <c r="M146" s="25" t="s">
        <v>44</v>
      </c>
      <c r="N146">
        <v>36</v>
      </c>
    </row>
    <row r="147" spans="1:14" ht="15.75" thickBot="1">
      <c r="A147" s="26">
        <f t="shared" si="15"/>
        <v>146</v>
      </c>
      <c r="B147" s="68" t="s">
        <v>1</v>
      </c>
      <c r="C147" s="68" t="s">
        <v>75</v>
      </c>
      <c r="D147" s="68" t="s">
        <v>71</v>
      </c>
      <c r="E147" s="23">
        <f t="shared" ca="1" si="16"/>
        <v>40951</v>
      </c>
      <c r="F147" s="16">
        <f>DATE(91,5,11)</f>
        <v>33369</v>
      </c>
      <c r="G147" s="17">
        <f t="shared" ca="1" si="12"/>
        <v>21</v>
      </c>
      <c r="H147" s="17">
        <f t="shared" ca="1" si="13"/>
        <v>-3</v>
      </c>
      <c r="I147" s="18">
        <f t="shared" ca="1" si="14"/>
        <v>1</v>
      </c>
      <c r="J147" s="19">
        <f t="shared" ca="1" si="17"/>
        <v>20</v>
      </c>
      <c r="K147" s="17" t="s">
        <v>41</v>
      </c>
      <c r="L147" s="20">
        <v>12</v>
      </c>
      <c r="M147" s="26" t="s">
        <v>44</v>
      </c>
      <c r="N147">
        <v>36</v>
      </c>
    </row>
    <row r="148" spans="1:14">
      <c r="A148" s="24">
        <f t="shared" si="15"/>
        <v>147</v>
      </c>
      <c r="B148" s="66" t="s">
        <v>1</v>
      </c>
      <c r="C148" s="66" t="s">
        <v>76</v>
      </c>
      <c r="D148" s="66" t="s">
        <v>77</v>
      </c>
      <c r="E148" s="21">
        <f t="shared" ca="1" si="16"/>
        <v>40951</v>
      </c>
      <c r="F148" s="6">
        <f>DATE(39,10,12)</f>
        <v>14530</v>
      </c>
      <c r="G148" s="7">
        <f t="shared" ca="1" si="12"/>
        <v>73</v>
      </c>
      <c r="H148" s="7">
        <f t="shared" ca="1" si="13"/>
        <v>-8</v>
      </c>
      <c r="I148" s="8">
        <f t="shared" ca="1" si="14"/>
        <v>0</v>
      </c>
      <c r="J148" s="9">
        <f t="shared" ca="1" si="17"/>
        <v>72</v>
      </c>
      <c r="K148" s="7" t="s">
        <v>40</v>
      </c>
      <c r="L148" s="10">
        <v>13</v>
      </c>
      <c r="M148" s="24" t="s">
        <v>40</v>
      </c>
      <c r="N148">
        <v>37</v>
      </c>
    </row>
    <row r="149" spans="1:14">
      <c r="A149" s="25">
        <f t="shared" si="15"/>
        <v>148</v>
      </c>
      <c r="B149" s="67" t="s">
        <v>1</v>
      </c>
      <c r="C149" s="67" t="s">
        <v>78</v>
      </c>
      <c r="D149" s="67" t="s">
        <v>76</v>
      </c>
      <c r="E149" s="22">
        <f t="shared" ca="1" si="16"/>
        <v>40951</v>
      </c>
      <c r="F149" s="11">
        <f>DATE(43,10,19)</f>
        <v>15998</v>
      </c>
      <c r="G149" s="12">
        <f t="shared" ca="1" si="12"/>
        <v>69</v>
      </c>
      <c r="H149" s="12">
        <f t="shared" ca="1" si="13"/>
        <v>-8</v>
      </c>
      <c r="I149" s="13">
        <f t="shared" ca="1" si="14"/>
        <v>-7</v>
      </c>
      <c r="J149" s="14">
        <f t="shared" ca="1" si="17"/>
        <v>68</v>
      </c>
      <c r="K149" s="12" t="s">
        <v>41</v>
      </c>
      <c r="L149" s="15">
        <v>13</v>
      </c>
      <c r="M149" s="25" t="s">
        <v>40</v>
      </c>
      <c r="N149">
        <v>37</v>
      </c>
    </row>
    <row r="150" spans="1:14">
      <c r="A150" s="25">
        <f t="shared" si="15"/>
        <v>149</v>
      </c>
      <c r="B150" s="67" t="s">
        <v>1</v>
      </c>
      <c r="C150" s="67" t="s">
        <v>79</v>
      </c>
      <c r="D150" s="67" t="s">
        <v>76</v>
      </c>
      <c r="E150" s="22">
        <f t="shared" ca="1" si="16"/>
        <v>40951</v>
      </c>
      <c r="F150" s="11">
        <f>DATE(71,7,29)</f>
        <v>26143</v>
      </c>
      <c r="G150" s="12">
        <f t="shared" ca="1" si="12"/>
        <v>41</v>
      </c>
      <c r="H150" s="12">
        <f t="shared" ca="1" si="13"/>
        <v>-5</v>
      </c>
      <c r="I150" s="13">
        <f t="shared" ca="1" si="14"/>
        <v>-17</v>
      </c>
      <c r="J150" s="14">
        <f t="shared" ca="1" si="17"/>
        <v>40</v>
      </c>
      <c r="K150" s="12" t="s">
        <v>40</v>
      </c>
      <c r="L150" s="15">
        <v>13</v>
      </c>
      <c r="M150" s="25" t="s">
        <v>40</v>
      </c>
      <c r="N150">
        <v>37</v>
      </c>
    </row>
    <row r="151" spans="1:14">
      <c r="A151" s="25">
        <f t="shared" si="15"/>
        <v>150</v>
      </c>
      <c r="B151" s="67" t="s">
        <v>1</v>
      </c>
      <c r="C151" s="67" t="s">
        <v>47</v>
      </c>
      <c r="D151" s="67" t="s">
        <v>76</v>
      </c>
      <c r="E151" s="22">
        <f t="shared" ca="1" si="16"/>
        <v>40951</v>
      </c>
      <c r="F151" s="11">
        <f>DATE(73,12,31)</f>
        <v>27029</v>
      </c>
      <c r="G151" s="12">
        <f t="shared" ca="1" si="12"/>
        <v>39</v>
      </c>
      <c r="H151" s="12">
        <f t="shared" ca="1" si="13"/>
        <v>-10</v>
      </c>
      <c r="I151" s="13">
        <f t="shared" ca="1" si="14"/>
        <v>-19</v>
      </c>
      <c r="J151" s="14">
        <f t="shared" ca="1" si="17"/>
        <v>38</v>
      </c>
      <c r="K151" s="12" t="s">
        <v>41</v>
      </c>
      <c r="L151" s="15">
        <v>13</v>
      </c>
      <c r="M151" s="25" t="s">
        <v>40</v>
      </c>
      <c r="N151">
        <v>37</v>
      </c>
    </row>
    <row r="152" spans="1:14" ht="15.75" thickBot="1">
      <c r="A152" s="26">
        <f t="shared" si="15"/>
        <v>151</v>
      </c>
      <c r="B152" s="68" t="s">
        <v>1</v>
      </c>
      <c r="C152" s="68" t="s">
        <v>80</v>
      </c>
      <c r="D152" s="68" t="s">
        <v>76</v>
      </c>
      <c r="E152" s="23">
        <f t="shared" ca="1" si="16"/>
        <v>40951</v>
      </c>
      <c r="F152" s="16">
        <f>DATE(98,6,27)</f>
        <v>35973</v>
      </c>
      <c r="G152" s="17">
        <f t="shared" ca="1" si="12"/>
        <v>14</v>
      </c>
      <c r="H152" s="17">
        <f t="shared" ca="1" si="13"/>
        <v>-4</v>
      </c>
      <c r="I152" s="18">
        <f t="shared" ca="1" si="14"/>
        <v>-15</v>
      </c>
      <c r="J152" s="19">
        <f t="shared" ca="1" si="17"/>
        <v>13</v>
      </c>
      <c r="K152" s="17" t="s">
        <v>40</v>
      </c>
      <c r="L152" s="20">
        <v>13</v>
      </c>
      <c r="M152" s="26" t="s">
        <v>44</v>
      </c>
      <c r="N152">
        <v>37</v>
      </c>
    </row>
    <row r="153" spans="1:14">
      <c r="A153" s="24">
        <f t="shared" si="15"/>
        <v>152</v>
      </c>
      <c r="B153" s="66" t="s">
        <v>1</v>
      </c>
      <c r="C153" s="66" t="s">
        <v>81</v>
      </c>
      <c r="D153" s="66" t="s">
        <v>82</v>
      </c>
      <c r="E153" s="21">
        <f t="shared" ca="1" si="16"/>
        <v>40951</v>
      </c>
      <c r="F153" s="6">
        <f>DATE(45,7,25)</f>
        <v>16643</v>
      </c>
      <c r="G153" s="7">
        <f t="shared" ref="G153:G216" ca="1" si="18">YEAR(E153)-YEAR(F153)</f>
        <v>67</v>
      </c>
      <c r="H153" s="7">
        <f t="shared" ref="H153:H216" ca="1" si="19">MONTH(E153)-MONTH(F153)</f>
        <v>-5</v>
      </c>
      <c r="I153" s="8">
        <f t="shared" ref="I153:I216" ca="1" si="20">DAY(E153)-DAY(F153)</f>
        <v>-13</v>
      </c>
      <c r="J153" s="9">
        <f t="shared" ca="1" si="17"/>
        <v>66</v>
      </c>
      <c r="K153" s="7" t="s">
        <v>41</v>
      </c>
      <c r="L153" s="10">
        <v>13</v>
      </c>
      <c r="M153" s="24" t="s">
        <v>44</v>
      </c>
      <c r="N153">
        <v>38</v>
      </c>
    </row>
    <row r="154" spans="1:14">
      <c r="A154" s="25">
        <f t="shared" si="15"/>
        <v>153</v>
      </c>
      <c r="B154" s="67" t="s">
        <v>1</v>
      </c>
      <c r="C154" s="67" t="s">
        <v>83</v>
      </c>
      <c r="D154" s="67" t="s">
        <v>82</v>
      </c>
      <c r="E154" s="22">
        <f t="shared" ca="1" si="16"/>
        <v>40951</v>
      </c>
      <c r="F154" s="11">
        <f>DATE(52,9,26)</f>
        <v>19263</v>
      </c>
      <c r="G154" s="12">
        <f t="shared" ca="1" si="18"/>
        <v>60</v>
      </c>
      <c r="H154" s="12">
        <f t="shared" ca="1" si="19"/>
        <v>-7</v>
      </c>
      <c r="I154" s="13">
        <f t="shared" ca="1" si="20"/>
        <v>-14</v>
      </c>
      <c r="J154" s="14">
        <f t="shared" ca="1" si="17"/>
        <v>59</v>
      </c>
      <c r="K154" s="12" t="s">
        <v>41</v>
      </c>
      <c r="L154" s="15">
        <v>13</v>
      </c>
      <c r="M154" s="25" t="s">
        <v>44</v>
      </c>
      <c r="N154">
        <v>38</v>
      </c>
    </row>
    <row r="155" spans="1:14">
      <c r="A155" s="25">
        <f t="shared" si="15"/>
        <v>154</v>
      </c>
      <c r="B155" s="67" t="s">
        <v>1</v>
      </c>
      <c r="C155" s="67" t="s">
        <v>84</v>
      </c>
      <c r="D155" s="67" t="s">
        <v>82</v>
      </c>
      <c r="E155" s="22">
        <f t="shared" ca="1" si="16"/>
        <v>40951</v>
      </c>
      <c r="F155" s="11">
        <f>DATE(47,7,28)</f>
        <v>17376</v>
      </c>
      <c r="G155" s="12">
        <f t="shared" ca="1" si="18"/>
        <v>65</v>
      </c>
      <c r="H155" s="12">
        <f t="shared" ca="1" si="19"/>
        <v>-5</v>
      </c>
      <c r="I155" s="13">
        <f t="shared" ca="1" si="20"/>
        <v>-16</v>
      </c>
      <c r="J155" s="14">
        <f t="shared" ca="1" si="17"/>
        <v>64</v>
      </c>
      <c r="K155" s="12" t="s">
        <v>41</v>
      </c>
      <c r="L155" s="15">
        <v>13</v>
      </c>
      <c r="M155" s="25" t="s">
        <v>44</v>
      </c>
      <c r="N155">
        <v>38</v>
      </c>
    </row>
    <row r="156" spans="1:14" ht="15.75" thickBot="1">
      <c r="A156" s="26">
        <f t="shared" si="15"/>
        <v>155</v>
      </c>
      <c r="B156" s="68" t="s">
        <v>1</v>
      </c>
      <c r="C156" s="68" t="s">
        <v>85</v>
      </c>
      <c r="D156" s="68" t="s">
        <v>82</v>
      </c>
      <c r="E156" s="23">
        <f t="shared" ca="1" si="16"/>
        <v>40951</v>
      </c>
      <c r="F156" s="16">
        <f>DATE(58,6,12)</f>
        <v>21348</v>
      </c>
      <c r="G156" s="17">
        <f t="shared" ca="1" si="18"/>
        <v>54</v>
      </c>
      <c r="H156" s="17">
        <f t="shared" ca="1" si="19"/>
        <v>-4</v>
      </c>
      <c r="I156" s="18">
        <f t="shared" ca="1" si="20"/>
        <v>0</v>
      </c>
      <c r="J156" s="19">
        <f t="shared" ca="1" si="17"/>
        <v>53</v>
      </c>
      <c r="K156" s="17" t="s">
        <v>40</v>
      </c>
      <c r="L156" s="20">
        <v>13</v>
      </c>
      <c r="M156" s="26" t="s">
        <v>44</v>
      </c>
      <c r="N156">
        <v>38</v>
      </c>
    </row>
    <row r="157" spans="1:14">
      <c r="A157" s="24">
        <f t="shared" si="15"/>
        <v>156</v>
      </c>
      <c r="B157" s="66" t="s">
        <v>1</v>
      </c>
      <c r="C157" s="66" t="s">
        <v>86</v>
      </c>
      <c r="D157" s="66" t="s">
        <v>77</v>
      </c>
      <c r="E157" s="21">
        <f t="shared" ca="1" si="16"/>
        <v>40951</v>
      </c>
      <c r="F157" s="6">
        <f>DATE(47,10,12)</f>
        <v>17452</v>
      </c>
      <c r="G157" s="7">
        <f t="shared" ca="1" si="18"/>
        <v>65</v>
      </c>
      <c r="H157" s="7">
        <f t="shared" ca="1" si="19"/>
        <v>-8</v>
      </c>
      <c r="I157" s="8">
        <f t="shared" ca="1" si="20"/>
        <v>0</v>
      </c>
      <c r="J157" s="9">
        <f t="shared" ca="1" si="17"/>
        <v>64</v>
      </c>
      <c r="K157" s="7" t="s">
        <v>40</v>
      </c>
      <c r="L157" s="10">
        <v>13</v>
      </c>
      <c r="M157" s="24" t="s">
        <v>40</v>
      </c>
      <c r="N157">
        <v>39</v>
      </c>
    </row>
    <row r="158" spans="1:14" ht="15.75" thickBot="1">
      <c r="A158" s="26">
        <f t="shared" ref="A158:A221" si="21">A157+1</f>
        <v>157</v>
      </c>
      <c r="B158" s="68" t="s">
        <v>1</v>
      </c>
      <c r="C158" s="68" t="s">
        <v>87</v>
      </c>
      <c r="D158" s="68" t="s">
        <v>86</v>
      </c>
      <c r="E158" s="23">
        <f t="shared" ca="1" si="16"/>
        <v>40951</v>
      </c>
      <c r="F158" s="16">
        <f>DATE(48,7,7)</f>
        <v>17721</v>
      </c>
      <c r="G158" s="17">
        <f t="shared" ca="1" si="18"/>
        <v>64</v>
      </c>
      <c r="H158" s="17">
        <f t="shared" ca="1" si="19"/>
        <v>-5</v>
      </c>
      <c r="I158" s="18">
        <f t="shared" ca="1" si="20"/>
        <v>5</v>
      </c>
      <c r="J158" s="19">
        <f t="shared" ca="1" si="17"/>
        <v>63</v>
      </c>
      <c r="K158" s="17" t="s">
        <v>41</v>
      </c>
      <c r="L158" s="20">
        <v>13</v>
      </c>
      <c r="M158" s="26" t="s">
        <v>40</v>
      </c>
      <c r="N158">
        <v>39</v>
      </c>
    </row>
    <row r="159" spans="1:14">
      <c r="A159" s="24">
        <f t="shared" si="21"/>
        <v>158</v>
      </c>
      <c r="B159" s="66" t="s">
        <v>1</v>
      </c>
      <c r="C159" s="66" t="s">
        <v>88</v>
      </c>
      <c r="D159" s="66" t="s">
        <v>86</v>
      </c>
      <c r="E159" s="21">
        <f t="shared" ca="1" si="16"/>
        <v>40951</v>
      </c>
      <c r="F159" s="6">
        <f>DATE(72,3,31)</f>
        <v>26389</v>
      </c>
      <c r="G159" s="7">
        <f t="shared" ca="1" si="18"/>
        <v>40</v>
      </c>
      <c r="H159" s="7">
        <f t="shared" ca="1" si="19"/>
        <v>-1</v>
      </c>
      <c r="I159" s="8">
        <f t="shared" ca="1" si="20"/>
        <v>-19</v>
      </c>
      <c r="J159" s="9">
        <f t="shared" ca="1" si="17"/>
        <v>39</v>
      </c>
      <c r="K159" s="7" t="s">
        <v>40</v>
      </c>
      <c r="L159" s="10">
        <v>14</v>
      </c>
      <c r="M159" s="24" t="s">
        <v>40</v>
      </c>
      <c r="N159">
        <v>40</v>
      </c>
    </row>
    <row r="160" spans="1:14" ht="15.75" thickBot="1">
      <c r="A160" s="26">
        <f t="shared" si="21"/>
        <v>159</v>
      </c>
      <c r="B160" s="68" t="s">
        <v>1</v>
      </c>
      <c r="C160" s="68" t="s">
        <v>89</v>
      </c>
      <c r="D160" s="68" t="s">
        <v>88</v>
      </c>
      <c r="E160" s="23">
        <f t="shared" ref="E160:E223" ca="1" si="22">TODAY()</f>
        <v>40951</v>
      </c>
      <c r="F160" s="16">
        <f>DATE(75,10,7)</f>
        <v>27674</v>
      </c>
      <c r="G160" s="17">
        <f t="shared" ca="1" si="18"/>
        <v>37</v>
      </c>
      <c r="H160" s="17">
        <f t="shared" ca="1" si="19"/>
        <v>-8</v>
      </c>
      <c r="I160" s="18">
        <f t="shared" ca="1" si="20"/>
        <v>5</v>
      </c>
      <c r="J160" s="19">
        <f t="shared" ca="1" si="17"/>
        <v>36</v>
      </c>
      <c r="K160" s="17" t="s">
        <v>41</v>
      </c>
      <c r="L160" s="20">
        <v>14</v>
      </c>
      <c r="M160" s="26" t="s">
        <v>40</v>
      </c>
      <c r="N160">
        <v>40</v>
      </c>
    </row>
    <row r="161" spans="1:14">
      <c r="A161" s="24">
        <f t="shared" si="21"/>
        <v>160</v>
      </c>
      <c r="B161" s="66" t="s">
        <v>1</v>
      </c>
      <c r="C161" s="66" t="s">
        <v>90</v>
      </c>
      <c r="D161" s="66" t="s">
        <v>91</v>
      </c>
      <c r="E161" s="21">
        <f t="shared" ca="1" si="22"/>
        <v>40951</v>
      </c>
      <c r="F161" s="6">
        <f>DATE(53,3,11)</f>
        <v>19429</v>
      </c>
      <c r="G161" s="7">
        <f t="shared" ca="1" si="18"/>
        <v>59</v>
      </c>
      <c r="H161" s="7">
        <f t="shared" ca="1" si="19"/>
        <v>-1</v>
      </c>
      <c r="I161" s="8">
        <f t="shared" ca="1" si="20"/>
        <v>1</v>
      </c>
      <c r="J161" s="9">
        <f t="shared" ca="1" si="17"/>
        <v>58</v>
      </c>
      <c r="K161" s="7" t="s">
        <v>40</v>
      </c>
      <c r="L161" s="10">
        <v>14</v>
      </c>
      <c r="M161" s="24" t="s">
        <v>40</v>
      </c>
      <c r="N161">
        <v>41</v>
      </c>
    </row>
    <row r="162" spans="1:14">
      <c r="A162" s="25">
        <f t="shared" si="21"/>
        <v>161</v>
      </c>
      <c r="B162" s="67" t="s">
        <v>1</v>
      </c>
      <c r="C162" s="67" t="s">
        <v>48</v>
      </c>
      <c r="D162" s="67" t="s">
        <v>90</v>
      </c>
      <c r="E162" s="22">
        <f t="shared" ca="1" si="22"/>
        <v>40951</v>
      </c>
      <c r="F162" s="11">
        <f>DATE(58,1,2)</f>
        <v>21187</v>
      </c>
      <c r="G162" s="12">
        <f t="shared" ca="1" si="18"/>
        <v>54</v>
      </c>
      <c r="H162" s="12">
        <f t="shared" ca="1" si="19"/>
        <v>1</v>
      </c>
      <c r="I162" s="13">
        <f t="shared" ca="1" si="20"/>
        <v>10</v>
      </c>
      <c r="J162" s="14">
        <f t="shared" ca="1" si="17"/>
        <v>54</v>
      </c>
      <c r="K162" s="12" t="s">
        <v>41</v>
      </c>
      <c r="L162" s="15">
        <v>14</v>
      </c>
      <c r="M162" s="25" t="s">
        <v>40</v>
      </c>
      <c r="N162">
        <v>41</v>
      </c>
    </row>
    <row r="163" spans="1:14" ht="15.75" thickBot="1">
      <c r="A163" s="26">
        <f t="shared" si="21"/>
        <v>162</v>
      </c>
      <c r="B163" s="68" t="s">
        <v>1</v>
      </c>
      <c r="C163" s="68" t="s">
        <v>92</v>
      </c>
      <c r="D163" s="68" t="s">
        <v>90</v>
      </c>
      <c r="E163" s="23">
        <f t="shared" ca="1" si="22"/>
        <v>40951</v>
      </c>
      <c r="F163" s="16">
        <f>DATE(81,2,4)</f>
        <v>29621</v>
      </c>
      <c r="G163" s="17">
        <f t="shared" ca="1" si="18"/>
        <v>31</v>
      </c>
      <c r="H163" s="17">
        <f t="shared" ca="1" si="19"/>
        <v>0</v>
      </c>
      <c r="I163" s="18">
        <f t="shared" ca="1" si="20"/>
        <v>8</v>
      </c>
      <c r="J163" s="19">
        <f t="shared" ca="1" si="17"/>
        <v>31</v>
      </c>
      <c r="K163" s="17" t="s">
        <v>40</v>
      </c>
      <c r="L163" s="20">
        <v>14</v>
      </c>
      <c r="M163" s="26" t="s">
        <v>44</v>
      </c>
      <c r="N163">
        <v>41</v>
      </c>
    </row>
    <row r="164" spans="1:14">
      <c r="A164" s="24">
        <f t="shared" si="21"/>
        <v>163</v>
      </c>
      <c r="B164" s="66" t="s">
        <v>1</v>
      </c>
      <c r="C164" s="66" t="s">
        <v>93</v>
      </c>
      <c r="D164" s="66" t="s">
        <v>94</v>
      </c>
      <c r="E164" s="21">
        <f t="shared" ca="1" si="22"/>
        <v>40951</v>
      </c>
      <c r="F164" s="6">
        <f>DATE(66,1,16)</f>
        <v>24123</v>
      </c>
      <c r="G164" s="7">
        <f t="shared" ca="1" si="18"/>
        <v>46</v>
      </c>
      <c r="H164" s="7">
        <f t="shared" ca="1" si="19"/>
        <v>1</v>
      </c>
      <c r="I164" s="8">
        <f t="shared" ca="1" si="20"/>
        <v>-4</v>
      </c>
      <c r="J164" s="9">
        <f t="shared" ca="1" si="17"/>
        <v>46</v>
      </c>
      <c r="K164" s="7" t="s">
        <v>40</v>
      </c>
      <c r="L164" s="10">
        <v>14</v>
      </c>
      <c r="M164" s="24" t="s">
        <v>40</v>
      </c>
      <c r="N164">
        <v>42</v>
      </c>
    </row>
    <row r="165" spans="1:14">
      <c r="A165" s="25">
        <f t="shared" si="21"/>
        <v>164</v>
      </c>
      <c r="B165" s="67" t="s">
        <v>1</v>
      </c>
      <c r="C165" s="67" t="s">
        <v>95</v>
      </c>
      <c r="D165" s="67" t="s">
        <v>96</v>
      </c>
      <c r="E165" s="22">
        <f t="shared" ca="1" si="22"/>
        <v>40951</v>
      </c>
      <c r="F165" s="11">
        <f>DATE(67,11,18)</f>
        <v>24794</v>
      </c>
      <c r="G165" s="12">
        <f t="shared" ca="1" si="18"/>
        <v>45</v>
      </c>
      <c r="H165" s="12">
        <f t="shared" ca="1" si="19"/>
        <v>-9</v>
      </c>
      <c r="I165" s="13">
        <f t="shared" ca="1" si="20"/>
        <v>-6</v>
      </c>
      <c r="J165" s="14">
        <f t="shared" ca="1" si="17"/>
        <v>44</v>
      </c>
      <c r="K165" s="12" t="s">
        <v>41</v>
      </c>
      <c r="L165" s="15">
        <v>14</v>
      </c>
      <c r="M165" s="25" t="s">
        <v>40</v>
      </c>
      <c r="N165">
        <v>42</v>
      </c>
    </row>
    <row r="166" spans="1:14" ht="15.75" thickBot="1">
      <c r="A166" s="26">
        <f t="shared" si="21"/>
        <v>165</v>
      </c>
      <c r="B166" s="68" t="s">
        <v>1</v>
      </c>
      <c r="C166" s="68" t="s">
        <v>97</v>
      </c>
      <c r="D166" s="68" t="s">
        <v>96</v>
      </c>
      <c r="E166" s="23">
        <f t="shared" ca="1" si="22"/>
        <v>40951</v>
      </c>
      <c r="F166" s="16">
        <f>DATE(95,3,18)</f>
        <v>34776</v>
      </c>
      <c r="G166" s="17">
        <f t="shared" ca="1" si="18"/>
        <v>17</v>
      </c>
      <c r="H166" s="17">
        <f t="shared" ca="1" si="19"/>
        <v>-1</v>
      </c>
      <c r="I166" s="18">
        <f t="shared" ca="1" si="20"/>
        <v>-6</v>
      </c>
      <c r="J166" s="19">
        <f t="shared" ca="1" si="17"/>
        <v>16</v>
      </c>
      <c r="K166" s="17" t="s">
        <v>41</v>
      </c>
      <c r="L166" s="20">
        <v>14</v>
      </c>
      <c r="M166" s="26" t="s">
        <v>44</v>
      </c>
      <c r="N166">
        <v>42</v>
      </c>
    </row>
    <row r="167" spans="1:14">
      <c r="A167" s="24">
        <f t="shared" si="21"/>
        <v>166</v>
      </c>
      <c r="B167" s="66" t="s">
        <v>1</v>
      </c>
      <c r="C167" s="66" t="s">
        <v>98</v>
      </c>
      <c r="D167" s="66" t="s">
        <v>99</v>
      </c>
      <c r="E167" s="21">
        <f t="shared" ca="1" si="22"/>
        <v>40951</v>
      </c>
      <c r="F167" s="6">
        <f>DATE(76,1,23)</f>
        <v>27782</v>
      </c>
      <c r="G167" s="7">
        <f t="shared" ca="1" si="18"/>
        <v>36</v>
      </c>
      <c r="H167" s="7">
        <f t="shared" ca="1" si="19"/>
        <v>1</v>
      </c>
      <c r="I167" s="8">
        <f t="shared" ca="1" si="20"/>
        <v>-11</v>
      </c>
      <c r="J167" s="9">
        <f t="shared" ca="1" si="17"/>
        <v>36</v>
      </c>
      <c r="K167" s="7" t="s">
        <v>40</v>
      </c>
      <c r="L167" s="10">
        <v>14</v>
      </c>
      <c r="M167" s="24" t="s">
        <v>40</v>
      </c>
      <c r="N167">
        <v>43</v>
      </c>
    </row>
    <row r="168" spans="1:14">
      <c r="A168" s="25">
        <f t="shared" si="21"/>
        <v>167</v>
      </c>
      <c r="B168" s="67" t="s">
        <v>1</v>
      </c>
      <c r="C168" s="67" t="s">
        <v>100</v>
      </c>
      <c r="D168" s="67" t="s">
        <v>98</v>
      </c>
      <c r="E168" s="22">
        <f t="shared" ca="1" si="22"/>
        <v>40951</v>
      </c>
      <c r="F168" s="11">
        <f>DATE(76,3,12)</f>
        <v>27831</v>
      </c>
      <c r="G168" s="12">
        <f t="shared" ca="1" si="18"/>
        <v>36</v>
      </c>
      <c r="H168" s="12">
        <f t="shared" ca="1" si="19"/>
        <v>-1</v>
      </c>
      <c r="I168" s="13">
        <f t="shared" ca="1" si="20"/>
        <v>0</v>
      </c>
      <c r="J168" s="14">
        <f t="shared" ca="1" si="17"/>
        <v>35</v>
      </c>
      <c r="K168" s="12" t="s">
        <v>41</v>
      </c>
      <c r="L168" s="15">
        <v>14</v>
      </c>
      <c r="M168" s="25" t="s">
        <v>40</v>
      </c>
      <c r="N168">
        <v>43</v>
      </c>
    </row>
    <row r="169" spans="1:14" ht="15.75" thickBot="1">
      <c r="A169" s="26">
        <f t="shared" si="21"/>
        <v>168</v>
      </c>
      <c r="B169" s="68" t="s">
        <v>1</v>
      </c>
      <c r="C169" s="68" t="s">
        <v>101</v>
      </c>
      <c r="D169" s="68" t="s">
        <v>98</v>
      </c>
      <c r="E169" s="23">
        <f t="shared" ca="1" si="22"/>
        <v>40951</v>
      </c>
      <c r="F169" s="16">
        <f>DATE(2002,8,17)</f>
        <v>37485</v>
      </c>
      <c r="G169" s="17">
        <f t="shared" ca="1" si="18"/>
        <v>10</v>
      </c>
      <c r="H169" s="17">
        <f t="shared" ca="1" si="19"/>
        <v>-6</v>
      </c>
      <c r="I169" s="18">
        <f t="shared" ca="1" si="20"/>
        <v>-5</v>
      </c>
      <c r="J169" s="19">
        <f t="shared" ca="1" si="17"/>
        <v>9</v>
      </c>
      <c r="K169" s="17" t="s">
        <v>40</v>
      </c>
      <c r="L169" s="20">
        <v>14</v>
      </c>
      <c r="M169" s="26" t="s">
        <v>44</v>
      </c>
      <c r="N169">
        <v>43</v>
      </c>
    </row>
    <row r="170" spans="1:14">
      <c r="A170" s="24">
        <f t="shared" si="21"/>
        <v>169</v>
      </c>
      <c r="B170" s="66" t="s">
        <v>1</v>
      </c>
      <c r="C170" s="66" t="s">
        <v>102</v>
      </c>
      <c r="D170" s="66" t="s">
        <v>103</v>
      </c>
      <c r="E170" s="21">
        <f t="shared" ca="1" si="22"/>
        <v>40951</v>
      </c>
      <c r="F170" s="49"/>
      <c r="G170" s="7">
        <f t="shared" ca="1" si="18"/>
        <v>112</v>
      </c>
      <c r="H170" s="7">
        <f t="shared" ca="1" si="19"/>
        <v>1</v>
      </c>
      <c r="I170" s="8">
        <f t="shared" ca="1" si="20"/>
        <v>12</v>
      </c>
      <c r="J170" s="9">
        <f t="shared" ca="1" si="17"/>
        <v>112</v>
      </c>
      <c r="K170" s="7" t="s">
        <v>41</v>
      </c>
      <c r="L170" s="10">
        <v>15</v>
      </c>
      <c r="M170" s="24" t="s">
        <v>40</v>
      </c>
      <c r="N170">
        <v>44</v>
      </c>
    </row>
    <row r="171" spans="1:14">
      <c r="A171" s="25">
        <f t="shared" si="21"/>
        <v>170</v>
      </c>
      <c r="B171" s="67" t="s">
        <v>1</v>
      </c>
      <c r="C171" s="67" t="s">
        <v>104</v>
      </c>
      <c r="D171" s="67" t="s">
        <v>103</v>
      </c>
      <c r="E171" s="22">
        <f t="shared" ca="1" si="22"/>
        <v>40951</v>
      </c>
      <c r="F171" s="11">
        <f>DATE(70,3,19)</f>
        <v>25646</v>
      </c>
      <c r="G171" s="12">
        <f t="shared" ca="1" si="18"/>
        <v>42</v>
      </c>
      <c r="H171" s="12">
        <f t="shared" ca="1" si="19"/>
        <v>-1</v>
      </c>
      <c r="I171" s="13">
        <f t="shared" ca="1" si="20"/>
        <v>-7</v>
      </c>
      <c r="J171" s="14">
        <f t="shared" ca="1" si="17"/>
        <v>41</v>
      </c>
      <c r="K171" s="12" t="s">
        <v>40</v>
      </c>
      <c r="L171" s="15">
        <v>15</v>
      </c>
      <c r="M171" s="25" t="s">
        <v>40</v>
      </c>
      <c r="N171">
        <v>44</v>
      </c>
    </row>
    <row r="172" spans="1:14">
      <c r="A172" s="25">
        <f t="shared" si="21"/>
        <v>171</v>
      </c>
      <c r="B172" s="67" t="s">
        <v>1</v>
      </c>
      <c r="C172" s="67" t="s">
        <v>105</v>
      </c>
      <c r="D172" s="67" t="s">
        <v>104</v>
      </c>
      <c r="E172" s="22">
        <f t="shared" ca="1" si="22"/>
        <v>40951</v>
      </c>
      <c r="F172" s="11">
        <f>DATE(75,2,7)</f>
        <v>27432</v>
      </c>
      <c r="G172" s="12">
        <f t="shared" ca="1" si="18"/>
        <v>37</v>
      </c>
      <c r="H172" s="12">
        <f t="shared" ca="1" si="19"/>
        <v>0</v>
      </c>
      <c r="I172" s="13">
        <f t="shared" ca="1" si="20"/>
        <v>5</v>
      </c>
      <c r="J172" s="14">
        <f t="shared" ca="1" si="17"/>
        <v>37</v>
      </c>
      <c r="K172" s="12" t="s">
        <v>41</v>
      </c>
      <c r="L172" s="15">
        <v>15</v>
      </c>
      <c r="M172" s="25" t="s">
        <v>40</v>
      </c>
      <c r="N172">
        <v>44</v>
      </c>
    </row>
    <row r="173" spans="1:14">
      <c r="A173" s="25">
        <f t="shared" si="21"/>
        <v>172</v>
      </c>
      <c r="B173" s="67" t="s">
        <v>1</v>
      </c>
      <c r="C173" s="67" t="s">
        <v>106</v>
      </c>
      <c r="D173" s="67" t="s">
        <v>104</v>
      </c>
      <c r="E173" s="22">
        <f t="shared" ca="1" si="22"/>
        <v>40951</v>
      </c>
      <c r="F173" s="11">
        <f>DATE(2001,4,2)</f>
        <v>36983</v>
      </c>
      <c r="G173" s="12">
        <f t="shared" ca="1" si="18"/>
        <v>11</v>
      </c>
      <c r="H173" s="12">
        <f t="shared" ca="1" si="19"/>
        <v>-2</v>
      </c>
      <c r="I173" s="13">
        <f t="shared" ca="1" si="20"/>
        <v>10</v>
      </c>
      <c r="J173" s="14">
        <f t="shared" ca="1" si="17"/>
        <v>10</v>
      </c>
      <c r="K173" s="12" t="s">
        <v>40</v>
      </c>
      <c r="L173" s="15">
        <v>15</v>
      </c>
      <c r="M173" s="25" t="s">
        <v>44</v>
      </c>
      <c r="N173">
        <v>44</v>
      </c>
    </row>
    <row r="174" spans="1:14">
      <c r="A174" s="25">
        <f t="shared" si="21"/>
        <v>173</v>
      </c>
      <c r="B174" s="67" t="s">
        <v>1</v>
      </c>
      <c r="C174" s="67" t="s">
        <v>107</v>
      </c>
      <c r="D174" s="67" t="s">
        <v>104</v>
      </c>
      <c r="E174" s="22">
        <f t="shared" ca="1" si="22"/>
        <v>40951</v>
      </c>
      <c r="F174" s="11">
        <f>DATE(2006,5,21)</f>
        <v>38858</v>
      </c>
      <c r="G174" s="12">
        <f t="shared" ca="1" si="18"/>
        <v>6</v>
      </c>
      <c r="H174" s="12">
        <f t="shared" ca="1" si="19"/>
        <v>-3</v>
      </c>
      <c r="I174" s="13">
        <f t="shared" ca="1" si="20"/>
        <v>-9</v>
      </c>
      <c r="J174" s="14">
        <f t="shared" ca="1" si="17"/>
        <v>5</v>
      </c>
      <c r="K174" s="12" t="s">
        <v>41</v>
      </c>
      <c r="L174" s="15">
        <v>15</v>
      </c>
      <c r="M174" s="25" t="s">
        <v>44</v>
      </c>
      <c r="N174">
        <v>44</v>
      </c>
    </row>
    <row r="175" spans="1:14" ht="15.75" thickBot="1">
      <c r="A175" s="26">
        <f t="shared" si="21"/>
        <v>174</v>
      </c>
      <c r="B175" s="68" t="s">
        <v>1</v>
      </c>
      <c r="C175" s="68" t="s">
        <v>108</v>
      </c>
      <c r="D175" s="68" t="s">
        <v>104</v>
      </c>
      <c r="E175" s="23">
        <f t="shared" ca="1" si="22"/>
        <v>40951</v>
      </c>
      <c r="F175" s="16">
        <f>DATE(2006,5,21)</f>
        <v>38858</v>
      </c>
      <c r="G175" s="17">
        <f t="shared" ca="1" si="18"/>
        <v>6</v>
      </c>
      <c r="H175" s="17">
        <f t="shared" ca="1" si="19"/>
        <v>-3</v>
      </c>
      <c r="I175" s="18">
        <f t="shared" ca="1" si="20"/>
        <v>-9</v>
      </c>
      <c r="J175" s="19">
        <f t="shared" ca="1" si="17"/>
        <v>5</v>
      </c>
      <c r="K175" s="17" t="s">
        <v>40</v>
      </c>
      <c r="L175" s="20">
        <v>15</v>
      </c>
      <c r="M175" s="26" t="s">
        <v>44</v>
      </c>
      <c r="N175">
        <v>44</v>
      </c>
    </row>
    <row r="176" spans="1:14">
      <c r="A176" s="24">
        <f t="shared" si="21"/>
        <v>175</v>
      </c>
      <c r="B176" s="66" t="s">
        <v>1</v>
      </c>
      <c r="C176" s="66" t="s">
        <v>109</v>
      </c>
      <c r="D176" s="66" t="s">
        <v>110</v>
      </c>
      <c r="E176" s="21">
        <f t="shared" ca="1" si="22"/>
        <v>40951</v>
      </c>
      <c r="F176" s="6">
        <f>DATE(44,3,19)</f>
        <v>16150</v>
      </c>
      <c r="G176" s="7">
        <f t="shared" ca="1" si="18"/>
        <v>68</v>
      </c>
      <c r="H176" s="7">
        <f t="shared" ca="1" si="19"/>
        <v>-1</v>
      </c>
      <c r="I176" s="8">
        <f t="shared" ca="1" si="20"/>
        <v>-7</v>
      </c>
      <c r="J176" s="9">
        <f t="shared" ca="1" si="17"/>
        <v>67</v>
      </c>
      <c r="K176" s="7" t="s">
        <v>40</v>
      </c>
      <c r="L176" s="10">
        <v>15</v>
      </c>
      <c r="M176" s="24" t="s">
        <v>40</v>
      </c>
      <c r="N176">
        <v>45</v>
      </c>
    </row>
    <row r="177" spans="1:14">
      <c r="A177" s="25">
        <f t="shared" si="21"/>
        <v>176</v>
      </c>
      <c r="B177" s="67" t="s">
        <v>1</v>
      </c>
      <c r="C177" s="67" t="s">
        <v>111</v>
      </c>
      <c r="D177" s="67" t="s">
        <v>109</v>
      </c>
      <c r="E177" s="22">
        <f t="shared" ca="1" si="22"/>
        <v>40951</v>
      </c>
      <c r="F177" s="11">
        <f>DATE(47,2,9)</f>
        <v>17207</v>
      </c>
      <c r="G177" s="12">
        <f t="shared" ca="1" si="18"/>
        <v>65</v>
      </c>
      <c r="H177" s="12">
        <f t="shared" ca="1" si="19"/>
        <v>0</v>
      </c>
      <c r="I177" s="13">
        <f t="shared" ca="1" si="20"/>
        <v>3</v>
      </c>
      <c r="J177" s="14">
        <f t="shared" ca="1" si="17"/>
        <v>65</v>
      </c>
      <c r="K177" s="12" t="s">
        <v>41</v>
      </c>
      <c r="L177" s="15">
        <v>15</v>
      </c>
      <c r="M177" s="25" t="s">
        <v>40</v>
      </c>
      <c r="N177">
        <v>45</v>
      </c>
    </row>
    <row r="178" spans="1:14">
      <c r="A178" s="25">
        <f t="shared" si="21"/>
        <v>177</v>
      </c>
      <c r="B178" s="67" t="s">
        <v>1</v>
      </c>
      <c r="C178" s="67" t="s">
        <v>112</v>
      </c>
      <c r="D178" s="67" t="s">
        <v>109</v>
      </c>
      <c r="E178" s="22">
        <f t="shared" ca="1" si="22"/>
        <v>40951</v>
      </c>
      <c r="F178" s="11">
        <f>DATE(69,2,9)</f>
        <v>25243</v>
      </c>
      <c r="G178" s="12">
        <f t="shared" ca="1" si="18"/>
        <v>43</v>
      </c>
      <c r="H178" s="12">
        <f t="shared" ca="1" si="19"/>
        <v>0</v>
      </c>
      <c r="I178" s="13">
        <f t="shared" ca="1" si="20"/>
        <v>3</v>
      </c>
      <c r="J178" s="14">
        <f t="shared" ca="1" si="17"/>
        <v>43</v>
      </c>
      <c r="K178" s="12" t="s">
        <v>40</v>
      </c>
      <c r="L178" s="15">
        <v>15</v>
      </c>
      <c r="M178" s="25" t="s">
        <v>40</v>
      </c>
      <c r="N178">
        <v>45</v>
      </c>
    </row>
    <row r="179" spans="1:14">
      <c r="A179" s="25">
        <f t="shared" si="21"/>
        <v>178</v>
      </c>
      <c r="B179" s="67" t="s">
        <v>1</v>
      </c>
      <c r="C179" s="67" t="s">
        <v>113</v>
      </c>
      <c r="D179" s="67" t="s">
        <v>112</v>
      </c>
      <c r="E179" s="22">
        <f t="shared" ca="1" si="22"/>
        <v>40951</v>
      </c>
      <c r="F179" s="11">
        <f>DATE(74,1,23)</f>
        <v>27052</v>
      </c>
      <c r="G179" s="12">
        <f t="shared" ca="1" si="18"/>
        <v>38</v>
      </c>
      <c r="H179" s="12">
        <f t="shared" ca="1" si="19"/>
        <v>1</v>
      </c>
      <c r="I179" s="13">
        <f t="shared" ca="1" si="20"/>
        <v>-11</v>
      </c>
      <c r="J179" s="14">
        <f t="shared" ca="1" si="17"/>
        <v>38</v>
      </c>
      <c r="K179" s="12" t="s">
        <v>41</v>
      </c>
      <c r="L179" s="15">
        <v>15</v>
      </c>
      <c r="M179" s="25" t="s">
        <v>40</v>
      </c>
      <c r="N179">
        <v>45</v>
      </c>
    </row>
    <row r="180" spans="1:14">
      <c r="A180" s="25">
        <f t="shared" si="21"/>
        <v>179</v>
      </c>
      <c r="B180" s="67" t="s">
        <v>1</v>
      </c>
      <c r="C180" s="67" t="s">
        <v>63</v>
      </c>
      <c r="D180" s="67" t="s">
        <v>112</v>
      </c>
      <c r="E180" s="22">
        <f t="shared" ca="1" si="22"/>
        <v>40951</v>
      </c>
      <c r="F180" s="11">
        <f>DATE(2000,12,7)</f>
        <v>36867</v>
      </c>
      <c r="G180" s="12">
        <f t="shared" ca="1" si="18"/>
        <v>12</v>
      </c>
      <c r="H180" s="12">
        <f t="shared" ca="1" si="19"/>
        <v>-10</v>
      </c>
      <c r="I180" s="13">
        <f t="shared" ca="1" si="20"/>
        <v>5</v>
      </c>
      <c r="J180" s="14">
        <f t="shared" ca="1" si="17"/>
        <v>11</v>
      </c>
      <c r="K180" s="12" t="s">
        <v>40</v>
      </c>
      <c r="L180" s="15">
        <v>15</v>
      </c>
      <c r="M180" s="25" t="s">
        <v>44</v>
      </c>
      <c r="N180">
        <v>45</v>
      </c>
    </row>
    <row r="181" spans="1:14">
      <c r="A181" s="25">
        <f t="shared" si="21"/>
        <v>180</v>
      </c>
      <c r="B181" s="67" t="s">
        <v>1</v>
      </c>
      <c r="C181" s="67" t="s">
        <v>114</v>
      </c>
      <c r="D181" s="67" t="s">
        <v>109</v>
      </c>
      <c r="E181" s="22">
        <f t="shared" ca="1" si="22"/>
        <v>40951</v>
      </c>
      <c r="F181" s="11">
        <f>DATE(71,6,26)</f>
        <v>26110</v>
      </c>
      <c r="G181" s="12">
        <f t="shared" ca="1" si="18"/>
        <v>41</v>
      </c>
      <c r="H181" s="12">
        <f t="shared" ca="1" si="19"/>
        <v>-4</v>
      </c>
      <c r="I181" s="13">
        <f t="shared" ca="1" si="20"/>
        <v>-14</v>
      </c>
      <c r="J181" s="14">
        <f t="shared" ca="1" si="17"/>
        <v>40</v>
      </c>
      <c r="K181" s="12" t="s">
        <v>40</v>
      </c>
      <c r="L181" s="15">
        <v>15</v>
      </c>
      <c r="M181" s="25" t="s">
        <v>40</v>
      </c>
      <c r="N181">
        <v>45</v>
      </c>
    </row>
    <row r="182" spans="1:14">
      <c r="A182" s="25">
        <f t="shared" si="21"/>
        <v>181</v>
      </c>
      <c r="B182" s="67" t="s">
        <v>1</v>
      </c>
      <c r="C182" s="67" t="s">
        <v>115</v>
      </c>
      <c r="D182" s="67" t="s">
        <v>114</v>
      </c>
      <c r="E182" s="22">
        <f t="shared" ca="1" si="22"/>
        <v>40951</v>
      </c>
      <c r="F182" s="11">
        <f>DATE(75,8,2)</f>
        <v>27608</v>
      </c>
      <c r="G182" s="12">
        <f t="shared" ca="1" si="18"/>
        <v>37</v>
      </c>
      <c r="H182" s="12">
        <f t="shared" ca="1" si="19"/>
        <v>-6</v>
      </c>
      <c r="I182" s="13">
        <f t="shared" ca="1" si="20"/>
        <v>10</v>
      </c>
      <c r="J182" s="14">
        <f t="shared" ca="1" si="17"/>
        <v>36</v>
      </c>
      <c r="K182" s="12" t="s">
        <v>41</v>
      </c>
      <c r="L182" s="15">
        <v>15</v>
      </c>
      <c r="M182" s="25" t="s">
        <v>40</v>
      </c>
      <c r="N182">
        <v>45</v>
      </c>
    </row>
    <row r="183" spans="1:14">
      <c r="A183" s="25">
        <f t="shared" si="21"/>
        <v>182</v>
      </c>
      <c r="B183" s="67" t="s">
        <v>1</v>
      </c>
      <c r="C183" s="67" t="s">
        <v>116</v>
      </c>
      <c r="D183" s="67" t="s">
        <v>114</v>
      </c>
      <c r="E183" s="22">
        <f t="shared" ca="1" si="22"/>
        <v>40951</v>
      </c>
      <c r="F183" s="11">
        <f>DATE(2002,6,21)</f>
        <v>37428</v>
      </c>
      <c r="G183" s="12">
        <f t="shared" ca="1" si="18"/>
        <v>10</v>
      </c>
      <c r="H183" s="12">
        <f t="shared" ca="1" si="19"/>
        <v>-4</v>
      </c>
      <c r="I183" s="13">
        <f t="shared" ca="1" si="20"/>
        <v>-9</v>
      </c>
      <c r="J183" s="14">
        <f t="shared" ca="1" si="17"/>
        <v>9</v>
      </c>
      <c r="K183" s="12" t="s">
        <v>40</v>
      </c>
      <c r="L183" s="15">
        <v>15</v>
      </c>
      <c r="M183" s="25" t="s">
        <v>44</v>
      </c>
      <c r="N183">
        <v>45</v>
      </c>
    </row>
    <row r="184" spans="1:14">
      <c r="A184" s="25">
        <f t="shared" si="21"/>
        <v>183</v>
      </c>
      <c r="B184" s="67" t="s">
        <v>1</v>
      </c>
      <c r="C184" s="67" t="s">
        <v>117</v>
      </c>
      <c r="D184" s="67" t="s">
        <v>114</v>
      </c>
      <c r="E184" s="22">
        <f t="shared" ca="1" si="22"/>
        <v>40951</v>
      </c>
      <c r="F184" s="11">
        <f>DATE(2004,6,21)</f>
        <v>38159</v>
      </c>
      <c r="G184" s="12">
        <f t="shared" ca="1" si="18"/>
        <v>8</v>
      </c>
      <c r="H184" s="12">
        <f t="shared" ca="1" si="19"/>
        <v>-4</v>
      </c>
      <c r="I184" s="13">
        <f t="shared" ca="1" si="20"/>
        <v>-9</v>
      </c>
      <c r="J184" s="14">
        <f t="shared" ca="1" si="17"/>
        <v>7</v>
      </c>
      <c r="K184" s="12" t="s">
        <v>40</v>
      </c>
      <c r="L184" s="15">
        <v>15</v>
      </c>
      <c r="M184" s="25" t="s">
        <v>44</v>
      </c>
      <c r="N184">
        <v>45</v>
      </c>
    </row>
    <row r="185" spans="1:14">
      <c r="A185" s="25">
        <f t="shared" si="21"/>
        <v>184</v>
      </c>
      <c r="B185" s="67" t="s">
        <v>1</v>
      </c>
      <c r="C185" s="67" t="s">
        <v>118</v>
      </c>
      <c r="D185" s="67" t="s">
        <v>109</v>
      </c>
      <c r="E185" s="22">
        <f t="shared" ca="1" si="22"/>
        <v>40951</v>
      </c>
      <c r="F185" s="11">
        <f>DATE(73,9,25)</f>
        <v>26932</v>
      </c>
      <c r="G185" s="12">
        <f t="shared" ca="1" si="18"/>
        <v>39</v>
      </c>
      <c r="H185" s="12">
        <f t="shared" ca="1" si="19"/>
        <v>-7</v>
      </c>
      <c r="I185" s="13">
        <f t="shared" ca="1" si="20"/>
        <v>-13</v>
      </c>
      <c r="J185" s="14">
        <f t="shared" ca="1" si="17"/>
        <v>38</v>
      </c>
      <c r="K185" s="12" t="s">
        <v>40</v>
      </c>
      <c r="L185" s="15">
        <v>15</v>
      </c>
      <c r="M185" s="25" t="s">
        <v>40</v>
      </c>
      <c r="N185">
        <v>45</v>
      </c>
    </row>
    <row r="186" spans="1:14">
      <c r="A186" s="25">
        <f t="shared" si="21"/>
        <v>185</v>
      </c>
      <c r="B186" s="67" t="s">
        <v>1</v>
      </c>
      <c r="C186" s="67" t="s">
        <v>119</v>
      </c>
      <c r="D186" s="67" t="s">
        <v>118</v>
      </c>
      <c r="E186" s="22">
        <f t="shared" ca="1" si="22"/>
        <v>40951</v>
      </c>
      <c r="F186" s="11">
        <f>DATE(74,12,14)</f>
        <v>27377</v>
      </c>
      <c r="G186" s="12">
        <f t="shared" ca="1" si="18"/>
        <v>38</v>
      </c>
      <c r="H186" s="12">
        <f t="shared" ca="1" si="19"/>
        <v>-10</v>
      </c>
      <c r="I186" s="13">
        <f t="shared" ca="1" si="20"/>
        <v>-2</v>
      </c>
      <c r="J186" s="14">
        <f t="shared" ca="1" si="17"/>
        <v>37</v>
      </c>
      <c r="K186" s="12" t="s">
        <v>41</v>
      </c>
      <c r="L186" s="15">
        <v>15</v>
      </c>
      <c r="M186" s="25" t="s">
        <v>40</v>
      </c>
      <c r="N186">
        <v>45</v>
      </c>
    </row>
    <row r="187" spans="1:14">
      <c r="A187" s="25">
        <f t="shared" si="21"/>
        <v>186</v>
      </c>
      <c r="B187" s="67" t="s">
        <v>1</v>
      </c>
      <c r="C187" s="67" t="s">
        <v>120</v>
      </c>
      <c r="D187" s="67" t="s">
        <v>118</v>
      </c>
      <c r="E187" s="22">
        <f t="shared" ca="1" si="22"/>
        <v>40951</v>
      </c>
      <c r="F187" s="11">
        <f>DATE(2005,11,21)</f>
        <v>38677</v>
      </c>
      <c r="G187" s="12">
        <f t="shared" ca="1" si="18"/>
        <v>7</v>
      </c>
      <c r="H187" s="12">
        <f t="shared" ca="1" si="19"/>
        <v>-9</v>
      </c>
      <c r="I187" s="13">
        <f t="shared" ca="1" si="20"/>
        <v>-9</v>
      </c>
      <c r="J187" s="14">
        <f t="shared" ca="1" si="17"/>
        <v>6</v>
      </c>
      <c r="K187" s="12" t="s">
        <v>40</v>
      </c>
      <c r="L187" s="15">
        <v>15</v>
      </c>
      <c r="M187" s="25" t="s">
        <v>44</v>
      </c>
      <c r="N187">
        <v>45</v>
      </c>
    </row>
    <row r="188" spans="1:14">
      <c r="A188" s="25">
        <f t="shared" si="21"/>
        <v>187</v>
      </c>
      <c r="B188" s="67" t="s">
        <v>1</v>
      </c>
      <c r="C188" s="67" t="s">
        <v>121</v>
      </c>
      <c r="D188" s="67" t="s">
        <v>109</v>
      </c>
      <c r="E188" s="22">
        <f t="shared" ca="1" si="22"/>
        <v>40951</v>
      </c>
      <c r="F188" s="11">
        <f>DATE(76,7,10)</f>
        <v>27951</v>
      </c>
      <c r="G188" s="12">
        <f t="shared" ca="1" si="18"/>
        <v>36</v>
      </c>
      <c r="H188" s="12">
        <f t="shared" ca="1" si="19"/>
        <v>-5</v>
      </c>
      <c r="I188" s="13">
        <f t="shared" ca="1" si="20"/>
        <v>2</v>
      </c>
      <c r="J188" s="14">
        <f t="shared" ca="1" si="17"/>
        <v>35</v>
      </c>
      <c r="K188" s="12" t="s">
        <v>40</v>
      </c>
      <c r="L188" s="15">
        <v>15</v>
      </c>
      <c r="M188" s="25" t="s">
        <v>40</v>
      </c>
      <c r="N188">
        <v>45</v>
      </c>
    </row>
    <row r="189" spans="1:14" ht="15.75" thickBot="1">
      <c r="A189" s="26">
        <f t="shared" si="21"/>
        <v>188</v>
      </c>
      <c r="B189" s="68" t="s">
        <v>1</v>
      </c>
      <c r="C189" s="68" t="s">
        <v>122</v>
      </c>
      <c r="D189" s="68" t="s">
        <v>121</v>
      </c>
      <c r="E189" s="23">
        <f t="shared" ca="1" si="22"/>
        <v>40951</v>
      </c>
      <c r="F189" s="16">
        <f>DATE(82,4,20)</f>
        <v>30061</v>
      </c>
      <c r="G189" s="17">
        <f t="shared" ca="1" si="18"/>
        <v>30</v>
      </c>
      <c r="H189" s="17">
        <f t="shared" ca="1" si="19"/>
        <v>-2</v>
      </c>
      <c r="I189" s="18">
        <f t="shared" ca="1" si="20"/>
        <v>-8</v>
      </c>
      <c r="J189" s="19">
        <f t="shared" ca="1" si="17"/>
        <v>29</v>
      </c>
      <c r="K189" s="17" t="s">
        <v>41</v>
      </c>
      <c r="L189" s="20">
        <v>15</v>
      </c>
      <c r="M189" s="26" t="s">
        <v>40</v>
      </c>
      <c r="N189">
        <v>45</v>
      </c>
    </row>
    <row r="190" spans="1:14">
      <c r="A190" s="24">
        <f t="shared" si="21"/>
        <v>189</v>
      </c>
      <c r="B190" s="66" t="s">
        <v>1</v>
      </c>
      <c r="C190" s="66" t="s">
        <v>123</v>
      </c>
      <c r="D190" s="66" t="s">
        <v>82</v>
      </c>
      <c r="E190" s="21">
        <f t="shared" ca="1" si="22"/>
        <v>40951</v>
      </c>
      <c r="F190" s="6">
        <f>DATE(55,6,8)</f>
        <v>20248</v>
      </c>
      <c r="G190" s="7">
        <f t="shared" ca="1" si="18"/>
        <v>57</v>
      </c>
      <c r="H190" s="7">
        <f t="shared" ca="1" si="19"/>
        <v>-4</v>
      </c>
      <c r="I190" s="8">
        <f t="shared" ca="1" si="20"/>
        <v>4</v>
      </c>
      <c r="J190" s="9">
        <f t="shared" ca="1" si="17"/>
        <v>56</v>
      </c>
      <c r="K190" s="7" t="s">
        <v>40</v>
      </c>
      <c r="L190" s="10">
        <v>16</v>
      </c>
      <c r="M190" s="24" t="s">
        <v>40</v>
      </c>
      <c r="N190">
        <v>46</v>
      </c>
    </row>
    <row r="191" spans="1:14">
      <c r="A191" s="25">
        <f t="shared" si="21"/>
        <v>190</v>
      </c>
      <c r="B191" s="67" t="s">
        <v>1</v>
      </c>
      <c r="C191" s="67" t="s">
        <v>124</v>
      </c>
      <c r="D191" s="67" t="s">
        <v>123</v>
      </c>
      <c r="E191" s="22">
        <f t="shared" ca="1" si="22"/>
        <v>40951</v>
      </c>
      <c r="F191" s="11">
        <f>DATE(60,2,19)</f>
        <v>21965</v>
      </c>
      <c r="G191" s="12">
        <f t="shared" ca="1" si="18"/>
        <v>52</v>
      </c>
      <c r="H191" s="12">
        <f t="shared" ca="1" si="19"/>
        <v>0</v>
      </c>
      <c r="I191" s="13">
        <f t="shared" ca="1" si="20"/>
        <v>-7</v>
      </c>
      <c r="J191" s="14">
        <f t="shared" ca="1" si="17"/>
        <v>51</v>
      </c>
      <c r="K191" s="12" t="s">
        <v>41</v>
      </c>
      <c r="L191" s="15">
        <v>16</v>
      </c>
      <c r="M191" s="25" t="s">
        <v>40</v>
      </c>
      <c r="N191">
        <v>46</v>
      </c>
    </row>
    <row r="192" spans="1:14">
      <c r="A192" s="25">
        <f t="shared" si="21"/>
        <v>191</v>
      </c>
      <c r="B192" s="67" t="s">
        <v>1</v>
      </c>
      <c r="C192" s="67" t="s">
        <v>125</v>
      </c>
      <c r="D192" s="67" t="s">
        <v>123</v>
      </c>
      <c r="E192" s="22">
        <f t="shared" ca="1" si="22"/>
        <v>40951</v>
      </c>
      <c r="F192" s="11">
        <f>DATE(81,10,1)</f>
        <v>29860</v>
      </c>
      <c r="G192" s="12">
        <f t="shared" ca="1" si="18"/>
        <v>31</v>
      </c>
      <c r="H192" s="12">
        <f t="shared" ca="1" si="19"/>
        <v>-8</v>
      </c>
      <c r="I192" s="13">
        <f t="shared" ca="1" si="20"/>
        <v>11</v>
      </c>
      <c r="J192" s="14">
        <f t="shared" ca="1" si="17"/>
        <v>30</v>
      </c>
      <c r="K192" s="12" t="s">
        <v>41</v>
      </c>
      <c r="L192" s="15">
        <v>16</v>
      </c>
      <c r="M192" s="25" t="s">
        <v>44</v>
      </c>
      <c r="N192">
        <v>46</v>
      </c>
    </row>
    <row r="193" spans="1:14" ht="15.75" thickBot="1">
      <c r="A193" s="26">
        <f t="shared" si="21"/>
        <v>192</v>
      </c>
      <c r="B193" s="68" t="s">
        <v>1</v>
      </c>
      <c r="C193" s="68" t="s">
        <v>126</v>
      </c>
      <c r="D193" s="68" t="s">
        <v>123</v>
      </c>
      <c r="E193" s="23">
        <f t="shared" ca="1" si="22"/>
        <v>40951</v>
      </c>
      <c r="F193" s="16">
        <f>DATE(85,10,11)</f>
        <v>31331</v>
      </c>
      <c r="G193" s="17">
        <f t="shared" ca="1" si="18"/>
        <v>27</v>
      </c>
      <c r="H193" s="17">
        <f t="shared" ca="1" si="19"/>
        <v>-8</v>
      </c>
      <c r="I193" s="18">
        <f t="shared" ca="1" si="20"/>
        <v>1</v>
      </c>
      <c r="J193" s="19">
        <f t="shared" ca="1" si="17"/>
        <v>26</v>
      </c>
      <c r="K193" s="17" t="s">
        <v>40</v>
      </c>
      <c r="L193" s="20">
        <v>16</v>
      </c>
      <c r="M193" s="26" t="s">
        <v>44</v>
      </c>
      <c r="N193">
        <v>46</v>
      </c>
    </row>
    <row r="194" spans="1:14">
      <c r="A194" s="24">
        <f t="shared" si="21"/>
        <v>193</v>
      </c>
      <c r="B194" s="66" t="s">
        <v>1</v>
      </c>
      <c r="C194" s="66" t="s">
        <v>127</v>
      </c>
      <c r="D194" s="66" t="s">
        <v>128</v>
      </c>
      <c r="E194" s="21">
        <f t="shared" ca="1" si="22"/>
        <v>40951</v>
      </c>
      <c r="F194" s="6">
        <f>DATE(66,7,1)</f>
        <v>24289</v>
      </c>
      <c r="G194" s="7">
        <f t="shared" ca="1" si="18"/>
        <v>46</v>
      </c>
      <c r="H194" s="7">
        <f t="shared" ca="1" si="19"/>
        <v>-5</v>
      </c>
      <c r="I194" s="8">
        <f t="shared" ca="1" si="20"/>
        <v>11</v>
      </c>
      <c r="J194" s="9">
        <f t="shared" ca="1" si="17"/>
        <v>45</v>
      </c>
      <c r="K194" s="7" t="s">
        <v>40</v>
      </c>
      <c r="L194" s="10">
        <v>16</v>
      </c>
      <c r="M194" s="24" t="s">
        <v>40</v>
      </c>
      <c r="N194">
        <v>47</v>
      </c>
    </row>
    <row r="195" spans="1:14">
      <c r="A195" s="25">
        <f t="shared" si="21"/>
        <v>194</v>
      </c>
      <c r="B195" s="67" t="s">
        <v>1</v>
      </c>
      <c r="C195" s="67" t="s">
        <v>129</v>
      </c>
      <c r="D195" s="67" t="s">
        <v>127</v>
      </c>
      <c r="E195" s="22">
        <f t="shared" ca="1" si="22"/>
        <v>40951</v>
      </c>
      <c r="F195" s="11">
        <f>DATE(66,4,1)</f>
        <v>24198</v>
      </c>
      <c r="G195" s="12">
        <f t="shared" ca="1" si="18"/>
        <v>46</v>
      </c>
      <c r="H195" s="12">
        <f t="shared" ca="1" si="19"/>
        <v>-2</v>
      </c>
      <c r="I195" s="13">
        <f t="shared" ca="1" si="20"/>
        <v>11</v>
      </c>
      <c r="J195" s="14">
        <f t="shared" ref="J195:J258" ca="1" si="23">IF(H195&lt;0,G195-1,IF(H195&gt;0,G195,IF(I195&lt;0,G195-1,G195)))</f>
        <v>45</v>
      </c>
      <c r="K195" s="12" t="s">
        <v>41</v>
      </c>
      <c r="L195" s="15">
        <v>16</v>
      </c>
      <c r="M195" s="25" t="s">
        <v>40</v>
      </c>
      <c r="N195">
        <v>47</v>
      </c>
    </row>
    <row r="196" spans="1:14">
      <c r="A196" s="25">
        <f t="shared" si="21"/>
        <v>195</v>
      </c>
      <c r="B196" s="67" t="s">
        <v>1</v>
      </c>
      <c r="C196" s="67" t="s">
        <v>130</v>
      </c>
      <c r="D196" s="67" t="s">
        <v>127</v>
      </c>
      <c r="E196" s="22">
        <f t="shared" ca="1" si="22"/>
        <v>40951</v>
      </c>
      <c r="F196" s="11">
        <f>DATE(94,12,1)</f>
        <v>34669</v>
      </c>
      <c r="G196" s="12">
        <f t="shared" ca="1" si="18"/>
        <v>18</v>
      </c>
      <c r="H196" s="12">
        <f t="shared" ca="1" si="19"/>
        <v>-10</v>
      </c>
      <c r="I196" s="13">
        <f t="shared" ca="1" si="20"/>
        <v>11</v>
      </c>
      <c r="J196" s="14">
        <f t="shared" ca="1" si="23"/>
        <v>17</v>
      </c>
      <c r="K196" s="12" t="s">
        <v>40</v>
      </c>
      <c r="L196" s="15">
        <v>16</v>
      </c>
      <c r="M196" s="25" t="s">
        <v>44</v>
      </c>
      <c r="N196">
        <v>47</v>
      </c>
    </row>
    <row r="197" spans="1:14">
      <c r="A197" s="25">
        <f t="shared" si="21"/>
        <v>196</v>
      </c>
      <c r="B197" s="67" t="s">
        <v>1</v>
      </c>
      <c r="C197" s="67" t="s">
        <v>131</v>
      </c>
      <c r="D197" s="67" t="s">
        <v>127</v>
      </c>
      <c r="E197" s="22">
        <f t="shared" ca="1" si="22"/>
        <v>40951</v>
      </c>
      <c r="F197" s="11">
        <f>DATE(96,6,3)</f>
        <v>35219</v>
      </c>
      <c r="G197" s="12">
        <f t="shared" ca="1" si="18"/>
        <v>16</v>
      </c>
      <c r="H197" s="12">
        <f t="shared" ca="1" si="19"/>
        <v>-4</v>
      </c>
      <c r="I197" s="13">
        <f t="shared" ca="1" si="20"/>
        <v>9</v>
      </c>
      <c r="J197" s="14">
        <f t="shared" ca="1" si="23"/>
        <v>15</v>
      </c>
      <c r="K197" s="12" t="s">
        <v>41</v>
      </c>
      <c r="L197" s="15">
        <v>16</v>
      </c>
      <c r="M197" s="25" t="s">
        <v>44</v>
      </c>
      <c r="N197">
        <v>47</v>
      </c>
    </row>
    <row r="198" spans="1:14">
      <c r="A198" s="25">
        <f t="shared" si="21"/>
        <v>197</v>
      </c>
      <c r="B198" s="67" t="s">
        <v>1</v>
      </c>
      <c r="C198" s="67" t="s">
        <v>132</v>
      </c>
      <c r="D198" s="67" t="s">
        <v>127</v>
      </c>
      <c r="E198" s="22">
        <f t="shared" ca="1" si="22"/>
        <v>40951</v>
      </c>
      <c r="F198" s="11">
        <f>DATE(43,6,20)</f>
        <v>15877</v>
      </c>
      <c r="G198" s="12">
        <f t="shared" ca="1" si="18"/>
        <v>69</v>
      </c>
      <c r="H198" s="12">
        <f t="shared" ca="1" si="19"/>
        <v>-4</v>
      </c>
      <c r="I198" s="13">
        <f t="shared" ca="1" si="20"/>
        <v>-8</v>
      </c>
      <c r="J198" s="14">
        <f t="shared" ca="1" si="23"/>
        <v>68</v>
      </c>
      <c r="K198" s="12" t="s">
        <v>40</v>
      </c>
      <c r="L198" s="15">
        <v>16</v>
      </c>
      <c r="M198" s="25" t="s">
        <v>40</v>
      </c>
      <c r="N198">
        <v>47</v>
      </c>
    </row>
    <row r="199" spans="1:14" ht="15.75" thickBot="1">
      <c r="A199" s="26">
        <f t="shared" si="21"/>
        <v>198</v>
      </c>
      <c r="B199" s="68" t="s">
        <v>1</v>
      </c>
      <c r="C199" s="68" t="s">
        <v>133</v>
      </c>
      <c r="D199" s="68" t="s">
        <v>132</v>
      </c>
      <c r="E199" s="23">
        <f t="shared" ca="1" si="22"/>
        <v>40951</v>
      </c>
      <c r="F199" s="33"/>
      <c r="G199" s="17">
        <f t="shared" ca="1" si="18"/>
        <v>112</v>
      </c>
      <c r="H199" s="17">
        <f t="shared" ca="1" si="19"/>
        <v>1</v>
      </c>
      <c r="I199" s="18">
        <f t="shared" ca="1" si="20"/>
        <v>12</v>
      </c>
      <c r="J199" s="19">
        <f t="shared" ca="1" si="23"/>
        <v>112</v>
      </c>
      <c r="K199" s="17" t="s">
        <v>41</v>
      </c>
      <c r="L199" s="20">
        <v>16</v>
      </c>
      <c r="M199" s="26" t="s">
        <v>40</v>
      </c>
      <c r="N199">
        <v>47</v>
      </c>
    </row>
    <row r="200" spans="1:14">
      <c r="A200" s="24">
        <f t="shared" si="21"/>
        <v>199</v>
      </c>
      <c r="B200" s="66" t="s">
        <v>1</v>
      </c>
      <c r="C200" s="66" t="s">
        <v>111</v>
      </c>
      <c r="D200" s="66" t="s">
        <v>134</v>
      </c>
      <c r="E200" s="21">
        <f t="shared" ca="1" si="22"/>
        <v>40951</v>
      </c>
      <c r="F200" s="45"/>
      <c r="G200" s="7">
        <f t="shared" ca="1" si="18"/>
        <v>112</v>
      </c>
      <c r="H200" s="7">
        <f t="shared" ca="1" si="19"/>
        <v>1</v>
      </c>
      <c r="I200" s="8">
        <f t="shared" ca="1" si="20"/>
        <v>12</v>
      </c>
      <c r="J200" s="9">
        <f t="shared" ca="1" si="23"/>
        <v>112</v>
      </c>
      <c r="K200" s="7" t="s">
        <v>41</v>
      </c>
      <c r="L200" s="10">
        <v>17</v>
      </c>
      <c r="M200" s="24" t="s">
        <v>40</v>
      </c>
      <c r="N200">
        <v>48</v>
      </c>
    </row>
    <row r="201" spans="1:14">
      <c r="A201" s="25">
        <f t="shared" si="21"/>
        <v>200</v>
      </c>
      <c r="B201" s="67" t="s">
        <v>1</v>
      </c>
      <c r="C201" s="67" t="s">
        <v>135</v>
      </c>
      <c r="D201" s="67" t="s">
        <v>136</v>
      </c>
      <c r="E201" s="22">
        <f t="shared" ca="1" si="22"/>
        <v>40951</v>
      </c>
      <c r="F201" s="11">
        <f>DATE(71,5,5)</f>
        <v>26058</v>
      </c>
      <c r="G201" s="12">
        <f t="shared" ca="1" si="18"/>
        <v>41</v>
      </c>
      <c r="H201" s="12">
        <f t="shared" ca="1" si="19"/>
        <v>-3</v>
      </c>
      <c r="I201" s="13">
        <f t="shared" ca="1" si="20"/>
        <v>7</v>
      </c>
      <c r="J201" s="14">
        <f t="shared" ca="1" si="23"/>
        <v>40</v>
      </c>
      <c r="K201" s="12" t="s">
        <v>40</v>
      </c>
      <c r="L201" s="15">
        <v>17</v>
      </c>
      <c r="M201" s="25" t="s">
        <v>40</v>
      </c>
      <c r="N201">
        <v>48</v>
      </c>
    </row>
    <row r="202" spans="1:14">
      <c r="A202" s="25">
        <f t="shared" si="21"/>
        <v>201</v>
      </c>
      <c r="B202" s="67" t="s">
        <v>1</v>
      </c>
      <c r="C202" s="67" t="s">
        <v>137</v>
      </c>
      <c r="D202" s="67" t="s">
        <v>135</v>
      </c>
      <c r="E202" s="22">
        <f t="shared" ca="1" si="22"/>
        <v>40951</v>
      </c>
      <c r="F202" s="11">
        <f>DATE(72,6,25)</f>
        <v>26475</v>
      </c>
      <c r="G202" s="12">
        <f t="shared" ca="1" si="18"/>
        <v>40</v>
      </c>
      <c r="H202" s="12">
        <f t="shared" ca="1" si="19"/>
        <v>-4</v>
      </c>
      <c r="I202" s="13">
        <f t="shared" ca="1" si="20"/>
        <v>-13</v>
      </c>
      <c r="J202" s="14">
        <f t="shared" ca="1" si="23"/>
        <v>39</v>
      </c>
      <c r="K202" s="12" t="s">
        <v>41</v>
      </c>
      <c r="L202" s="15">
        <v>17</v>
      </c>
      <c r="M202" s="25" t="s">
        <v>40</v>
      </c>
      <c r="N202">
        <v>48</v>
      </c>
    </row>
    <row r="203" spans="1:14">
      <c r="A203" s="25">
        <f t="shared" si="21"/>
        <v>202</v>
      </c>
      <c r="B203" s="67" t="s">
        <v>1</v>
      </c>
      <c r="C203" s="67" t="s">
        <v>138</v>
      </c>
      <c r="D203" s="67" t="s">
        <v>136</v>
      </c>
      <c r="E203" s="22">
        <f t="shared" ca="1" si="22"/>
        <v>40951</v>
      </c>
      <c r="F203" s="11">
        <f>DATE(72,9,2)</f>
        <v>26544</v>
      </c>
      <c r="G203" s="12">
        <f t="shared" ca="1" si="18"/>
        <v>40</v>
      </c>
      <c r="H203" s="12">
        <f t="shared" ca="1" si="19"/>
        <v>-7</v>
      </c>
      <c r="I203" s="13">
        <f t="shared" ca="1" si="20"/>
        <v>10</v>
      </c>
      <c r="J203" s="14">
        <f t="shared" ca="1" si="23"/>
        <v>39</v>
      </c>
      <c r="K203" s="12" t="s">
        <v>40</v>
      </c>
      <c r="L203" s="15">
        <v>17</v>
      </c>
      <c r="M203" s="25" t="s">
        <v>40</v>
      </c>
      <c r="N203">
        <v>48</v>
      </c>
    </row>
    <row r="204" spans="1:14">
      <c r="A204" s="25">
        <f t="shared" si="21"/>
        <v>203</v>
      </c>
      <c r="B204" s="67" t="s">
        <v>1</v>
      </c>
      <c r="C204" s="67" t="s">
        <v>139</v>
      </c>
      <c r="D204" s="67" t="s">
        <v>138</v>
      </c>
      <c r="E204" s="22">
        <f t="shared" ca="1" si="22"/>
        <v>40951</v>
      </c>
      <c r="F204" s="11">
        <f>DATE(76,1,25)</f>
        <v>27784</v>
      </c>
      <c r="G204" s="12">
        <f t="shared" ca="1" si="18"/>
        <v>36</v>
      </c>
      <c r="H204" s="12">
        <f t="shared" ca="1" si="19"/>
        <v>1</v>
      </c>
      <c r="I204" s="13">
        <f t="shared" ca="1" si="20"/>
        <v>-13</v>
      </c>
      <c r="J204" s="14">
        <f t="shared" ca="1" si="23"/>
        <v>36</v>
      </c>
      <c r="K204" s="12" t="s">
        <v>41</v>
      </c>
      <c r="L204" s="15">
        <v>17</v>
      </c>
      <c r="M204" s="25" t="s">
        <v>40</v>
      </c>
      <c r="N204">
        <v>48</v>
      </c>
    </row>
    <row r="205" spans="1:14">
      <c r="A205" s="25">
        <f t="shared" si="21"/>
        <v>204</v>
      </c>
      <c r="B205" s="67" t="s">
        <v>1</v>
      </c>
      <c r="C205" s="67" t="s">
        <v>140</v>
      </c>
      <c r="D205" s="67" t="s">
        <v>138</v>
      </c>
      <c r="E205" s="22">
        <f t="shared" ca="1" si="22"/>
        <v>40951</v>
      </c>
      <c r="F205" s="11">
        <f>DATE(2002,2,25)</f>
        <v>37312</v>
      </c>
      <c r="G205" s="12">
        <f t="shared" ca="1" si="18"/>
        <v>10</v>
      </c>
      <c r="H205" s="12">
        <f t="shared" ca="1" si="19"/>
        <v>0</v>
      </c>
      <c r="I205" s="13">
        <f t="shared" ca="1" si="20"/>
        <v>-13</v>
      </c>
      <c r="J205" s="14">
        <f t="shared" ca="1" si="23"/>
        <v>9</v>
      </c>
      <c r="K205" s="12" t="s">
        <v>40</v>
      </c>
      <c r="L205" s="15">
        <v>17</v>
      </c>
      <c r="M205" s="25" t="s">
        <v>44</v>
      </c>
      <c r="N205">
        <v>48</v>
      </c>
    </row>
    <row r="206" spans="1:14" ht="15.75" thickBot="1">
      <c r="A206" s="26">
        <f t="shared" si="21"/>
        <v>205</v>
      </c>
      <c r="B206" s="68" t="s">
        <v>1</v>
      </c>
      <c r="C206" s="68" t="s">
        <v>141</v>
      </c>
      <c r="D206" s="68" t="s">
        <v>138</v>
      </c>
      <c r="E206" s="23">
        <f t="shared" ca="1" si="22"/>
        <v>40951</v>
      </c>
      <c r="F206" s="16">
        <f>DATE(2005,1,3)</f>
        <v>38355</v>
      </c>
      <c r="G206" s="17">
        <f t="shared" ca="1" si="18"/>
        <v>7</v>
      </c>
      <c r="H206" s="17">
        <f t="shared" ca="1" si="19"/>
        <v>1</v>
      </c>
      <c r="I206" s="18">
        <f t="shared" ca="1" si="20"/>
        <v>9</v>
      </c>
      <c r="J206" s="19">
        <f t="shared" ca="1" si="23"/>
        <v>7</v>
      </c>
      <c r="K206" s="17" t="s">
        <v>40</v>
      </c>
      <c r="L206" s="20">
        <v>17</v>
      </c>
      <c r="M206" s="26" t="s">
        <v>44</v>
      </c>
      <c r="N206">
        <v>48</v>
      </c>
    </row>
    <row r="207" spans="1:14">
      <c r="A207" s="24">
        <f t="shared" si="21"/>
        <v>206</v>
      </c>
      <c r="B207" s="66" t="s">
        <v>1</v>
      </c>
      <c r="C207" s="66" t="s">
        <v>142</v>
      </c>
      <c r="D207" s="66" t="s">
        <v>91</v>
      </c>
      <c r="E207" s="21">
        <f t="shared" ca="1" si="22"/>
        <v>40951</v>
      </c>
      <c r="F207" s="6">
        <f>DATE(58,7,10)</f>
        <v>21376</v>
      </c>
      <c r="G207" s="7">
        <f t="shared" ca="1" si="18"/>
        <v>54</v>
      </c>
      <c r="H207" s="7">
        <f t="shared" ca="1" si="19"/>
        <v>-5</v>
      </c>
      <c r="I207" s="8">
        <f t="shared" ca="1" si="20"/>
        <v>2</v>
      </c>
      <c r="J207" s="9">
        <f t="shared" ca="1" si="23"/>
        <v>53</v>
      </c>
      <c r="K207" s="7" t="s">
        <v>40</v>
      </c>
      <c r="L207" s="10">
        <v>17</v>
      </c>
      <c r="M207" s="24" t="s">
        <v>40</v>
      </c>
      <c r="N207">
        <v>49</v>
      </c>
    </row>
    <row r="208" spans="1:14">
      <c r="A208" s="25">
        <f t="shared" si="21"/>
        <v>207</v>
      </c>
      <c r="B208" s="67" t="s">
        <v>1</v>
      </c>
      <c r="C208" s="67" t="s">
        <v>143</v>
      </c>
      <c r="D208" s="67" t="s">
        <v>144</v>
      </c>
      <c r="E208" s="22">
        <f t="shared" ca="1" si="22"/>
        <v>40951</v>
      </c>
      <c r="F208" s="11">
        <f>DATE(68,8,3)</f>
        <v>25053</v>
      </c>
      <c r="G208" s="12">
        <f t="shared" ca="1" si="18"/>
        <v>44</v>
      </c>
      <c r="H208" s="12">
        <f t="shared" ca="1" si="19"/>
        <v>-6</v>
      </c>
      <c r="I208" s="13">
        <f t="shared" ca="1" si="20"/>
        <v>9</v>
      </c>
      <c r="J208" s="14">
        <f t="shared" ca="1" si="23"/>
        <v>43</v>
      </c>
      <c r="K208" s="12" t="s">
        <v>41</v>
      </c>
      <c r="L208" s="15">
        <v>17</v>
      </c>
      <c r="M208" s="25" t="s">
        <v>40</v>
      </c>
      <c r="N208">
        <v>49</v>
      </c>
    </row>
    <row r="209" spans="1:14">
      <c r="A209" s="25">
        <f t="shared" si="21"/>
        <v>208</v>
      </c>
      <c r="B209" s="67" t="s">
        <v>1</v>
      </c>
      <c r="C209" s="67" t="s">
        <v>145</v>
      </c>
      <c r="D209" s="67" t="s">
        <v>144</v>
      </c>
      <c r="E209" s="22">
        <f t="shared" ca="1" si="22"/>
        <v>40951</v>
      </c>
      <c r="F209" s="11">
        <f>DATE(88,6,21)</f>
        <v>32315</v>
      </c>
      <c r="G209" s="12">
        <f t="shared" ca="1" si="18"/>
        <v>24</v>
      </c>
      <c r="H209" s="12">
        <f t="shared" ca="1" si="19"/>
        <v>-4</v>
      </c>
      <c r="I209" s="13">
        <f t="shared" ca="1" si="20"/>
        <v>-9</v>
      </c>
      <c r="J209" s="14">
        <f t="shared" ca="1" si="23"/>
        <v>23</v>
      </c>
      <c r="K209" s="12" t="s">
        <v>41</v>
      </c>
      <c r="L209" s="15">
        <v>17</v>
      </c>
      <c r="M209" s="25" t="s">
        <v>44</v>
      </c>
      <c r="N209">
        <v>49</v>
      </c>
    </row>
    <row r="210" spans="1:14" ht="15.75" thickBot="1">
      <c r="A210" s="26">
        <f t="shared" si="21"/>
        <v>209</v>
      </c>
      <c r="B210" s="68" t="s">
        <v>1</v>
      </c>
      <c r="C210" s="68" t="s">
        <v>126</v>
      </c>
      <c r="D210" s="68" t="s">
        <v>144</v>
      </c>
      <c r="E210" s="23">
        <f t="shared" ca="1" si="22"/>
        <v>40951</v>
      </c>
      <c r="F210" s="16">
        <f>DATE(89,7,13)</f>
        <v>32702</v>
      </c>
      <c r="G210" s="17">
        <f t="shared" ca="1" si="18"/>
        <v>23</v>
      </c>
      <c r="H210" s="17">
        <f t="shared" ca="1" si="19"/>
        <v>-5</v>
      </c>
      <c r="I210" s="18">
        <f t="shared" ca="1" si="20"/>
        <v>-1</v>
      </c>
      <c r="J210" s="19">
        <f t="shared" ca="1" si="23"/>
        <v>22</v>
      </c>
      <c r="K210" s="17" t="s">
        <v>40</v>
      </c>
      <c r="L210" s="20">
        <v>17</v>
      </c>
      <c r="M210" s="26" t="s">
        <v>44</v>
      </c>
      <c r="N210">
        <v>49</v>
      </c>
    </row>
    <row r="211" spans="1:14">
      <c r="A211" s="24">
        <f t="shared" si="21"/>
        <v>210</v>
      </c>
      <c r="B211" s="66" t="s">
        <v>1</v>
      </c>
      <c r="C211" s="66" t="s">
        <v>146</v>
      </c>
      <c r="D211" s="66" t="s">
        <v>77</v>
      </c>
      <c r="E211" s="21">
        <f t="shared" ca="1" si="22"/>
        <v>40951</v>
      </c>
      <c r="F211" s="6">
        <f>DATE(56,4,15)</f>
        <v>20560</v>
      </c>
      <c r="G211" s="7">
        <f t="shared" ca="1" si="18"/>
        <v>56</v>
      </c>
      <c r="H211" s="7">
        <f t="shared" ca="1" si="19"/>
        <v>-2</v>
      </c>
      <c r="I211" s="8">
        <f t="shared" ca="1" si="20"/>
        <v>-3</v>
      </c>
      <c r="J211" s="9">
        <f t="shared" ca="1" si="23"/>
        <v>55</v>
      </c>
      <c r="K211" s="7" t="s">
        <v>40</v>
      </c>
      <c r="L211" s="10">
        <v>17</v>
      </c>
      <c r="M211" s="24" t="s">
        <v>40</v>
      </c>
      <c r="N211">
        <v>50</v>
      </c>
    </row>
    <row r="212" spans="1:14">
      <c r="A212" s="25">
        <f t="shared" si="21"/>
        <v>211</v>
      </c>
      <c r="B212" s="67" t="s">
        <v>1</v>
      </c>
      <c r="C212" s="67" t="s">
        <v>147</v>
      </c>
      <c r="D212" s="67" t="s">
        <v>146</v>
      </c>
      <c r="E212" s="22">
        <f t="shared" ca="1" si="22"/>
        <v>40951</v>
      </c>
      <c r="F212" s="11">
        <f>DATE(62,6,2)</f>
        <v>22799</v>
      </c>
      <c r="G212" s="12">
        <f t="shared" ca="1" si="18"/>
        <v>50</v>
      </c>
      <c r="H212" s="12">
        <f t="shared" ca="1" si="19"/>
        <v>-4</v>
      </c>
      <c r="I212" s="13">
        <f t="shared" ca="1" si="20"/>
        <v>10</v>
      </c>
      <c r="J212" s="14">
        <f t="shared" ca="1" si="23"/>
        <v>49</v>
      </c>
      <c r="K212" s="12" t="s">
        <v>41</v>
      </c>
      <c r="L212" s="15">
        <v>17</v>
      </c>
      <c r="M212" s="25" t="s">
        <v>40</v>
      </c>
      <c r="N212">
        <v>50</v>
      </c>
    </row>
    <row r="213" spans="1:14" ht="15.75" thickBot="1">
      <c r="A213" s="26">
        <f t="shared" si="21"/>
        <v>212</v>
      </c>
      <c r="B213" s="68" t="s">
        <v>1</v>
      </c>
      <c r="C213" s="68" t="s">
        <v>148</v>
      </c>
      <c r="D213" s="68" t="s">
        <v>146</v>
      </c>
      <c r="E213" s="23">
        <f t="shared" ca="1" si="22"/>
        <v>40951</v>
      </c>
      <c r="F213" s="16">
        <f>DATE(84,11,18)</f>
        <v>31004</v>
      </c>
      <c r="G213" s="17">
        <f t="shared" ca="1" si="18"/>
        <v>28</v>
      </c>
      <c r="H213" s="17">
        <f t="shared" ca="1" si="19"/>
        <v>-9</v>
      </c>
      <c r="I213" s="18">
        <f t="shared" ca="1" si="20"/>
        <v>-6</v>
      </c>
      <c r="J213" s="19">
        <f t="shared" ca="1" si="23"/>
        <v>27</v>
      </c>
      <c r="K213" s="17" t="s">
        <v>40</v>
      </c>
      <c r="L213" s="20">
        <v>17</v>
      </c>
      <c r="M213" s="26" t="s">
        <v>44</v>
      </c>
      <c r="N213">
        <v>50</v>
      </c>
    </row>
    <row r="214" spans="1:14">
      <c r="A214" s="24">
        <f t="shared" si="21"/>
        <v>213</v>
      </c>
      <c r="B214" s="66" t="s">
        <v>1</v>
      </c>
      <c r="C214" s="66" t="s">
        <v>149</v>
      </c>
      <c r="D214" s="66" t="s">
        <v>77</v>
      </c>
      <c r="E214" s="21">
        <f t="shared" ca="1" si="22"/>
        <v>40951</v>
      </c>
      <c r="F214" s="45"/>
      <c r="G214" s="7">
        <f t="shared" ca="1" si="18"/>
        <v>112</v>
      </c>
      <c r="H214" s="7">
        <f t="shared" ca="1" si="19"/>
        <v>1</v>
      </c>
      <c r="I214" s="8">
        <f t="shared" ca="1" si="20"/>
        <v>12</v>
      </c>
      <c r="J214" s="9">
        <f t="shared" ca="1" si="23"/>
        <v>112</v>
      </c>
      <c r="K214" s="7" t="s">
        <v>40</v>
      </c>
      <c r="L214" s="10">
        <v>18</v>
      </c>
      <c r="M214" s="24" t="s">
        <v>40</v>
      </c>
      <c r="N214">
        <v>51</v>
      </c>
    </row>
    <row r="215" spans="1:14">
      <c r="A215" s="25">
        <f t="shared" si="21"/>
        <v>214</v>
      </c>
      <c r="B215" s="67" t="s">
        <v>1</v>
      </c>
      <c r="C215" s="67" t="s">
        <v>93</v>
      </c>
      <c r="D215" s="67" t="s">
        <v>149</v>
      </c>
      <c r="E215" s="22">
        <f t="shared" ca="1" si="22"/>
        <v>40951</v>
      </c>
      <c r="F215" s="11">
        <f>DATE(72,11,10)</f>
        <v>26613</v>
      </c>
      <c r="G215" s="12">
        <f t="shared" ca="1" si="18"/>
        <v>40</v>
      </c>
      <c r="H215" s="12">
        <f t="shared" ca="1" si="19"/>
        <v>-9</v>
      </c>
      <c r="I215" s="13">
        <f t="shared" ca="1" si="20"/>
        <v>2</v>
      </c>
      <c r="J215" s="14">
        <f t="shared" ca="1" si="23"/>
        <v>39</v>
      </c>
      <c r="K215" s="12" t="s">
        <v>40</v>
      </c>
      <c r="L215" s="15">
        <v>18</v>
      </c>
      <c r="M215" s="25" t="s">
        <v>40</v>
      </c>
      <c r="N215">
        <v>51</v>
      </c>
    </row>
    <row r="216" spans="1:14">
      <c r="A216" s="25">
        <f t="shared" si="21"/>
        <v>215</v>
      </c>
      <c r="B216" s="67" t="s">
        <v>1</v>
      </c>
      <c r="C216" s="67" t="s">
        <v>150</v>
      </c>
      <c r="D216" s="67" t="s">
        <v>149</v>
      </c>
      <c r="E216" s="22">
        <f t="shared" ca="1" si="22"/>
        <v>40951</v>
      </c>
      <c r="F216" s="11">
        <f>DATE(82,2,2)</f>
        <v>29984</v>
      </c>
      <c r="G216" s="12">
        <f t="shared" ca="1" si="18"/>
        <v>30</v>
      </c>
      <c r="H216" s="12">
        <f t="shared" ca="1" si="19"/>
        <v>0</v>
      </c>
      <c r="I216" s="13">
        <f t="shared" ca="1" si="20"/>
        <v>10</v>
      </c>
      <c r="J216" s="14">
        <f t="shared" ca="1" si="23"/>
        <v>30</v>
      </c>
      <c r="K216" s="12" t="s">
        <v>41</v>
      </c>
      <c r="L216" s="15">
        <v>18</v>
      </c>
      <c r="M216" s="25" t="s">
        <v>40</v>
      </c>
      <c r="N216">
        <v>51</v>
      </c>
    </row>
    <row r="217" spans="1:14" ht="15.75" thickBot="1">
      <c r="A217" s="26">
        <f t="shared" si="21"/>
        <v>216</v>
      </c>
      <c r="B217" s="68" t="s">
        <v>1</v>
      </c>
      <c r="C217" s="68" t="s">
        <v>151</v>
      </c>
      <c r="D217" s="68" t="s">
        <v>149</v>
      </c>
      <c r="E217" s="23">
        <f t="shared" ca="1" si="22"/>
        <v>40951</v>
      </c>
      <c r="F217" s="16">
        <f>DATE(2006,4,14)</f>
        <v>38821</v>
      </c>
      <c r="G217" s="17">
        <f t="shared" ref="G217:G280" ca="1" si="24">YEAR(E217)-YEAR(F217)</f>
        <v>6</v>
      </c>
      <c r="H217" s="17">
        <f t="shared" ref="H217:H280" ca="1" si="25">MONTH(E217)-MONTH(F217)</f>
        <v>-2</v>
      </c>
      <c r="I217" s="18">
        <f t="shared" ref="I217:I280" ca="1" si="26">DAY(E217)-DAY(F217)</f>
        <v>-2</v>
      </c>
      <c r="J217" s="19">
        <f t="shared" ca="1" si="23"/>
        <v>5</v>
      </c>
      <c r="K217" s="17" t="s">
        <v>40</v>
      </c>
      <c r="L217" s="20">
        <v>18</v>
      </c>
      <c r="M217" s="26" t="s">
        <v>44</v>
      </c>
      <c r="N217">
        <v>51</v>
      </c>
    </row>
    <row r="218" spans="1:14">
      <c r="A218" s="24">
        <f t="shared" si="21"/>
        <v>217</v>
      </c>
      <c r="B218" s="66" t="s">
        <v>1</v>
      </c>
      <c r="C218" s="66" t="s">
        <v>152</v>
      </c>
      <c r="D218" s="66" t="s">
        <v>153</v>
      </c>
      <c r="E218" s="21">
        <f t="shared" ca="1" si="22"/>
        <v>40951</v>
      </c>
      <c r="F218" s="45"/>
      <c r="G218" s="7">
        <f t="shared" ca="1" si="24"/>
        <v>112</v>
      </c>
      <c r="H218" s="7">
        <f t="shared" ca="1" si="25"/>
        <v>1</v>
      </c>
      <c r="I218" s="8">
        <f t="shared" ca="1" si="26"/>
        <v>12</v>
      </c>
      <c r="J218" s="9">
        <f t="shared" ca="1" si="23"/>
        <v>112</v>
      </c>
      <c r="K218" s="7" t="s">
        <v>40</v>
      </c>
      <c r="L218" s="10">
        <v>18</v>
      </c>
      <c r="M218" s="24" t="s">
        <v>40</v>
      </c>
      <c r="N218">
        <v>52</v>
      </c>
    </row>
    <row r="219" spans="1:14">
      <c r="A219" s="25">
        <f t="shared" si="21"/>
        <v>218</v>
      </c>
      <c r="B219" s="67" t="s">
        <v>1</v>
      </c>
      <c r="C219" s="67" t="s">
        <v>154</v>
      </c>
      <c r="D219" s="67" t="s">
        <v>152</v>
      </c>
      <c r="E219" s="22">
        <f t="shared" ca="1" si="22"/>
        <v>40951</v>
      </c>
      <c r="F219" s="32"/>
      <c r="G219" s="12">
        <f t="shared" ca="1" si="24"/>
        <v>112</v>
      </c>
      <c r="H219" s="12">
        <f t="shared" ca="1" si="25"/>
        <v>1</v>
      </c>
      <c r="I219" s="13">
        <f t="shared" ca="1" si="26"/>
        <v>12</v>
      </c>
      <c r="J219" s="14">
        <f t="shared" ca="1" si="23"/>
        <v>112</v>
      </c>
      <c r="K219" s="12" t="s">
        <v>41</v>
      </c>
      <c r="L219" s="15">
        <v>18</v>
      </c>
      <c r="M219" s="25" t="s">
        <v>40</v>
      </c>
      <c r="N219">
        <v>52</v>
      </c>
    </row>
    <row r="220" spans="1:14">
      <c r="A220" s="25">
        <f t="shared" si="21"/>
        <v>219</v>
      </c>
      <c r="B220" s="67" t="s">
        <v>1</v>
      </c>
      <c r="C220" s="67" t="s">
        <v>155</v>
      </c>
      <c r="D220" s="67" t="s">
        <v>153</v>
      </c>
      <c r="E220" s="22">
        <f t="shared" ca="1" si="22"/>
        <v>40951</v>
      </c>
      <c r="F220" s="32"/>
      <c r="G220" s="12">
        <f t="shared" ca="1" si="24"/>
        <v>112</v>
      </c>
      <c r="H220" s="12">
        <f t="shared" ca="1" si="25"/>
        <v>1</v>
      </c>
      <c r="I220" s="13">
        <f t="shared" ca="1" si="26"/>
        <v>12</v>
      </c>
      <c r="J220" s="14">
        <f t="shared" ca="1" si="23"/>
        <v>112</v>
      </c>
      <c r="K220" s="12" t="s">
        <v>41</v>
      </c>
      <c r="L220" s="15">
        <v>18</v>
      </c>
      <c r="M220" s="25" t="s">
        <v>44</v>
      </c>
      <c r="N220">
        <v>52</v>
      </c>
    </row>
    <row r="221" spans="1:14">
      <c r="A221" s="25">
        <f t="shared" si="21"/>
        <v>220</v>
      </c>
      <c r="B221" s="67" t="s">
        <v>1</v>
      </c>
      <c r="C221" s="67" t="s">
        <v>73</v>
      </c>
      <c r="D221" s="67" t="s">
        <v>153</v>
      </c>
      <c r="E221" s="22">
        <f t="shared" ca="1" si="22"/>
        <v>40951</v>
      </c>
      <c r="F221" s="32"/>
      <c r="G221" s="12">
        <f t="shared" ca="1" si="24"/>
        <v>112</v>
      </c>
      <c r="H221" s="12">
        <f t="shared" ca="1" si="25"/>
        <v>1</v>
      </c>
      <c r="I221" s="13">
        <f t="shared" ca="1" si="26"/>
        <v>12</v>
      </c>
      <c r="J221" s="14">
        <f t="shared" ca="1" si="23"/>
        <v>112</v>
      </c>
      <c r="K221" s="12" t="s">
        <v>41</v>
      </c>
      <c r="L221" s="15">
        <v>18</v>
      </c>
      <c r="M221" s="25" t="s">
        <v>44</v>
      </c>
      <c r="N221">
        <v>52</v>
      </c>
    </row>
    <row r="222" spans="1:14" ht="15.75" thickBot="1">
      <c r="A222" s="26">
        <f t="shared" ref="A222:A285" si="27">A221+1</f>
        <v>221</v>
      </c>
      <c r="B222" s="68" t="s">
        <v>1</v>
      </c>
      <c r="C222" s="68" t="s">
        <v>156</v>
      </c>
      <c r="D222" s="68" t="s">
        <v>152</v>
      </c>
      <c r="E222" s="23">
        <f t="shared" ca="1" si="22"/>
        <v>40951</v>
      </c>
      <c r="F222" s="33"/>
      <c r="G222" s="17">
        <f t="shared" ca="1" si="24"/>
        <v>112</v>
      </c>
      <c r="H222" s="17">
        <f t="shared" ca="1" si="25"/>
        <v>1</v>
      </c>
      <c r="I222" s="18">
        <f t="shared" ca="1" si="26"/>
        <v>12</v>
      </c>
      <c r="J222" s="19">
        <f t="shared" ca="1" si="23"/>
        <v>112</v>
      </c>
      <c r="K222" s="17" t="s">
        <v>41</v>
      </c>
      <c r="L222" s="20">
        <v>18</v>
      </c>
      <c r="M222" s="26" t="s">
        <v>44</v>
      </c>
      <c r="N222">
        <v>52</v>
      </c>
    </row>
    <row r="223" spans="1:14">
      <c r="A223" s="24">
        <f t="shared" si="27"/>
        <v>222</v>
      </c>
      <c r="B223" s="66" t="s">
        <v>5</v>
      </c>
      <c r="C223" s="66" t="s">
        <v>157</v>
      </c>
      <c r="D223" s="66" t="s">
        <v>158</v>
      </c>
      <c r="E223" s="21">
        <f t="shared" ca="1" si="22"/>
        <v>40951</v>
      </c>
      <c r="F223" s="6">
        <f>DATE(47,6,13)</f>
        <v>17331</v>
      </c>
      <c r="G223" s="7">
        <f t="shared" ca="1" si="24"/>
        <v>65</v>
      </c>
      <c r="H223" s="7">
        <f t="shared" ca="1" si="25"/>
        <v>-4</v>
      </c>
      <c r="I223" s="8">
        <f t="shared" ca="1" si="26"/>
        <v>-1</v>
      </c>
      <c r="J223" s="9">
        <f t="shared" ca="1" si="23"/>
        <v>64</v>
      </c>
      <c r="K223" s="7" t="s">
        <v>40</v>
      </c>
      <c r="L223" s="10">
        <v>19</v>
      </c>
      <c r="M223" s="24" t="s">
        <v>40</v>
      </c>
      <c r="N223">
        <v>53</v>
      </c>
    </row>
    <row r="224" spans="1:14">
      <c r="A224" s="25">
        <f t="shared" si="27"/>
        <v>223</v>
      </c>
      <c r="B224" s="67" t="s">
        <v>5</v>
      </c>
      <c r="C224" s="67" t="s">
        <v>159</v>
      </c>
      <c r="D224" s="67" t="s">
        <v>157</v>
      </c>
      <c r="E224" s="22">
        <f t="shared" ref="E224:E287" ca="1" si="28">TODAY()</f>
        <v>40951</v>
      </c>
      <c r="F224" s="11">
        <f>DATE(53,10,26)</f>
        <v>19658</v>
      </c>
      <c r="G224" s="12">
        <f t="shared" ca="1" si="24"/>
        <v>59</v>
      </c>
      <c r="H224" s="12">
        <f t="shared" ca="1" si="25"/>
        <v>-8</v>
      </c>
      <c r="I224" s="13">
        <f t="shared" ca="1" si="26"/>
        <v>-14</v>
      </c>
      <c r="J224" s="14">
        <f t="shared" ca="1" si="23"/>
        <v>58</v>
      </c>
      <c r="K224" s="12" t="s">
        <v>41</v>
      </c>
      <c r="L224" s="15">
        <v>19</v>
      </c>
      <c r="M224" s="25" t="s">
        <v>40</v>
      </c>
      <c r="N224">
        <v>53</v>
      </c>
    </row>
    <row r="225" spans="1:14">
      <c r="A225" s="25">
        <f t="shared" si="27"/>
        <v>224</v>
      </c>
      <c r="B225" s="67" t="s">
        <v>5</v>
      </c>
      <c r="C225" s="67" t="s">
        <v>160</v>
      </c>
      <c r="D225" s="67" t="s">
        <v>157</v>
      </c>
      <c r="E225" s="22">
        <f t="shared" ca="1" si="28"/>
        <v>40951</v>
      </c>
      <c r="F225" s="11">
        <f>DATE(80,10,5)</f>
        <v>29499</v>
      </c>
      <c r="G225" s="12">
        <f t="shared" ca="1" si="24"/>
        <v>32</v>
      </c>
      <c r="H225" s="12">
        <f t="shared" ca="1" si="25"/>
        <v>-8</v>
      </c>
      <c r="I225" s="13">
        <f t="shared" ca="1" si="26"/>
        <v>7</v>
      </c>
      <c r="J225" s="14">
        <f t="shared" ca="1" si="23"/>
        <v>31</v>
      </c>
      <c r="K225" s="12" t="s">
        <v>41</v>
      </c>
      <c r="L225" s="15">
        <v>19</v>
      </c>
      <c r="M225" s="25" t="s">
        <v>44</v>
      </c>
      <c r="N225">
        <v>53</v>
      </c>
    </row>
    <row r="226" spans="1:14" ht="15.75" thickBot="1">
      <c r="A226" s="26">
        <f t="shared" si="27"/>
        <v>225</v>
      </c>
      <c r="B226" s="68" t="s">
        <v>5</v>
      </c>
      <c r="C226" s="68" t="s">
        <v>161</v>
      </c>
      <c r="D226" s="68" t="s">
        <v>157</v>
      </c>
      <c r="E226" s="23">
        <f t="shared" ca="1" si="28"/>
        <v>40951</v>
      </c>
      <c r="F226" s="16">
        <f>DATE(88,11,18)</f>
        <v>32465</v>
      </c>
      <c r="G226" s="17">
        <f t="shared" ca="1" si="24"/>
        <v>24</v>
      </c>
      <c r="H226" s="17">
        <f t="shared" ca="1" si="25"/>
        <v>-9</v>
      </c>
      <c r="I226" s="18">
        <f t="shared" ca="1" si="26"/>
        <v>-6</v>
      </c>
      <c r="J226" s="19">
        <f t="shared" ca="1" si="23"/>
        <v>23</v>
      </c>
      <c r="K226" s="17" t="s">
        <v>40</v>
      </c>
      <c r="L226" s="20">
        <v>19</v>
      </c>
      <c r="M226" s="26" t="s">
        <v>44</v>
      </c>
      <c r="N226">
        <v>53</v>
      </c>
    </row>
    <row r="227" spans="1:14">
      <c r="A227" s="24">
        <f t="shared" si="27"/>
        <v>226</v>
      </c>
      <c r="B227" s="66" t="s">
        <v>6</v>
      </c>
      <c r="C227" s="66" t="s">
        <v>162</v>
      </c>
      <c r="D227" s="66" t="s">
        <v>70</v>
      </c>
      <c r="E227" s="21">
        <f t="shared" ca="1" si="28"/>
        <v>40951</v>
      </c>
      <c r="F227" s="6">
        <f>DATE(45,3,20)</f>
        <v>16516</v>
      </c>
      <c r="G227" s="7">
        <f t="shared" ca="1" si="24"/>
        <v>67</v>
      </c>
      <c r="H227" s="7">
        <f t="shared" ca="1" si="25"/>
        <v>-1</v>
      </c>
      <c r="I227" s="8">
        <f t="shared" ca="1" si="26"/>
        <v>-8</v>
      </c>
      <c r="J227" s="9">
        <f t="shared" ca="1" si="23"/>
        <v>66</v>
      </c>
      <c r="K227" s="7" t="s">
        <v>40</v>
      </c>
      <c r="L227" s="10">
        <v>20</v>
      </c>
      <c r="M227" s="24" t="s">
        <v>40</v>
      </c>
      <c r="N227">
        <v>54</v>
      </c>
    </row>
    <row r="228" spans="1:14">
      <c r="A228" s="25">
        <f t="shared" si="27"/>
        <v>227</v>
      </c>
      <c r="B228" s="67" t="s">
        <v>6</v>
      </c>
      <c r="C228" s="67" t="s">
        <v>163</v>
      </c>
      <c r="D228" s="67" t="s">
        <v>162</v>
      </c>
      <c r="E228" s="22">
        <f t="shared" ca="1" si="28"/>
        <v>40951</v>
      </c>
      <c r="F228" s="11">
        <f>DATE(48,10,26)</f>
        <v>17832</v>
      </c>
      <c r="G228" s="12">
        <f t="shared" ca="1" si="24"/>
        <v>64</v>
      </c>
      <c r="H228" s="12">
        <f t="shared" ca="1" si="25"/>
        <v>-8</v>
      </c>
      <c r="I228" s="13">
        <f t="shared" ca="1" si="26"/>
        <v>-14</v>
      </c>
      <c r="J228" s="14">
        <f t="shared" ca="1" si="23"/>
        <v>63</v>
      </c>
      <c r="K228" s="12" t="s">
        <v>41</v>
      </c>
      <c r="L228" s="15">
        <v>20</v>
      </c>
      <c r="M228" s="25" t="s">
        <v>40</v>
      </c>
      <c r="N228">
        <v>54</v>
      </c>
    </row>
    <row r="229" spans="1:14">
      <c r="A229" s="25">
        <f t="shared" si="27"/>
        <v>228</v>
      </c>
      <c r="B229" s="67" t="s">
        <v>6</v>
      </c>
      <c r="C229" s="67" t="s">
        <v>164</v>
      </c>
      <c r="D229" s="67" t="s">
        <v>162</v>
      </c>
      <c r="E229" s="22">
        <f t="shared" ca="1" si="28"/>
        <v>40951</v>
      </c>
      <c r="F229" s="11">
        <f>DATE(73,8,15)</f>
        <v>26891</v>
      </c>
      <c r="G229" s="12">
        <f t="shared" ca="1" si="24"/>
        <v>39</v>
      </c>
      <c r="H229" s="12">
        <f t="shared" ca="1" si="25"/>
        <v>-6</v>
      </c>
      <c r="I229" s="13">
        <f t="shared" ca="1" si="26"/>
        <v>-3</v>
      </c>
      <c r="J229" s="14">
        <f t="shared" ca="1" si="23"/>
        <v>38</v>
      </c>
      <c r="K229" s="12" t="s">
        <v>40</v>
      </c>
      <c r="L229" s="15">
        <v>20</v>
      </c>
      <c r="M229" s="25" t="s">
        <v>40</v>
      </c>
      <c r="N229">
        <v>54</v>
      </c>
    </row>
    <row r="230" spans="1:14">
      <c r="A230" s="25">
        <f t="shared" si="27"/>
        <v>229</v>
      </c>
      <c r="B230" s="67" t="s">
        <v>6</v>
      </c>
      <c r="C230" s="67" t="s">
        <v>165</v>
      </c>
      <c r="D230" s="67" t="s">
        <v>164</v>
      </c>
      <c r="E230" s="22">
        <f t="shared" ca="1" si="28"/>
        <v>40951</v>
      </c>
      <c r="F230" s="11">
        <f>DATE(75,12,12)</f>
        <v>27740</v>
      </c>
      <c r="G230" s="12">
        <f t="shared" ca="1" si="24"/>
        <v>37</v>
      </c>
      <c r="H230" s="12">
        <f t="shared" ca="1" si="25"/>
        <v>-10</v>
      </c>
      <c r="I230" s="13">
        <f t="shared" ca="1" si="26"/>
        <v>0</v>
      </c>
      <c r="J230" s="14">
        <f t="shared" ca="1" si="23"/>
        <v>36</v>
      </c>
      <c r="K230" s="12" t="s">
        <v>41</v>
      </c>
      <c r="L230" s="15">
        <v>20</v>
      </c>
      <c r="M230" s="25" t="s">
        <v>40</v>
      </c>
      <c r="N230">
        <v>54</v>
      </c>
    </row>
    <row r="231" spans="1:14">
      <c r="A231" s="25">
        <f t="shared" si="27"/>
        <v>230</v>
      </c>
      <c r="B231" s="67" t="s">
        <v>6</v>
      </c>
      <c r="C231" s="67" t="s">
        <v>126</v>
      </c>
      <c r="D231" s="67" t="s">
        <v>164</v>
      </c>
      <c r="E231" s="22">
        <f t="shared" ca="1" si="28"/>
        <v>40951</v>
      </c>
      <c r="F231" s="11">
        <f>DATE(2001,1,27)</f>
        <v>36918</v>
      </c>
      <c r="G231" s="12">
        <f t="shared" ca="1" si="24"/>
        <v>11</v>
      </c>
      <c r="H231" s="12">
        <f t="shared" ca="1" si="25"/>
        <v>1</v>
      </c>
      <c r="I231" s="13">
        <f t="shared" ca="1" si="26"/>
        <v>-15</v>
      </c>
      <c r="J231" s="14">
        <f t="shared" ca="1" si="23"/>
        <v>11</v>
      </c>
      <c r="K231" s="12" t="s">
        <v>40</v>
      </c>
      <c r="L231" s="15">
        <v>20</v>
      </c>
      <c r="M231" s="25" t="s">
        <v>44</v>
      </c>
      <c r="N231">
        <v>54</v>
      </c>
    </row>
    <row r="232" spans="1:14">
      <c r="A232" s="25">
        <f t="shared" si="27"/>
        <v>231</v>
      </c>
      <c r="B232" s="67" t="s">
        <v>6</v>
      </c>
      <c r="C232" s="67" t="s">
        <v>166</v>
      </c>
      <c r="D232" s="67" t="s">
        <v>162</v>
      </c>
      <c r="E232" s="22">
        <f t="shared" ca="1" si="28"/>
        <v>40951</v>
      </c>
      <c r="F232" s="11">
        <f>DATE(77,11,12)</f>
        <v>28441</v>
      </c>
      <c r="G232" s="12">
        <f t="shared" ca="1" si="24"/>
        <v>35</v>
      </c>
      <c r="H232" s="12">
        <f t="shared" ca="1" si="25"/>
        <v>-9</v>
      </c>
      <c r="I232" s="13">
        <f t="shared" ca="1" si="26"/>
        <v>0</v>
      </c>
      <c r="J232" s="14">
        <f t="shared" ca="1" si="23"/>
        <v>34</v>
      </c>
      <c r="K232" s="12" t="s">
        <v>40</v>
      </c>
      <c r="L232" s="15">
        <v>20</v>
      </c>
      <c r="M232" s="25" t="s">
        <v>40</v>
      </c>
      <c r="N232">
        <v>54</v>
      </c>
    </row>
    <row r="233" spans="1:14">
      <c r="A233" s="25">
        <f t="shared" si="27"/>
        <v>232</v>
      </c>
      <c r="B233" s="67" t="s">
        <v>6</v>
      </c>
      <c r="C233" s="67" t="s">
        <v>167</v>
      </c>
      <c r="D233" s="67" t="s">
        <v>166</v>
      </c>
      <c r="E233" s="22">
        <f t="shared" ca="1" si="28"/>
        <v>40951</v>
      </c>
      <c r="F233" s="11">
        <f>DATE(79,12,9)</f>
        <v>29198</v>
      </c>
      <c r="G233" s="12">
        <f t="shared" ca="1" si="24"/>
        <v>33</v>
      </c>
      <c r="H233" s="12">
        <f t="shared" ca="1" si="25"/>
        <v>-10</v>
      </c>
      <c r="I233" s="13">
        <f t="shared" ca="1" si="26"/>
        <v>3</v>
      </c>
      <c r="J233" s="14">
        <f t="shared" ca="1" si="23"/>
        <v>32</v>
      </c>
      <c r="K233" s="12" t="s">
        <v>41</v>
      </c>
      <c r="L233" s="15">
        <v>20</v>
      </c>
      <c r="M233" s="25" t="s">
        <v>40</v>
      </c>
      <c r="N233">
        <v>54</v>
      </c>
    </row>
    <row r="234" spans="1:14">
      <c r="A234" s="25">
        <f t="shared" si="27"/>
        <v>233</v>
      </c>
      <c r="B234" s="67" t="s">
        <v>6</v>
      </c>
      <c r="C234" s="67" t="s">
        <v>168</v>
      </c>
      <c r="D234" s="67" t="s">
        <v>166</v>
      </c>
      <c r="E234" s="22">
        <f t="shared" ca="1" si="28"/>
        <v>40951</v>
      </c>
      <c r="F234" s="11">
        <f>DATE(2005,4,13)</f>
        <v>38455</v>
      </c>
      <c r="G234" s="12">
        <f t="shared" ca="1" si="24"/>
        <v>7</v>
      </c>
      <c r="H234" s="12">
        <f t="shared" ca="1" si="25"/>
        <v>-2</v>
      </c>
      <c r="I234" s="13">
        <f t="shared" ca="1" si="26"/>
        <v>-1</v>
      </c>
      <c r="J234" s="14">
        <f t="shared" ca="1" si="23"/>
        <v>6</v>
      </c>
      <c r="K234" s="12" t="s">
        <v>40</v>
      </c>
      <c r="L234" s="15">
        <v>20</v>
      </c>
      <c r="M234" s="25" t="s">
        <v>44</v>
      </c>
      <c r="N234">
        <v>54</v>
      </c>
    </row>
    <row r="235" spans="1:14">
      <c r="A235" s="25">
        <f t="shared" si="27"/>
        <v>234</v>
      </c>
      <c r="B235" s="67" t="s">
        <v>6</v>
      </c>
      <c r="C235" s="67" t="s">
        <v>169</v>
      </c>
      <c r="D235" s="67" t="s">
        <v>162</v>
      </c>
      <c r="E235" s="22">
        <f t="shared" ca="1" si="28"/>
        <v>40951</v>
      </c>
      <c r="F235" s="11">
        <f>DATE(79,5,4)</f>
        <v>28979</v>
      </c>
      <c r="G235" s="12">
        <f t="shared" ca="1" si="24"/>
        <v>33</v>
      </c>
      <c r="H235" s="12">
        <f t="shared" ca="1" si="25"/>
        <v>-3</v>
      </c>
      <c r="I235" s="13">
        <f t="shared" ca="1" si="26"/>
        <v>8</v>
      </c>
      <c r="J235" s="14">
        <f t="shared" ca="1" si="23"/>
        <v>32</v>
      </c>
      <c r="K235" s="12" t="s">
        <v>40</v>
      </c>
      <c r="L235" s="15">
        <v>20</v>
      </c>
      <c r="M235" s="25" t="s">
        <v>40</v>
      </c>
      <c r="N235">
        <v>54</v>
      </c>
    </row>
    <row r="236" spans="1:14" ht="15.75" thickBot="1">
      <c r="A236" s="26">
        <f t="shared" si="27"/>
        <v>235</v>
      </c>
      <c r="B236" s="68" t="s">
        <v>6</v>
      </c>
      <c r="C236" s="68" t="s">
        <v>170</v>
      </c>
      <c r="D236" s="68" t="s">
        <v>169</v>
      </c>
      <c r="E236" s="23">
        <f t="shared" ca="1" si="28"/>
        <v>40951</v>
      </c>
      <c r="F236" s="16">
        <f>DATE(82,12,17)</f>
        <v>30302</v>
      </c>
      <c r="G236" s="17">
        <f t="shared" ca="1" si="24"/>
        <v>30</v>
      </c>
      <c r="H236" s="17">
        <f t="shared" ca="1" si="25"/>
        <v>-10</v>
      </c>
      <c r="I236" s="18">
        <f t="shared" ca="1" si="26"/>
        <v>-5</v>
      </c>
      <c r="J236" s="19">
        <f t="shared" ca="1" si="23"/>
        <v>29</v>
      </c>
      <c r="K236" s="17" t="s">
        <v>41</v>
      </c>
      <c r="L236" s="20">
        <v>20</v>
      </c>
      <c r="M236" s="26" t="s">
        <v>40</v>
      </c>
      <c r="N236">
        <v>54</v>
      </c>
    </row>
    <row r="237" spans="1:14">
      <c r="A237" s="24">
        <f t="shared" si="27"/>
        <v>236</v>
      </c>
      <c r="B237" s="66" t="s">
        <v>6</v>
      </c>
      <c r="C237" s="66" t="s">
        <v>171</v>
      </c>
      <c r="D237" s="66" t="s">
        <v>172</v>
      </c>
      <c r="E237" s="21">
        <f t="shared" ca="1" si="28"/>
        <v>40951</v>
      </c>
      <c r="F237" s="6">
        <f>DATE(40,10,1)</f>
        <v>14885</v>
      </c>
      <c r="G237" s="7">
        <f t="shared" ca="1" si="24"/>
        <v>72</v>
      </c>
      <c r="H237" s="7">
        <f t="shared" ca="1" si="25"/>
        <v>-8</v>
      </c>
      <c r="I237" s="8">
        <f t="shared" ca="1" si="26"/>
        <v>11</v>
      </c>
      <c r="J237" s="9">
        <f t="shared" ca="1" si="23"/>
        <v>71</v>
      </c>
      <c r="K237" s="7" t="s">
        <v>40</v>
      </c>
      <c r="L237" s="10">
        <v>20</v>
      </c>
      <c r="M237" s="24" t="s">
        <v>40</v>
      </c>
      <c r="N237">
        <v>55</v>
      </c>
    </row>
    <row r="238" spans="1:14">
      <c r="A238" s="25">
        <f t="shared" si="27"/>
        <v>237</v>
      </c>
      <c r="B238" s="67" t="s">
        <v>6</v>
      </c>
      <c r="C238" s="67" t="s">
        <v>173</v>
      </c>
      <c r="D238" s="67" t="s">
        <v>171</v>
      </c>
      <c r="E238" s="22">
        <f t="shared" ca="1" si="28"/>
        <v>40951</v>
      </c>
      <c r="F238" s="11">
        <f>DATE(47,1,2)</f>
        <v>17169</v>
      </c>
      <c r="G238" s="12">
        <f t="shared" ca="1" si="24"/>
        <v>65</v>
      </c>
      <c r="H238" s="12">
        <f t="shared" ca="1" si="25"/>
        <v>1</v>
      </c>
      <c r="I238" s="13">
        <f t="shared" ca="1" si="26"/>
        <v>10</v>
      </c>
      <c r="J238" s="14">
        <f t="shared" ca="1" si="23"/>
        <v>65</v>
      </c>
      <c r="K238" s="12" t="s">
        <v>41</v>
      </c>
      <c r="L238" s="15">
        <v>20</v>
      </c>
      <c r="M238" s="25" t="s">
        <v>40</v>
      </c>
      <c r="N238">
        <v>55</v>
      </c>
    </row>
    <row r="239" spans="1:14">
      <c r="A239" s="25">
        <f t="shared" si="27"/>
        <v>238</v>
      </c>
      <c r="B239" s="67" t="s">
        <v>6</v>
      </c>
      <c r="C239" s="67" t="s">
        <v>174</v>
      </c>
      <c r="D239" s="67" t="s">
        <v>171</v>
      </c>
      <c r="E239" s="22">
        <f t="shared" ca="1" si="28"/>
        <v>40951</v>
      </c>
      <c r="F239" s="11">
        <f>DATE(71,11,9)</f>
        <v>26246</v>
      </c>
      <c r="G239" s="12">
        <f t="shared" ca="1" si="24"/>
        <v>41</v>
      </c>
      <c r="H239" s="12">
        <f t="shared" ca="1" si="25"/>
        <v>-9</v>
      </c>
      <c r="I239" s="13">
        <f t="shared" ca="1" si="26"/>
        <v>3</v>
      </c>
      <c r="J239" s="14">
        <f t="shared" ca="1" si="23"/>
        <v>40</v>
      </c>
      <c r="K239" s="12" t="s">
        <v>40</v>
      </c>
      <c r="L239" s="15">
        <v>20</v>
      </c>
      <c r="M239" s="25" t="s">
        <v>40</v>
      </c>
      <c r="N239">
        <v>55</v>
      </c>
    </row>
    <row r="240" spans="1:14">
      <c r="A240" s="25">
        <f t="shared" si="27"/>
        <v>239</v>
      </c>
      <c r="B240" s="67" t="s">
        <v>6</v>
      </c>
      <c r="C240" s="67" t="s">
        <v>175</v>
      </c>
      <c r="D240" s="67" t="s">
        <v>174</v>
      </c>
      <c r="E240" s="22">
        <f t="shared" ca="1" si="28"/>
        <v>40951</v>
      </c>
      <c r="F240" s="11">
        <f>DATE(73,9,5)</f>
        <v>26912</v>
      </c>
      <c r="G240" s="12">
        <f t="shared" ca="1" si="24"/>
        <v>39</v>
      </c>
      <c r="H240" s="12">
        <f t="shared" ca="1" si="25"/>
        <v>-7</v>
      </c>
      <c r="I240" s="13">
        <f t="shared" ca="1" si="26"/>
        <v>7</v>
      </c>
      <c r="J240" s="14">
        <f t="shared" ca="1" si="23"/>
        <v>38</v>
      </c>
      <c r="K240" s="12" t="s">
        <v>41</v>
      </c>
      <c r="L240" s="15">
        <v>20</v>
      </c>
      <c r="M240" s="25" t="s">
        <v>40</v>
      </c>
      <c r="N240">
        <v>55</v>
      </c>
    </row>
    <row r="241" spans="1:14">
      <c r="A241" s="25">
        <f t="shared" si="27"/>
        <v>240</v>
      </c>
      <c r="B241" s="67" t="s">
        <v>6</v>
      </c>
      <c r="C241" s="67" t="s">
        <v>176</v>
      </c>
      <c r="D241" s="67" t="s">
        <v>174</v>
      </c>
      <c r="E241" s="22">
        <f t="shared" ca="1" si="28"/>
        <v>40951</v>
      </c>
      <c r="F241" s="11">
        <f>DATE(2001,6,27)</f>
        <v>37069</v>
      </c>
      <c r="G241" s="12">
        <f t="shared" ca="1" si="24"/>
        <v>11</v>
      </c>
      <c r="H241" s="12">
        <f t="shared" ca="1" si="25"/>
        <v>-4</v>
      </c>
      <c r="I241" s="13">
        <f t="shared" ca="1" si="26"/>
        <v>-15</v>
      </c>
      <c r="J241" s="14">
        <f t="shared" ca="1" si="23"/>
        <v>10</v>
      </c>
      <c r="K241" s="12" t="s">
        <v>41</v>
      </c>
      <c r="L241" s="15">
        <v>20</v>
      </c>
      <c r="M241" s="25" t="s">
        <v>44</v>
      </c>
      <c r="N241">
        <v>55</v>
      </c>
    </row>
    <row r="242" spans="1:14">
      <c r="A242" s="25">
        <f t="shared" si="27"/>
        <v>241</v>
      </c>
      <c r="B242" s="67" t="s">
        <v>6</v>
      </c>
      <c r="C242" s="67" t="s">
        <v>177</v>
      </c>
      <c r="D242" s="67" t="s">
        <v>174</v>
      </c>
      <c r="E242" s="22">
        <f t="shared" ca="1" si="28"/>
        <v>40951</v>
      </c>
      <c r="F242" s="11">
        <f>DATE(2003,11,12)</f>
        <v>37937</v>
      </c>
      <c r="G242" s="12">
        <f t="shared" ca="1" si="24"/>
        <v>9</v>
      </c>
      <c r="H242" s="12">
        <f t="shared" ca="1" si="25"/>
        <v>-9</v>
      </c>
      <c r="I242" s="13">
        <f t="shared" ca="1" si="26"/>
        <v>0</v>
      </c>
      <c r="J242" s="14">
        <f t="shared" ca="1" si="23"/>
        <v>8</v>
      </c>
      <c r="K242" s="12" t="s">
        <v>40</v>
      </c>
      <c r="L242" s="15">
        <v>20</v>
      </c>
      <c r="M242" s="25" t="s">
        <v>44</v>
      </c>
      <c r="N242">
        <v>55</v>
      </c>
    </row>
    <row r="243" spans="1:14">
      <c r="A243" s="25">
        <f t="shared" si="27"/>
        <v>242</v>
      </c>
      <c r="B243" s="67" t="s">
        <v>6</v>
      </c>
      <c r="C243" s="67" t="s">
        <v>112</v>
      </c>
      <c r="D243" s="67" t="s">
        <v>171</v>
      </c>
      <c r="E243" s="22">
        <f t="shared" ca="1" si="28"/>
        <v>40951</v>
      </c>
      <c r="F243" s="11">
        <f>DATE(74,2,25)</f>
        <v>27085</v>
      </c>
      <c r="G243" s="12">
        <f t="shared" ca="1" si="24"/>
        <v>38</v>
      </c>
      <c r="H243" s="12">
        <f t="shared" ca="1" si="25"/>
        <v>0</v>
      </c>
      <c r="I243" s="13">
        <f t="shared" ca="1" si="26"/>
        <v>-13</v>
      </c>
      <c r="J243" s="14">
        <f t="shared" ca="1" si="23"/>
        <v>37</v>
      </c>
      <c r="K243" s="12" t="s">
        <v>40</v>
      </c>
      <c r="L243" s="15">
        <v>20</v>
      </c>
      <c r="M243" s="25" t="s">
        <v>40</v>
      </c>
      <c r="N243">
        <v>55</v>
      </c>
    </row>
    <row r="244" spans="1:14">
      <c r="A244" s="25">
        <f t="shared" si="27"/>
        <v>243</v>
      </c>
      <c r="B244" s="67" t="s">
        <v>6</v>
      </c>
      <c r="C244" s="67" t="s">
        <v>178</v>
      </c>
      <c r="D244" s="67" t="s">
        <v>112</v>
      </c>
      <c r="E244" s="22">
        <f t="shared" ca="1" si="28"/>
        <v>40951</v>
      </c>
      <c r="F244" s="11">
        <f>DATE(76,10,28)</f>
        <v>28061</v>
      </c>
      <c r="G244" s="12">
        <f t="shared" ca="1" si="24"/>
        <v>36</v>
      </c>
      <c r="H244" s="12">
        <f t="shared" ca="1" si="25"/>
        <v>-8</v>
      </c>
      <c r="I244" s="13">
        <f t="shared" ca="1" si="26"/>
        <v>-16</v>
      </c>
      <c r="J244" s="14">
        <f t="shared" ca="1" si="23"/>
        <v>35</v>
      </c>
      <c r="K244" s="12" t="s">
        <v>41</v>
      </c>
      <c r="L244" s="15">
        <v>20</v>
      </c>
      <c r="M244" s="25" t="s">
        <v>40</v>
      </c>
      <c r="N244">
        <v>55</v>
      </c>
    </row>
    <row r="245" spans="1:14">
      <c r="A245" s="25">
        <f t="shared" si="27"/>
        <v>244</v>
      </c>
      <c r="B245" s="67" t="s">
        <v>6</v>
      </c>
      <c r="C245" s="67" t="s">
        <v>179</v>
      </c>
      <c r="D245" s="67" t="s">
        <v>112</v>
      </c>
      <c r="E245" s="22">
        <f t="shared" ca="1" si="28"/>
        <v>40951</v>
      </c>
      <c r="F245" s="11">
        <f>DATE(2000,1,23)</f>
        <v>36548</v>
      </c>
      <c r="G245" s="12">
        <f t="shared" ca="1" si="24"/>
        <v>12</v>
      </c>
      <c r="H245" s="12">
        <f t="shared" ca="1" si="25"/>
        <v>1</v>
      </c>
      <c r="I245" s="13">
        <f t="shared" ca="1" si="26"/>
        <v>-11</v>
      </c>
      <c r="J245" s="14">
        <f t="shared" ca="1" si="23"/>
        <v>12</v>
      </c>
      <c r="K245" s="12" t="s">
        <v>40</v>
      </c>
      <c r="L245" s="15">
        <v>20</v>
      </c>
      <c r="M245" s="25" t="s">
        <v>44</v>
      </c>
      <c r="N245">
        <v>55</v>
      </c>
    </row>
    <row r="246" spans="1:14" ht="15.75" thickBot="1">
      <c r="A246" s="26">
        <f t="shared" si="27"/>
        <v>245</v>
      </c>
      <c r="B246" s="68" t="s">
        <v>6</v>
      </c>
      <c r="C246" s="68" t="s">
        <v>180</v>
      </c>
      <c r="D246" s="68" t="s">
        <v>112</v>
      </c>
      <c r="E246" s="23">
        <f t="shared" ca="1" si="28"/>
        <v>40951</v>
      </c>
      <c r="F246" s="16">
        <f>DATE(2004,7,15)</f>
        <v>38183</v>
      </c>
      <c r="G246" s="17">
        <f t="shared" ca="1" si="24"/>
        <v>8</v>
      </c>
      <c r="H246" s="17">
        <f t="shared" ca="1" si="25"/>
        <v>-5</v>
      </c>
      <c r="I246" s="18">
        <f t="shared" ca="1" si="26"/>
        <v>-3</v>
      </c>
      <c r="J246" s="19">
        <f t="shared" ca="1" si="23"/>
        <v>7</v>
      </c>
      <c r="K246" s="17" t="s">
        <v>41</v>
      </c>
      <c r="L246" s="20">
        <v>20</v>
      </c>
      <c r="M246" s="26" t="s">
        <v>44</v>
      </c>
      <c r="N246">
        <v>55</v>
      </c>
    </row>
    <row r="247" spans="1:14">
      <c r="A247" s="24">
        <f t="shared" si="27"/>
        <v>246</v>
      </c>
      <c r="B247" s="66" t="s">
        <v>6</v>
      </c>
      <c r="C247" s="66" t="s">
        <v>181</v>
      </c>
      <c r="D247" s="66" t="s">
        <v>90</v>
      </c>
      <c r="E247" s="21">
        <f t="shared" ca="1" si="28"/>
        <v>40951</v>
      </c>
      <c r="F247" s="6">
        <f>DATE(61,8,23)</f>
        <v>22516</v>
      </c>
      <c r="G247" s="7">
        <f t="shared" ca="1" si="24"/>
        <v>51</v>
      </c>
      <c r="H247" s="7">
        <f t="shared" ca="1" si="25"/>
        <v>-6</v>
      </c>
      <c r="I247" s="8">
        <f t="shared" ca="1" si="26"/>
        <v>-11</v>
      </c>
      <c r="J247" s="9">
        <f t="shared" ca="1" si="23"/>
        <v>50</v>
      </c>
      <c r="K247" s="7" t="s">
        <v>40</v>
      </c>
      <c r="L247" s="10">
        <v>21</v>
      </c>
      <c r="M247" s="24" t="s">
        <v>40</v>
      </c>
      <c r="N247">
        <v>56</v>
      </c>
    </row>
    <row r="248" spans="1:14">
      <c r="A248" s="25">
        <f t="shared" si="27"/>
        <v>247</v>
      </c>
      <c r="B248" s="67" t="s">
        <v>6</v>
      </c>
      <c r="C248" s="67" t="s">
        <v>182</v>
      </c>
      <c r="D248" s="67" t="s">
        <v>181</v>
      </c>
      <c r="E248" s="22">
        <f t="shared" ca="1" si="28"/>
        <v>40951</v>
      </c>
      <c r="F248" s="11">
        <f>DATE(66,3,23)</f>
        <v>24189</v>
      </c>
      <c r="G248" s="12">
        <f t="shared" ca="1" si="24"/>
        <v>46</v>
      </c>
      <c r="H248" s="12">
        <f t="shared" ca="1" si="25"/>
        <v>-1</v>
      </c>
      <c r="I248" s="13">
        <f t="shared" ca="1" si="26"/>
        <v>-11</v>
      </c>
      <c r="J248" s="14">
        <f t="shared" ca="1" si="23"/>
        <v>45</v>
      </c>
      <c r="K248" s="12" t="s">
        <v>41</v>
      </c>
      <c r="L248" s="15">
        <v>21</v>
      </c>
      <c r="M248" s="25" t="s">
        <v>40</v>
      </c>
      <c r="N248">
        <v>56</v>
      </c>
    </row>
    <row r="249" spans="1:14">
      <c r="A249" s="25">
        <f t="shared" si="27"/>
        <v>248</v>
      </c>
      <c r="B249" s="67" t="s">
        <v>6</v>
      </c>
      <c r="C249" s="67" t="s">
        <v>183</v>
      </c>
      <c r="D249" s="67" t="s">
        <v>181</v>
      </c>
      <c r="E249" s="22">
        <f t="shared" ca="1" si="28"/>
        <v>40951</v>
      </c>
      <c r="F249" s="11">
        <f>DATE(87,4,9)</f>
        <v>31876</v>
      </c>
      <c r="G249" s="12">
        <f t="shared" ca="1" si="24"/>
        <v>25</v>
      </c>
      <c r="H249" s="12">
        <f t="shared" ca="1" si="25"/>
        <v>-2</v>
      </c>
      <c r="I249" s="13">
        <f t="shared" ca="1" si="26"/>
        <v>3</v>
      </c>
      <c r="J249" s="14">
        <f t="shared" ca="1" si="23"/>
        <v>24</v>
      </c>
      <c r="K249" s="12" t="s">
        <v>40</v>
      </c>
      <c r="L249" s="15">
        <v>21</v>
      </c>
      <c r="M249" s="25" t="s">
        <v>44</v>
      </c>
      <c r="N249">
        <v>56</v>
      </c>
    </row>
    <row r="250" spans="1:14" ht="15.75" thickBot="1">
      <c r="A250" s="26">
        <f t="shared" si="27"/>
        <v>249</v>
      </c>
      <c r="B250" s="68" t="s">
        <v>6</v>
      </c>
      <c r="C250" s="68" t="s">
        <v>63</v>
      </c>
      <c r="D250" s="68" t="s">
        <v>181</v>
      </c>
      <c r="E250" s="23">
        <f t="shared" ca="1" si="28"/>
        <v>40951</v>
      </c>
      <c r="F250" s="16">
        <f>DATE(88,10,15)</f>
        <v>32431</v>
      </c>
      <c r="G250" s="17">
        <f t="shared" ca="1" si="24"/>
        <v>24</v>
      </c>
      <c r="H250" s="17">
        <f t="shared" ca="1" si="25"/>
        <v>-8</v>
      </c>
      <c r="I250" s="18">
        <f t="shared" ca="1" si="26"/>
        <v>-3</v>
      </c>
      <c r="J250" s="19">
        <f t="shared" ca="1" si="23"/>
        <v>23</v>
      </c>
      <c r="K250" s="17" t="s">
        <v>40</v>
      </c>
      <c r="L250" s="20">
        <v>21</v>
      </c>
      <c r="M250" s="26" t="s">
        <v>44</v>
      </c>
      <c r="N250">
        <v>56</v>
      </c>
    </row>
    <row r="251" spans="1:14">
      <c r="A251" s="24">
        <f t="shared" si="27"/>
        <v>250</v>
      </c>
      <c r="B251" s="66" t="s">
        <v>6</v>
      </c>
      <c r="C251" s="66" t="s">
        <v>184</v>
      </c>
      <c r="D251" s="66" t="s">
        <v>185</v>
      </c>
      <c r="E251" s="21">
        <f t="shared" ca="1" si="28"/>
        <v>40951</v>
      </c>
      <c r="F251" s="6">
        <f>DATE(62,8,18)</f>
        <v>22876</v>
      </c>
      <c r="G251" s="7">
        <f t="shared" ca="1" si="24"/>
        <v>50</v>
      </c>
      <c r="H251" s="7">
        <f t="shared" ca="1" si="25"/>
        <v>-6</v>
      </c>
      <c r="I251" s="8">
        <f t="shared" ca="1" si="26"/>
        <v>-6</v>
      </c>
      <c r="J251" s="9">
        <f t="shared" ca="1" si="23"/>
        <v>49</v>
      </c>
      <c r="K251" s="7" t="s">
        <v>40</v>
      </c>
      <c r="L251" s="10">
        <v>21</v>
      </c>
      <c r="M251" s="24" t="s">
        <v>40</v>
      </c>
      <c r="N251">
        <v>57</v>
      </c>
    </row>
    <row r="252" spans="1:14">
      <c r="A252" s="25">
        <f t="shared" si="27"/>
        <v>251</v>
      </c>
      <c r="B252" s="67" t="s">
        <v>6</v>
      </c>
      <c r="C252" s="67" t="s">
        <v>186</v>
      </c>
      <c r="D252" s="67" t="s">
        <v>184</v>
      </c>
      <c r="E252" s="22">
        <f t="shared" ca="1" si="28"/>
        <v>40951</v>
      </c>
      <c r="F252" s="11">
        <f>DATE(66,8,8)</f>
        <v>24327</v>
      </c>
      <c r="G252" s="12">
        <f t="shared" ca="1" si="24"/>
        <v>46</v>
      </c>
      <c r="H252" s="12">
        <f t="shared" ca="1" si="25"/>
        <v>-6</v>
      </c>
      <c r="I252" s="13">
        <f t="shared" ca="1" si="26"/>
        <v>4</v>
      </c>
      <c r="J252" s="14">
        <f t="shared" ca="1" si="23"/>
        <v>45</v>
      </c>
      <c r="K252" s="12" t="s">
        <v>41</v>
      </c>
      <c r="L252" s="15">
        <v>21</v>
      </c>
      <c r="M252" s="25" t="s">
        <v>40</v>
      </c>
      <c r="N252">
        <v>57</v>
      </c>
    </row>
    <row r="253" spans="1:14">
      <c r="A253" s="25">
        <f t="shared" si="27"/>
        <v>252</v>
      </c>
      <c r="B253" s="67" t="s">
        <v>6</v>
      </c>
      <c r="C253" s="67" t="s">
        <v>145</v>
      </c>
      <c r="D253" s="67" t="s">
        <v>184</v>
      </c>
      <c r="E253" s="22">
        <f t="shared" ca="1" si="28"/>
        <v>40951</v>
      </c>
      <c r="F253" s="11">
        <f>DATE(91,2,3)</f>
        <v>33272</v>
      </c>
      <c r="G253" s="12">
        <f t="shared" ca="1" si="24"/>
        <v>21</v>
      </c>
      <c r="H253" s="12">
        <f t="shared" ca="1" si="25"/>
        <v>0</v>
      </c>
      <c r="I253" s="13">
        <f t="shared" ca="1" si="26"/>
        <v>9</v>
      </c>
      <c r="J253" s="14">
        <f t="shared" ca="1" si="23"/>
        <v>21</v>
      </c>
      <c r="K253" s="12" t="s">
        <v>41</v>
      </c>
      <c r="L253" s="15">
        <v>21</v>
      </c>
      <c r="M253" s="25" t="s">
        <v>44</v>
      </c>
      <c r="N253">
        <v>57</v>
      </c>
    </row>
    <row r="254" spans="1:14" ht="15.75" thickBot="1">
      <c r="A254" s="26">
        <f t="shared" si="27"/>
        <v>253</v>
      </c>
      <c r="B254" s="68" t="s">
        <v>6</v>
      </c>
      <c r="C254" s="68" t="s">
        <v>187</v>
      </c>
      <c r="D254" s="68" t="s">
        <v>184</v>
      </c>
      <c r="E254" s="23">
        <f t="shared" ca="1" si="28"/>
        <v>40951</v>
      </c>
      <c r="F254" s="16">
        <f>DATE(93,12,10)</f>
        <v>34313</v>
      </c>
      <c r="G254" s="17">
        <f t="shared" ca="1" si="24"/>
        <v>19</v>
      </c>
      <c r="H254" s="17">
        <f t="shared" ca="1" si="25"/>
        <v>-10</v>
      </c>
      <c r="I254" s="18">
        <f t="shared" ca="1" si="26"/>
        <v>2</v>
      </c>
      <c r="J254" s="19">
        <f t="shared" ca="1" si="23"/>
        <v>18</v>
      </c>
      <c r="K254" s="17" t="s">
        <v>41</v>
      </c>
      <c r="L254" s="20">
        <v>21</v>
      </c>
      <c r="M254" s="26" t="s">
        <v>44</v>
      </c>
      <c r="N254">
        <v>57</v>
      </c>
    </row>
    <row r="255" spans="1:14">
      <c r="A255" s="24">
        <f t="shared" si="27"/>
        <v>254</v>
      </c>
      <c r="B255" s="66" t="s">
        <v>6</v>
      </c>
      <c r="C255" s="66" t="s">
        <v>188</v>
      </c>
      <c r="D255" s="66" t="s">
        <v>189</v>
      </c>
      <c r="E255" s="21">
        <f t="shared" ca="1" si="28"/>
        <v>40951</v>
      </c>
      <c r="F255" s="6">
        <f>DATE(34,3,2)</f>
        <v>12480</v>
      </c>
      <c r="G255" s="7">
        <f t="shared" ca="1" si="24"/>
        <v>78</v>
      </c>
      <c r="H255" s="7">
        <f t="shared" ca="1" si="25"/>
        <v>-1</v>
      </c>
      <c r="I255" s="8">
        <f t="shared" ca="1" si="26"/>
        <v>10</v>
      </c>
      <c r="J255" s="9">
        <f t="shared" ca="1" si="23"/>
        <v>77</v>
      </c>
      <c r="K255" s="7" t="s">
        <v>41</v>
      </c>
      <c r="L255" s="10">
        <v>21</v>
      </c>
      <c r="M255" s="24" t="s">
        <v>40</v>
      </c>
      <c r="N255">
        <v>58</v>
      </c>
    </row>
    <row r="256" spans="1:14">
      <c r="A256" s="25">
        <f t="shared" si="27"/>
        <v>255</v>
      </c>
      <c r="B256" s="67" t="s">
        <v>6</v>
      </c>
      <c r="C256" s="67" t="s">
        <v>190</v>
      </c>
      <c r="D256" s="67" t="s">
        <v>184</v>
      </c>
      <c r="E256" s="22">
        <f t="shared" ca="1" si="28"/>
        <v>40951</v>
      </c>
      <c r="F256" s="11">
        <f>DATE(56,10,30)</f>
        <v>20758</v>
      </c>
      <c r="G256" s="12">
        <f t="shared" ca="1" si="24"/>
        <v>56</v>
      </c>
      <c r="H256" s="12">
        <f t="shared" ca="1" si="25"/>
        <v>-8</v>
      </c>
      <c r="I256" s="13">
        <f t="shared" ca="1" si="26"/>
        <v>-18</v>
      </c>
      <c r="J256" s="14">
        <f t="shared" ca="1" si="23"/>
        <v>55</v>
      </c>
      <c r="K256" s="12" t="s">
        <v>41</v>
      </c>
      <c r="L256" s="15">
        <v>21</v>
      </c>
      <c r="M256" s="25" t="s">
        <v>40</v>
      </c>
      <c r="N256">
        <v>58</v>
      </c>
    </row>
    <row r="257" spans="1:14">
      <c r="A257" s="25">
        <f t="shared" si="27"/>
        <v>256</v>
      </c>
      <c r="B257" s="67" t="s">
        <v>6</v>
      </c>
      <c r="C257" s="67" t="s">
        <v>191</v>
      </c>
      <c r="D257" s="67" t="s">
        <v>184</v>
      </c>
      <c r="E257" s="22">
        <f t="shared" ca="1" si="28"/>
        <v>40951</v>
      </c>
      <c r="F257" s="11">
        <f>DATE(83,5,10)</f>
        <v>30446</v>
      </c>
      <c r="G257" s="12">
        <f t="shared" ca="1" si="24"/>
        <v>29</v>
      </c>
      <c r="H257" s="12">
        <f t="shared" ca="1" si="25"/>
        <v>-3</v>
      </c>
      <c r="I257" s="13">
        <f t="shared" ca="1" si="26"/>
        <v>2</v>
      </c>
      <c r="J257" s="14">
        <f t="shared" ca="1" si="23"/>
        <v>28</v>
      </c>
      <c r="K257" s="12" t="s">
        <v>40</v>
      </c>
      <c r="L257" s="15">
        <v>21</v>
      </c>
      <c r="M257" s="25" t="s">
        <v>44</v>
      </c>
      <c r="N257">
        <v>58</v>
      </c>
    </row>
    <row r="258" spans="1:14" ht="15.75" thickBot="1">
      <c r="A258" s="26">
        <f t="shared" si="27"/>
        <v>257</v>
      </c>
      <c r="B258" s="68" t="s">
        <v>6</v>
      </c>
      <c r="C258" s="68" t="s">
        <v>192</v>
      </c>
      <c r="D258" s="68" t="s">
        <v>184</v>
      </c>
      <c r="E258" s="23">
        <f t="shared" ca="1" si="28"/>
        <v>40951</v>
      </c>
      <c r="F258" s="16">
        <f>DATE(85,5,25)</f>
        <v>31192</v>
      </c>
      <c r="G258" s="17">
        <f t="shared" ca="1" si="24"/>
        <v>27</v>
      </c>
      <c r="H258" s="17">
        <f t="shared" ca="1" si="25"/>
        <v>-3</v>
      </c>
      <c r="I258" s="18">
        <f t="shared" ca="1" si="26"/>
        <v>-13</v>
      </c>
      <c r="J258" s="19">
        <f t="shared" ca="1" si="23"/>
        <v>26</v>
      </c>
      <c r="K258" s="17" t="s">
        <v>41</v>
      </c>
      <c r="L258" s="20">
        <v>21</v>
      </c>
      <c r="M258" s="26" t="s">
        <v>44</v>
      </c>
      <c r="N258">
        <v>58</v>
      </c>
    </row>
    <row r="259" spans="1:14">
      <c r="A259" s="24">
        <f t="shared" si="27"/>
        <v>258</v>
      </c>
      <c r="B259" s="66" t="s">
        <v>6</v>
      </c>
      <c r="C259" s="66" t="s">
        <v>193</v>
      </c>
      <c r="D259" s="66" t="s">
        <v>70</v>
      </c>
      <c r="E259" s="21">
        <f t="shared" ca="1" si="28"/>
        <v>40951</v>
      </c>
      <c r="F259" s="6">
        <f>DATE(61,11,23)</f>
        <v>22608</v>
      </c>
      <c r="G259" s="7">
        <f t="shared" ca="1" si="24"/>
        <v>51</v>
      </c>
      <c r="H259" s="7">
        <f t="shared" ca="1" si="25"/>
        <v>-9</v>
      </c>
      <c r="I259" s="8">
        <f t="shared" ca="1" si="26"/>
        <v>-11</v>
      </c>
      <c r="J259" s="9">
        <f t="shared" ref="J259:J322" ca="1" si="29">IF(H259&lt;0,G259-1,IF(H259&gt;0,G259,IF(I259&lt;0,G259-1,G259)))</f>
        <v>50</v>
      </c>
      <c r="K259" s="7" t="s">
        <v>40</v>
      </c>
      <c r="L259" s="10">
        <v>22</v>
      </c>
      <c r="M259" s="24" t="s">
        <v>40</v>
      </c>
      <c r="N259">
        <v>59</v>
      </c>
    </row>
    <row r="260" spans="1:14">
      <c r="A260" s="25">
        <f t="shared" si="27"/>
        <v>259</v>
      </c>
      <c r="B260" s="67" t="s">
        <v>6</v>
      </c>
      <c r="C260" s="67" t="s">
        <v>194</v>
      </c>
      <c r="D260" s="67" t="s">
        <v>193</v>
      </c>
      <c r="E260" s="22">
        <f t="shared" ca="1" si="28"/>
        <v>40951</v>
      </c>
      <c r="F260" s="11">
        <f>DATE(66,9,11)</f>
        <v>24361</v>
      </c>
      <c r="G260" s="12">
        <f t="shared" ca="1" si="24"/>
        <v>46</v>
      </c>
      <c r="H260" s="12">
        <f t="shared" ca="1" si="25"/>
        <v>-7</v>
      </c>
      <c r="I260" s="13">
        <f t="shared" ca="1" si="26"/>
        <v>1</v>
      </c>
      <c r="J260" s="14">
        <f t="shared" ca="1" si="29"/>
        <v>45</v>
      </c>
      <c r="K260" s="12" t="s">
        <v>41</v>
      </c>
      <c r="L260" s="15">
        <v>22</v>
      </c>
      <c r="M260" s="25" t="s">
        <v>40</v>
      </c>
      <c r="N260">
        <v>59</v>
      </c>
    </row>
    <row r="261" spans="1:14">
      <c r="A261" s="25">
        <f t="shared" si="27"/>
        <v>260</v>
      </c>
      <c r="B261" s="67" t="s">
        <v>6</v>
      </c>
      <c r="C261" s="67" t="s">
        <v>195</v>
      </c>
      <c r="D261" s="67" t="s">
        <v>193</v>
      </c>
      <c r="E261" s="22">
        <f t="shared" ca="1" si="28"/>
        <v>40951</v>
      </c>
      <c r="F261" s="11">
        <f>DATE(90,1,230)</f>
        <v>33103</v>
      </c>
      <c r="G261" s="12">
        <f t="shared" ca="1" si="24"/>
        <v>22</v>
      </c>
      <c r="H261" s="12">
        <f t="shared" ca="1" si="25"/>
        <v>-6</v>
      </c>
      <c r="I261" s="13">
        <f t="shared" ca="1" si="26"/>
        <v>-6</v>
      </c>
      <c r="J261" s="14">
        <f t="shared" ca="1" si="29"/>
        <v>21</v>
      </c>
      <c r="K261" s="12" t="s">
        <v>40</v>
      </c>
      <c r="L261" s="15">
        <v>22</v>
      </c>
      <c r="M261" s="25" t="s">
        <v>44</v>
      </c>
      <c r="N261">
        <v>59</v>
      </c>
    </row>
    <row r="262" spans="1:14" ht="15.75" thickBot="1">
      <c r="A262" s="26">
        <f t="shared" si="27"/>
        <v>261</v>
      </c>
      <c r="B262" s="68" t="s">
        <v>6</v>
      </c>
      <c r="C262" s="68" t="s">
        <v>196</v>
      </c>
      <c r="D262" s="68" t="s">
        <v>70</v>
      </c>
      <c r="E262" s="23">
        <f t="shared" ca="1" si="28"/>
        <v>40951</v>
      </c>
      <c r="F262" s="16">
        <f>DATE(18,3,23)</f>
        <v>6657</v>
      </c>
      <c r="G262" s="17">
        <f t="shared" ca="1" si="24"/>
        <v>94</v>
      </c>
      <c r="H262" s="17">
        <f t="shared" ca="1" si="25"/>
        <v>-1</v>
      </c>
      <c r="I262" s="18">
        <f t="shared" ca="1" si="26"/>
        <v>-11</v>
      </c>
      <c r="J262" s="19">
        <f t="shared" ca="1" si="29"/>
        <v>93</v>
      </c>
      <c r="K262" s="17" t="s">
        <v>41</v>
      </c>
      <c r="L262" s="20">
        <v>22</v>
      </c>
      <c r="M262" s="26" t="s">
        <v>40</v>
      </c>
      <c r="N262">
        <v>59</v>
      </c>
    </row>
    <row r="263" spans="1:14">
      <c r="A263" s="24">
        <f t="shared" si="27"/>
        <v>262</v>
      </c>
      <c r="B263" s="66" t="s">
        <v>6</v>
      </c>
      <c r="C263" s="66" t="s">
        <v>197</v>
      </c>
      <c r="D263" s="66" t="s">
        <v>198</v>
      </c>
      <c r="E263" s="21">
        <f t="shared" ca="1" si="28"/>
        <v>40951</v>
      </c>
      <c r="F263" s="45"/>
      <c r="G263" s="7">
        <f t="shared" ca="1" si="24"/>
        <v>112</v>
      </c>
      <c r="H263" s="7">
        <f t="shared" ca="1" si="25"/>
        <v>1</v>
      </c>
      <c r="I263" s="8">
        <f t="shared" ca="1" si="26"/>
        <v>12</v>
      </c>
      <c r="J263" s="9">
        <f t="shared" ca="1" si="29"/>
        <v>112</v>
      </c>
      <c r="K263" s="7" t="s">
        <v>41</v>
      </c>
      <c r="L263" s="10">
        <v>22</v>
      </c>
      <c r="M263" s="24" t="s">
        <v>45</v>
      </c>
      <c r="N263">
        <v>60</v>
      </c>
    </row>
    <row r="264" spans="1:14">
      <c r="A264" s="25">
        <f t="shared" si="27"/>
        <v>263</v>
      </c>
      <c r="B264" s="67" t="s">
        <v>6</v>
      </c>
      <c r="C264" s="67" t="s">
        <v>199</v>
      </c>
      <c r="D264" s="67" t="s">
        <v>198</v>
      </c>
      <c r="E264" s="22">
        <f t="shared" ca="1" si="28"/>
        <v>40951</v>
      </c>
      <c r="F264" s="32"/>
      <c r="G264" s="12">
        <f t="shared" ca="1" si="24"/>
        <v>112</v>
      </c>
      <c r="H264" s="12">
        <f t="shared" ca="1" si="25"/>
        <v>1</v>
      </c>
      <c r="I264" s="13">
        <f t="shared" ca="1" si="26"/>
        <v>12</v>
      </c>
      <c r="J264" s="14">
        <f t="shared" ca="1" si="29"/>
        <v>112</v>
      </c>
      <c r="K264" s="12" t="s">
        <v>40</v>
      </c>
      <c r="L264" s="15">
        <v>22</v>
      </c>
      <c r="M264" s="25" t="s">
        <v>40</v>
      </c>
      <c r="N264">
        <v>60</v>
      </c>
    </row>
    <row r="265" spans="1:14">
      <c r="A265" s="25">
        <f t="shared" si="27"/>
        <v>264</v>
      </c>
      <c r="B265" s="67" t="s">
        <v>6</v>
      </c>
      <c r="C265" s="67" t="s">
        <v>200</v>
      </c>
      <c r="D265" s="67" t="s">
        <v>199</v>
      </c>
      <c r="E265" s="22">
        <f t="shared" ca="1" si="28"/>
        <v>40951</v>
      </c>
      <c r="F265" s="32"/>
      <c r="G265" s="12">
        <f t="shared" ca="1" si="24"/>
        <v>112</v>
      </c>
      <c r="H265" s="12">
        <f t="shared" ca="1" si="25"/>
        <v>1</v>
      </c>
      <c r="I265" s="13">
        <f t="shared" ca="1" si="26"/>
        <v>12</v>
      </c>
      <c r="J265" s="14">
        <f t="shared" ca="1" si="29"/>
        <v>112</v>
      </c>
      <c r="K265" s="12" t="s">
        <v>41</v>
      </c>
      <c r="L265" s="15">
        <v>22</v>
      </c>
      <c r="M265" s="25" t="s">
        <v>40</v>
      </c>
      <c r="N265">
        <v>60</v>
      </c>
    </row>
    <row r="266" spans="1:14">
      <c r="A266" s="25">
        <f t="shared" si="27"/>
        <v>265</v>
      </c>
      <c r="B266" s="67" t="s">
        <v>6</v>
      </c>
      <c r="C266" s="67" t="s">
        <v>201</v>
      </c>
      <c r="D266" s="67" t="s">
        <v>199</v>
      </c>
      <c r="E266" s="22">
        <f t="shared" ca="1" si="28"/>
        <v>40951</v>
      </c>
      <c r="F266" s="11">
        <f>DATE(74,12,29)</f>
        <v>27392</v>
      </c>
      <c r="G266" s="12">
        <f t="shared" ca="1" si="24"/>
        <v>38</v>
      </c>
      <c r="H266" s="12">
        <f t="shared" ca="1" si="25"/>
        <v>-10</v>
      </c>
      <c r="I266" s="13">
        <f t="shared" ca="1" si="26"/>
        <v>-17</v>
      </c>
      <c r="J266" s="14">
        <f t="shared" ca="1" si="29"/>
        <v>37</v>
      </c>
      <c r="K266" s="12" t="s">
        <v>40</v>
      </c>
      <c r="L266" s="15">
        <v>22</v>
      </c>
      <c r="M266" s="25" t="s">
        <v>40</v>
      </c>
      <c r="N266">
        <v>60</v>
      </c>
    </row>
    <row r="267" spans="1:14">
      <c r="A267" s="25">
        <f t="shared" si="27"/>
        <v>266</v>
      </c>
      <c r="B267" s="67" t="s">
        <v>6</v>
      </c>
      <c r="C267" s="67" t="s">
        <v>202</v>
      </c>
      <c r="D267" s="67" t="s">
        <v>199</v>
      </c>
      <c r="E267" s="22">
        <f t="shared" ca="1" si="28"/>
        <v>40951</v>
      </c>
      <c r="F267" s="32"/>
      <c r="G267" s="12">
        <f t="shared" ca="1" si="24"/>
        <v>112</v>
      </c>
      <c r="H267" s="12">
        <f t="shared" ca="1" si="25"/>
        <v>1</v>
      </c>
      <c r="I267" s="13">
        <f t="shared" ca="1" si="26"/>
        <v>12</v>
      </c>
      <c r="J267" s="14">
        <f t="shared" ca="1" si="29"/>
        <v>112</v>
      </c>
      <c r="K267" s="12" t="s">
        <v>41</v>
      </c>
      <c r="L267" s="15">
        <v>22</v>
      </c>
      <c r="M267" s="25" t="s">
        <v>44</v>
      </c>
      <c r="N267">
        <v>60</v>
      </c>
    </row>
    <row r="268" spans="1:14">
      <c r="A268" s="25">
        <f t="shared" si="27"/>
        <v>267</v>
      </c>
      <c r="B268" s="67" t="s">
        <v>6</v>
      </c>
      <c r="C268" s="67" t="s">
        <v>167</v>
      </c>
      <c r="D268" s="67" t="s">
        <v>201</v>
      </c>
      <c r="E268" s="22">
        <f t="shared" ca="1" si="28"/>
        <v>40951</v>
      </c>
      <c r="F268" s="32"/>
      <c r="G268" s="12">
        <f t="shared" ca="1" si="24"/>
        <v>112</v>
      </c>
      <c r="H268" s="12">
        <f t="shared" ca="1" si="25"/>
        <v>1</v>
      </c>
      <c r="I268" s="13">
        <f t="shared" ca="1" si="26"/>
        <v>12</v>
      </c>
      <c r="J268" s="14">
        <f t="shared" ca="1" si="29"/>
        <v>112</v>
      </c>
      <c r="K268" s="12" t="s">
        <v>41</v>
      </c>
      <c r="L268" s="15">
        <v>22</v>
      </c>
      <c r="M268" s="25" t="s">
        <v>44</v>
      </c>
      <c r="N268">
        <v>60</v>
      </c>
    </row>
    <row r="269" spans="1:14" ht="15.75" thickBot="1">
      <c r="A269" s="26">
        <f t="shared" si="27"/>
        <v>268</v>
      </c>
      <c r="B269" s="68" t="s">
        <v>6</v>
      </c>
      <c r="C269" s="68" t="s">
        <v>203</v>
      </c>
      <c r="D269" s="68" t="s">
        <v>201</v>
      </c>
      <c r="E269" s="23">
        <f t="shared" ca="1" si="28"/>
        <v>40951</v>
      </c>
      <c r="F269" s="16">
        <f>DATE(2004,1,24)</f>
        <v>38010</v>
      </c>
      <c r="G269" s="17">
        <f t="shared" ca="1" si="24"/>
        <v>8</v>
      </c>
      <c r="H269" s="17">
        <f t="shared" ca="1" si="25"/>
        <v>1</v>
      </c>
      <c r="I269" s="18">
        <f t="shared" ca="1" si="26"/>
        <v>-12</v>
      </c>
      <c r="J269" s="19">
        <f t="shared" ca="1" si="29"/>
        <v>8</v>
      </c>
      <c r="K269" s="17" t="s">
        <v>40</v>
      </c>
      <c r="L269" s="20">
        <v>22</v>
      </c>
      <c r="M269" s="26" t="s">
        <v>44</v>
      </c>
      <c r="N269">
        <v>60</v>
      </c>
    </row>
    <row r="270" spans="1:14">
      <c r="A270" s="24">
        <f t="shared" si="27"/>
        <v>269</v>
      </c>
      <c r="B270" s="66" t="s">
        <v>6</v>
      </c>
      <c r="C270" s="66" t="s">
        <v>204</v>
      </c>
      <c r="D270" s="66" t="s">
        <v>205</v>
      </c>
      <c r="E270" s="21">
        <f t="shared" ca="1" si="28"/>
        <v>40951</v>
      </c>
      <c r="F270" s="6">
        <f>DATE(63,6,22)</f>
        <v>23184</v>
      </c>
      <c r="G270" s="7">
        <f t="shared" ca="1" si="24"/>
        <v>49</v>
      </c>
      <c r="H270" s="7">
        <f t="shared" ca="1" si="25"/>
        <v>-4</v>
      </c>
      <c r="I270" s="8">
        <f t="shared" ca="1" si="26"/>
        <v>-10</v>
      </c>
      <c r="J270" s="9">
        <f t="shared" ca="1" si="29"/>
        <v>48</v>
      </c>
      <c r="K270" s="7" t="s">
        <v>40</v>
      </c>
      <c r="L270" s="10">
        <v>22</v>
      </c>
      <c r="M270" s="24" t="s">
        <v>40</v>
      </c>
      <c r="N270">
        <v>61</v>
      </c>
    </row>
    <row r="271" spans="1:14">
      <c r="A271" s="25">
        <f t="shared" si="27"/>
        <v>270</v>
      </c>
      <c r="B271" s="67" t="s">
        <v>6</v>
      </c>
      <c r="C271" s="67" t="s">
        <v>124</v>
      </c>
      <c r="D271" s="67" t="s">
        <v>204</v>
      </c>
      <c r="E271" s="22">
        <f t="shared" ca="1" si="28"/>
        <v>40951</v>
      </c>
      <c r="F271" s="11">
        <f>DATE(68,7,12)</f>
        <v>25031</v>
      </c>
      <c r="G271" s="12">
        <f t="shared" ca="1" si="24"/>
        <v>44</v>
      </c>
      <c r="H271" s="12">
        <f t="shared" ca="1" si="25"/>
        <v>-5</v>
      </c>
      <c r="I271" s="13">
        <f t="shared" ca="1" si="26"/>
        <v>0</v>
      </c>
      <c r="J271" s="14">
        <f t="shared" ca="1" si="29"/>
        <v>43</v>
      </c>
      <c r="K271" s="12" t="s">
        <v>41</v>
      </c>
      <c r="L271" s="15">
        <v>22</v>
      </c>
      <c r="M271" s="25" t="s">
        <v>40</v>
      </c>
      <c r="N271">
        <v>61</v>
      </c>
    </row>
    <row r="272" spans="1:14">
      <c r="A272" s="25">
        <f t="shared" si="27"/>
        <v>271</v>
      </c>
      <c r="B272" s="67" t="s">
        <v>6</v>
      </c>
      <c r="C272" s="67" t="s">
        <v>206</v>
      </c>
      <c r="D272" s="67" t="s">
        <v>204</v>
      </c>
      <c r="E272" s="22">
        <f t="shared" ca="1" si="28"/>
        <v>40951</v>
      </c>
      <c r="F272" s="11">
        <f>DATE(92,11,12)</f>
        <v>33920</v>
      </c>
      <c r="G272" s="12">
        <f t="shared" ca="1" si="24"/>
        <v>20</v>
      </c>
      <c r="H272" s="12">
        <f t="shared" ca="1" si="25"/>
        <v>-9</v>
      </c>
      <c r="I272" s="13">
        <f t="shared" ca="1" si="26"/>
        <v>0</v>
      </c>
      <c r="J272" s="14">
        <f t="shared" ca="1" si="29"/>
        <v>19</v>
      </c>
      <c r="K272" s="12" t="s">
        <v>41</v>
      </c>
      <c r="L272" s="15">
        <v>22</v>
      </c>
      <c r="M272" s="25" t="s">
        <v>44</v>
      </c>
      <c r="N272">
        <v>61</v>
      </c>
    </row>
    <row r="273" spans="1:14" ht="15.75" thickBot="1">
      <c r="A273" s="26">
        <f t="shared" si="27"/>
        <v>272</v>
      </c>
      <c r="B273" s="68" t="s">
        <v>6</v>
      </c>
      <c r="C273" s="68" t="s">
        <v>207</v>
      </c>
      <c r="D273" s="68" t="s">
        <v>204</v>
      </c>
      <c r="E273" s="23">
        <f t="shared" ca="1" si="28"/>
        <v>40951</v>
      </c>
      <c r="F273" s="16">
        <f>DATE(97,11,12)</f>
        <v>35746</v>
      </c>
      <c r="G273" s="17">
        <f t="shared" ca="1" si="24"/>
        <v>15</v>
      </c>
      <c r="H273" s="17">
        <f t="shared" ca="1" si="25"/>
        <v>-9</v>
      </c>
      <c r="I273" s="18">
        <f t="shared" ca="1" si="26"/>
        <v>0</v>
      </c>
      <c r="J273" s="19">
        <f t="shared" ca="1" si="29"/>
        <v>14</v>
      </c>
      <c r="K273" s="17" t="s">
        <v>40</v>
      </c>
      <c r="L273" s="20">
        <v>22</v>
      </c>
      <c r="M273" s="26" t="s">
        <v>44</v>
      </c>
      <c r="N273">
        <v>61</v>
      </c>
    </row>
    <row r="274" spans="1:14">
      <c r="A274" s="24">
        <f t="shared" si="27"/>
        <v>273</v>
      </c>
      <c r="B274" s="66" t="s">
        <v>6</v>
      </c>
      <c r="C274" s="66" t="s">
        <v>208</v>
      </c>
      <c r="D274" s="66" t="s">
        <v>209</v>
      </c>
      <c r="E274" s="21">
        <f t="shared" ca="1" si="28"/>
        <v>40951</v>
      </c>
      <c r="F274" s="6">
        <f>DATE(53,5,11)</f>
        <v>19490</v>
      </c>
      <c r="G274" s="7">
        <f t="shared" ca="1" si="24"/>
        <v>59</v>
      </c>
      <c r="H274" s="7">
        <f t="shared" ca="1" si="25"/>
        <v>-3</v>
      </c>
      <c r="I274" s="8">
        <f t="shared" ca="1" si="26"/>
        <v>1</v>
      </c>
      <c r="J274" s="9">
        <f t="shared" ca="1" si="29"/>
        <v>58</v>
      </c>
      <c r="K274" s="7" t="s">
        <v>40</v>
      </c>
      <c r="L274" s="10">
        <v>23</v>
      </c>
      <c r="M274" s="24" t="s">
        <v>40</v>
      </c>
      <c r="N274">
        <v>62</v>
      </c>
    </row>
    <row r="275" spans="1:14">
      <c r="A275" s="25">
        <f t="shared" si="27"/>
        <v>274</v>
      </c>
      <c r="B275" s="67" t="s">
        <v>6</v>
      </c>
      <c r="C275" s="67" t="s">
        <v>210</v>
      </c>
      <c r="D275" s="67" t="s">
        <v>208</v>
      </c>
      <c r="E275" s="22">
        <f t="shared" ca="1" si="28"/>
        <v>40951</v>
      </c>
      <c r="F275" s="11">
        <f>DATE(58,3,18)</f>
        <v>21262</v>
      </c>
      <c r="G275" s="12">
        <f t="shared" ca="1" si="24"/>
        <v>54</v>
      </c>
      <c r="H275" s="12">
        <f t="shared" ca="1" si="25"/>
        <v>-1</v>
      </c>
      <c r="I275" s="13">
        <f t="shared" ca="1" si="26"/>
        <v>-6</v>
      </c>
      <c r="J275" s="14">
        <f t="shared" ca="1" si="29"/>
        <v>53</v>
      </c>
      <c r="K275" s="12" t="s">
        <v>41</v>
      </c>
      <c r="L275" s="15">
        <v>23</v>
      </c>
      <c r="M275" s="25" t="s">
        <v>40</v>
      </c>
      <c r="N275">
        <v>62</v>
      </c>
    </row>
    <row r="276" spans="1:14">
      <c r="A276" s="25">
        <f t="shared" si="27"/>
        <v>275</v>
      </c>
      <c r="B276" s="67" t="s">
        <v>6</v>
      </c>
      <c r="C276" s="67" t="s">
        <v>211</v>
      </c>
      <c r="D276" s="67" t="s">
        <v>208</v>
      </c>
      <c r="E276" s="22">
        <f t="shared" ca="1" si="28"/>
        <v>40951</v>
      </c>
      <c r="F276" s="11">
        <f>DATE(80,6,17)</f>
        <v>29389</v>
      </c>
      <c r="G276" s="12">
        <f t="shared" ca="1" si="24"/>
        <v>32</v>
      </c>
      <c r="H276" s="12">
        <f t="shared" ca="1" si="25"/>
        <v>-4</v>
      </c>
      <c r="I276" s="13">
        <f t="shared" ca="1" si="26"/>
        <v>-5</v>
      </c>
      <c r="J276" s="14">
        <f t="shared" ca="1" si="29"/>
        <v>31</v>
      </c>
      <c r="K276" s="12" t="s">
        <v>40</v>
      </c>
      <c r="L276" s="15">
        <v>23</v>
      </c>
      <c r="M276" s="25" t="s">
        <v>40</v>
      </c>
      <c r="N276">
        <v>62</v>
      </c>
    </row>
    <row r="277" spans="1:14">
      <c r="A277" s="25">
        <f t="shared" si="27"/>
        <v>276</v>
      </c>
      <c r="B277" s="67" t="s">
        <v>6</v>
      </c>
      <c r="C277" s="67" t="s">
        <v>212</v>
      </c>
      <c r="D277" s="67" t="s">
        <v>213</v>
      </c>
      <c r="E277" s="22">
        <f t="shared" ca="1" si="28"/>
        <v>40951</v>
      </c>
      <c r="F277" s="11">
        <f>DATE(81,5,22)</f>
        <v>29728</v>
      </c>
      <c r="G277" s="12">
        <f t="shared" ca="1" si="24"/>
        <v>31</v>
      </c>
      <c r="H277" s="12">
        <f t="shared" ca="1" si="25"/>
        <v>-3</v>
      </c>
      <c r="I277" s="13">
        <f t="shared" ca="1" si="26"/>
        <v>-10</v>
      </c>
      <c r="J277" s="14">
        <f t="shared" ca="1" si="29"/>
        <v>30</v>
      </c>
      <c r="K277" s="12" t="s">
        <v>41</v>
      </c>
      <c r="L277" s="15">
        <v>23</v>
      </c>
      <c r="M277" s="25" t="s">
        <v>40</v>
      </c>
      <c r="N277">
        <v>62</v>
      </c>
    </row>
    <row r="278" spans="1:14" ht="15.75" thickBot="1">
      <c r="A278" s="26">
        <f t="shared" si="27"/>
        <v>277</v>
      </c>
      <c r="B278" s="68" t="s">
        <v>6</v>
      </c>
      <c r="C278" s="68" t="s">
        <v>214</v>
      </c>
      <c r="D278" s="68" t="s">
        <v>208</v>
      </c>
      <c r="E278" s="23">
        <f t="shared" ca="1" si="28"/>
        <v>40951</v>
      </c>
      <c r="F278" s="16">
        <f>DATE(82,10,6)</f>
        <v>30230</v>
      </c>
      <c r="G278" s="17">
        <f t="shared" ca="1" si="24"/>
        <v>30</v>
      </c>
      <c r="H278" s="17">
        <f t="shared" ca="1" si="25"/>
        <v>-8</v>
      </c>
      <c r="I278" s="18">
        <f t="shared" ca="1" si="26"/>
        <v>6</v>
      </c>
      <c r="J278" s="19">
        <f t="shared" ca="1" si="29"/>
        <v>29</v>
      </c>
      <c r="K278" s="17" t="s">
        <v>40</v>
      </c>
      <c r="L278" s="20">
        <v>23</v>
      </c>
      <c r="M278" s="26" t="s">
        <v>44</v>
      </c>
      <c r="N278">
        <v>62</v>
      </c>
    </row>
    <row r="279" spans="1:14">
      <c r="A279" s="24">
        <f t="shared" si="27"/>
        <v>278</v>
      </c>
      <c r="B279" s="66" t="s">
        <v>6</v>
      </c>
      <c r="C279" s="66" t="s">
        <v>210</v>
      </c>
      <c r="D279" s="66" t="s">
        <v>215</v>
      </c>
      <c r="E279" s="21">
        <f t="shared" ca="1" si="28"/>
        <v>40951</v>
      </c>
      <c r="F279" s="6">
        <f>DATE(50,12,24)</f>
        <v>18621</v>
      </c>
      <c r="G279" s="7">
        <f t="shared" ca="1" si="24"/>
        <v>62</v>
      </c>
      <c r="H279" s="7">
        <f t="shared" ca="1" si="25"/>
        <v>-10</v>
      </c>
      <c r="I279" s="8">
        <f t="shared" ca="1" si="26"/>
        <v>-12</v>
      </c>
      <c r="J279" s="9">
        <f t="shared" ca="1" si="29"/>
        <v>61</v>
      </c>
      <c r="K279" s="7" t="s">
        <v>40</v>
      </c>
      <c r="L279" s="10">
        <v>23</v>
      </c>
      <c r="M279" s="24" t="s">
        <v>40</v>
      </c>
      <c r="N279">
        <v>63</v>
      </c>
    </row>
    <row r="280" spans="1:14" ht="15.75" thickBot="1">
      <c r="A280" s="26">
        <f t="shared" si="27"/>
        <v>279</v>
      </c>
      <c r="B280" s="68" t="s">
        <v>6</v>
      </c>
      <c r="C280" s="68" t="s">
        <v>216</v>
      </c>
      <c r="D280" s="68" t="s">
        <v>210</v>
      </c>
      <c r="E280" s="23">
        <f t="shared" ca="1" si="28"/>
        <v>40951</v>
      </c>
      <c r="F280" s="16">
        <f>DATE(57,6,13)</f>
        <v>20984</v>
      </c>
      <c r="G280" s="17">
        <f t="shared" ca="1" si="24"/>
        <v>55</v>
      </c>
      <c r="H280" s="17">
        <f t="shared" ca="1" si="25"/>
        <v>-4</v>
      </c>
      <c r="I280" s="18">
        <f t="shared" ca="1" si="26"/>
        <v>-1</v>
      </c>
      <c r="J280" s="19">
        <f t="shared" ca="1" si="29"/>
        <v>54</v>
      </c>
      <c r="K280" s="17" t="s">
        <v>41</v>
      </c>
      <c r="L280" s="20">
        <v>23</v>
      </c>
      <c r="M280" s="26" t="s">
        <v>40</v>
      </c>
      <c r="N280">
        <v>63</v>
      </c>
    </row>
    <row r="281" spans="1:14">
      <c r="A281" s="24">
        <f t="shared" si="27"/>
        <v>280</v>
      </c>
      <c r="B281" s="66" t="s">
        <v>6</v>
      </c>
      <c r="C281" s="66" t="s">
        <v>217</v>
      </c>
      <c r="D281" s="66" t="s">
        <v>209</v>
      </c>
      <c r="E281" s="21">
        <f t="shared" ca="1" si="28"/>
        <v>40951</v>
      </c>
      <c r="F281" s="6">
        <f>DATE(47,12,13)</f>
        <v>17514</v>
      </c>
      <c r="G281" s="7">
        <f t="shared" ref="G281:G344" ca="1" si="30">YEAR(E281)-YEAR(F281)</f>
        <v>65</v>
      </c>
      <c r="H281" s="7">
        <f t="shared" ref="H281:H344" ca="1" si="31">MONTH(E281)-MONTH(F281)</f>
        <v>-10</v>
      </c>
      <c r="I281" s="8">
        <f t="shared" ref="I281:I344" ca="1" si="32">DAY(E281)-DAY(F281)</f>
        <v>-1</v>
      </c>
      <c r="J281" s="9">
        <f t="shared" ca="1" si="29"/>
        <v>64</v>
      </c>
      <c r="K281" s="7" t="s">
        <v>40</v>
      </c>
      <c r="L281" s="10">
        <v>23</v>
      </c>
      <c r="M281" s="24" t="s">
        <v>40</v>
      </c>
      <c r="N281">
        <v>64</v>
      </c>
    </row>
    <row r="282" spans="1:14">
      <c r="A282" s="25">
        <f t="shared" si="27"/>
        <v>281</v>
      </c>
      <c r="B282" s="67" t="s">
        <v>6</v>
      </c>
      <c r="C282" s="67" t="s">
        <v>218</v>
      </c>
      <c r="D282" s="67" t="s">
        <v>217</v>
      </c>
      <c r="E282" s="22">
        <f t="shared" ca="1" si="28"/>
        <v>40951</v>
      </c>
      <c r="F282" s="11">
        <f>DATE(51,11,4)</f>
        <v>18936</v>
      </c>
      <c r="G282" s="12">
        <f t="shared" ca="1" si="30"/>
        <v>61</v>
      </c>
      <c r="H282" s="12">
        <f t="shared" ca="1" si="31"/>
        <v>-9</v>
      </c>
      <c r="I282" s="13">
        <f t="shared" ca="1" si="32"/>
        <v>8</v>
      </c>
      <c r="J282" s="14">
        <f t="shared" ca="1" si="29"/>
        <v>60</v>
      </c>
      <c r="K282" s="12" t="s">
        <v>41</v>
      </c>
      <c r="L282" s="15">
        <v>23</v>
      </c>
      <c r="M282" s="25" t="s">
        <v>40</v>
      </c>
      <c r="N282">
        <v>64</v>
      </c>
    </row>
    <row r="283" spans="1:14">
      <c r="A283" s="25">
        <f t="shared" si="27"/>
        <v>282</v>
      </c>
      <c r="B283" s="67" t="s">
        <v>6</v>
      </c>
      <c r="C283" s="67" t="s">
        <v>118</v>
      </c>
      <c r="D283" s="67" t="s">
        <v>217</v>
      </c>
      <c r="E283" s="22">
        <f t="shared" ca="1" si="28"/>
        <v>40951</v>
      </c>
      <c r="F283" s="11">
        <f>DATE(76,9,30)</f>
        <v>28033</v>
      </c>
      <c r="G283" s="12">
        <f t="shared" ca="1" si="30"/>
        <v>36</v>
      </c>
      <c r="H283" s="12">
        <f t="shared" ca="1" si="31"/>
        <v>-7</v>
      </c>
      <c r="I283" s="13">
        <f t="shared" ca="1" si="32"/>
        <v>-18</v>
      </c>
      <c r="J283" s="14">
        <f t="shared" ca="1" si="29"/>
        <v>35</v>
      </c>
      <c r="K283" s="12" t="s">
        <v>40</v>
      </c>
      <c r="L283" s="15">
        <v>23</v>
      </c>
      <c r="M283" s="25" t="s">
        <v>40</v>
      </c>
      <c r="N283">
        <v>64</v>
      </c>
    </row>
    <row r="284" spans="1:14">
      <c r="A284" s="25">
        <f t="shared" si="27"/>
        <v>283</v>
      </c>
      <c r="B284" s="67" t="s">
        <v>6</v>
      </c>
      <c r="C284" s="67" t="s">
        <v>160</v>
      </c>
      <c r="D284" s="67" t="s">
        <v>118</v>
      </c>
      <c r="E284" s="22">
        <f t="shared" ca="1" si="28"/>
        <v>40951</v>
      </c>
      <c r="F284" s="11">
        <f>DATE(77,8,9)</f>
        <v>28346</v>
      </c>
      <c r="G284" s="12">
        <f t="shared" ca="1" si="30"/>
        <v>35</v>
      </c>
      <c r="H284" s="12">
        <f t="shared" ca="1" si="31"/>
        <v>-6</v>
      </c>
      <c r="I284" s="13">
        <f t="shared" ca="1" si="32"/>
        <v>3</v>
      </c>
      <c r="J284" s="14">
        <f t="shared" ca="1" si="29"/>
        <v>34</v>
      </c>
      <c r="K284" s="12" t="s">
        <v>41</v>
      </c>
      <c r="L284" s="15">
        <v>23</v>
      </c>
      <c r="M284" s="25" t="s">
        <v>40</v>
      </c>
      <c r="N284">
        <v>64</v>
      </c>
    </row>
    <row r="285" spans="1:14" ht="15.75" thickBot="1">
      <c r="A285" s="26">
        <f t="shared" si="27"/>
        <v>284</v>
      </c>
      <c r="B285" s="68" t="s">
        <v>6</v>
      </c>
      <c r="C285" s="68" t="s">
        <v>219</v>
      </c>
      <c r="D285" s="68" t="s">
        <v>118</v>
      </c>
      <c r="E285" s="23">
        <f t="shared" ca="1" si="28"/>
        <v>40951</v>
      </c>
      <c r="F285" s="16">
        <f>DATE(2002,11,30)</f>
        <v>37590</v>
      </c>
      <c r="G285" s="17">
        <f t="shared" ca="1" si="30"/>
        <v>10</v>
      </c>
      <c r="H285" s="17">
        <f t="shared" ca="1" si="31"/>
        <v>-9</v>
      </c>
      <c r="I285" s="18">
        <f t="shared" ca="1" si="32"/>
        <v>-18</v>
      </c>
      <c r="J285" s="19">
        <f t="shared" ca="1" si="29"/>
        <v>9</v>
      </c>
      <c r="K285" s="17" t="s">
        <v>41</v>
      </c>
      <c r="L285" s="20">
        <v>23</v>
      </c>
      <c r="M285" s="26" t="s">
        <v>44</v>
      </c>
      <c r="N285">
        <v>64</v>
      </c>
    </row>
    <row r="286" spans="1:14">
      <c r="A286" s="24">
        <f t="shared" ref="A286:A349" si="33">A285+1</f>
        <v>285</v>
      </c>
      <c r="B286" s="66" t="s">
        <v>6</v>
      </c>
      <c r="C286" s="66" t="s">
        <v>220</v>
      </c>
      <c r="D286" s="66" t="s">
        <v>90</v>
      </c>
      <c r="E286" s="21">
        <f t="shared" ca="1" si="28"/>
        <v>40951</v>
      </c>
      <c r="F286" s="6">
        <f>DATE(63,5,23)</f>
        <v>23154</v>
      </c>
      <c r="G286" s="7">
        <f t="shared" ca="1" si="30"/>
        <v>49</v>
      </c>
      <c r="H286" s="7">
        <f t="shared" ca="1" si="31"/>
        <v>-3</v>
      </c>
      <c r="I286" s="8">
        <f t="shared" ca="1" si="32"/>
        <v>-11</v>
      </c>
      <c r="J286" s="9">
        <f t="shared" ca="1" si="29"/>
        <v>48</v>
      </c>
      <c r="K286" s="7" t="s">
        <v>40</v>
      </c>
      <c r="L286" s="10">
        <v>24</v>
      </c>
      <c r="M286" s="24" t="s">
        <v>40</v>
      </c>
      <c r="N286">
        <v>65</v>
      </c>
    </row>
    <row r="287" spans="1:14">
      <c r="A287" s="25">
        <f t="shared" si="33"/>
        <v>286</v>
      </c>
      <c r="B287" s="67" t="s">
        <v>6</v>
      </c>
      <c r="C287" s="67" t="s">
        <v>221</v>
      </c>
      <c r="D287" s="67" t="s">
        <v>220</v>
      </c>
      <c r="E287" s="22">
        <f t="shared" ca="1" si="28"/>
        <v>40951</v>
      </c>
      <c r="F287" s="11">
        <f>DATE(71,2,15)</f>
        <v>25979</v>
      </c>
      <c r="G287" s="12">
        <f t="shared" ca="1" si="30"/>
        <v>41</v>
      </c>
      <c r="H287" s="12">
        <f t="shared" ca="1" si="31"/>
        <v>0</v>
      </c>
      <c r="I287" s="13">
        <f t="shared" ca="1" si="32"/>
        <v>-3</v>
      </c>
      <c r="J287" s="14">
        <f t="shared" ca="1" si="29"/>
        <v>40</v>
      </c>
      <c r="K287" s="12" t="s">
        <v>41</v>
      </c>
      <c r="L287" s="15">
        <v>24</v>
      </c>
      <c r="M287" s="25" t="s">
        <v>40</v>
      </c>
      <c r="N287">
        <v>65</v>
      </c>
    </row>
    <row r="288" spans="1:14">
      <c r="A288" s="25">
        <f t="shared" si="33"/>
        <v>287</v>
      </c>
      <c r="B288" s="67" t="s">
        <v>6</v>
      </c>
      <c r="C288" s="67" t="s">
        <v>222</v>
      </c>
      <c r="D288" s="67" t="s">
        <v>220</v>
      </c>
      <c r="E288" s="22">
        <f t="shared" ref="E288:E353" ca="1" si="34">TODAY()</f>
        <v>40951</v>
      </c>
      <c r="F288" s="11">
        <f>DATE(90,7,19)</f>
        <v>33073</v>
      </c>
      <c r="G288" s="12">
        <f t="shared" ca="1" si="30"/>
        <v>22</v>
      </c>
      <c r="H288" s="12">
        <f t="shared" ca="1" si="31"/>
        <v>-5</v>
      </c>
      <c r="I288" s="13">
        <f t="shared" ca="1" si="32"/>
        <v>-7</v>
      </c>
      <c r="J288" s="14">
        <f t="shared" ca="1" si="29"/>
        <v>21</v>
      </c>
      <c r="K288" s="12" t="s">
        <v>41</v>
      </c>
      <c r="L288" s="15">
        <v>24</v>
      </c>
      <c r="M288" s="25" t="s">
        <v>44</v>
      </c>
      <c r="N288">
        <v>65</v>
      </c>
    </row>
    <row r="289" spans="1:14">
      <c r="A289" s="25">
        <f t="shared" si="33"/>
        <v>288</v>
      </c>
      <c r="B289" s="67" t="s">
        <v>6</v>
      </c>
      <c r="C289" s="67" t="s">
        <v>167</v>
      </c>
      <c r="D289" s="67" t="s">
        <v>220</v>
      </c>
      <c r="E289" s="22">
        <f t="shared" ca="1" si="34"/>
        <v>40951</v>
      </c>
      <c r="F289" s="11">
        <f>DATE(92,8,31)</f>
        <v>33847</v>
      </c>
      <c r="G289" s="12">
        <f t="shared" ca="1" si="30"/>
        <v>20</v>
      </c>
      <c r="H289" s="12">
        <f t="shared" ca="1" si="31"/>
        <v>-6</v>
      </c>
      <c r="I289" s="13">
        <f t="shared" ca="1" si="32"/>
        <v>-19</v>
      </c>
      <c r="J289" s="14">
        <f t="shared" ca="1" si="29"/>
        <v>19</v>
      </c>
      <c r="K289" s="12" t="s">
        <v>41</v>
      </c>
      <c r="L289" s="15">
        <v>24</v>
      </c>
      <c r="M289" s="25" t="s">
        <v>44</v>
      </c>
      <c r="N289">
        <v>65</v>
      </c>
    </row>
    <row r="290" spans="1:14" ht="15.75" thickBot="1">
      <c r="A290" s="26">
        <f t="shared" si="33"/>
        <v>289</v>
      </c>
      <c r="B290" s="68" t="s">
        <v>6</v>
      </c>
      <c r="C290" s="68" t="s">
        <v>223</v>
      </c>
      <c r="D290" s="68" t="s">
        <v>220</v>
      </c>
      <c r="E290" s="23">
        <f t="shared" ca="1" si="34"/>
        <v>40951</v>
      </c>
      <c r="F290" s="16">
        <f>DATE(94,5,18)</f>
        <v>34472</v>
      </c>
      <c r="G290" s="17">
        <f t="shared" ca="1" si="30"/>
        <v>18</v>
      </c>
      <c r="H290" s="17">
        <f t="shared" ca="1" si="31"/>
        <v>-3</v>
      </c>
      <c r="I290" s="18">
        <f t="shared" ca="1" si="32"/>
        <v>-6</v>
      </c>
      <c r="J290" s="19">
        <f t="shared" ca="1" si="29"/>
        <v>17</v>
      </c>
      <c r="K290" s="17" t="s">
        <v>40</v>
      </c>
      <c r="L290" s="20">
        <v>24</v>
      </c>
      <c r="M290" s="26" t="s">
        <v>44</v>
      </c>
      <c r="N290">
        <v>65</v>
      </c>
    </row>
    <row r="291" spans="1:14">
      <c r="A291" s="24">
        <f t="shared" si="33"/>
        <v>290</v>
      </c>
      <c r="B291" s="66" t="s">
        <v>6</v>
      </c>
      <c r="C291" s="66" t="s">
        <v>224</v>
      </c>
      <c r="D291" s="66" t="s">
        <v>198</v>
      </c>
      <c r="E291" s="21">
        <f t="shared" ca="1" si="34"/>
        <v>40951</v>
      </c>
      <c r="F291" s="6">
        <f>DATE(54,11,9)</f>
        <v>20037</v>
      </c>
      <c r="G291" s="7">
        <f t="shared" ca="1" si="30"/>
        <v>58</v>
      </c>
      <c r="H291" s="7">
        <f t="shared" ca="1" si="31"/>
        <v>-9</v>
      </c>
      <c r="I291" s="8">
        <f t="shared" ca="1" si="32"/>
        <v>3</v>
      </c>
      <c r="J291" s="9">
        <f t="shared" ca="1" si="29"/>
        <v>57</v>
      </c>
      <c r="K291" s="7" t="s">
        <v>40</v>
      </c>
      <c r="L291" s="10">
        <v>24</v>
      </c>
      <c r="M291" s="24" t="s">
        <v>40</v>
      </c>
      <c r="N291">
        <v>66</v>
      </c>
    </row>
    <row r="292" spans="1:14">
      <c r="A292" s="25">
        <f t="shared" si="33"/>
        <v>291</v>
      </c>
      <c r="B292" s="67" t="s">
        <v>6</v>
      </c>
      <c r="C292" s="67" t="s">
        <v>143</v>
      </c>
      <c r="D292" s="67" t="s">
        <v>224</v>
      </c>
      <c r="E292" s="22">
        <f t="shared" ca="1" si="34"/>
        <v>40951</v>
      </c>
      <c r="F292" s="11">
        <f>DATE(63,2,19)</f>
        <v>23061</v>
      </c>
      <c r="G292" s="12">
        <f t="shared" ca="1" si="30"/>
        <v>49</v>
      </c>
      <c r="H292" s="12">
        <f t="shared" ca="1" si="31"/>
        <v>0</v>
      </c>
      <c r="I292" s="13">
        <f t="shared" ca="1" si="32"/>
        <v>-7</v>
      </c>
      <c r="J292" s="14">
        <f t="shared" ca="1" si="29"/>
        <v>48</v>
      </c>
      <c r="K292" s="12" t="s">
        <v>41</v>
      </c>
      <c r="L292" s="15">
        <v>24</v>
      </c>
      <c r="M292" s="25" t="s">
        <v>40</v>
      </c>
      <c r="N292">
        <v>66</v>
      </c>
    </row>
    <row r="293" spans="1:14" ht="15.75" thickBot="1">
      <c r="A293" s="26">
        <f t="shared" si="33"/>
        <v>292</v>
      </c>
      <c r="B293" s="68" t="s">
        <v>6</v>
      </c>
      <c r="C293" s="68" t="s">
        <v>225</v>
      </c>
      <c r="D293" s="68" t="s">
        <v>224</v>
      </c>
      <c r="E293" s="23">
        <f t="shared" ca="1" si="34"/>
        <v>40951</v>
      </c>
      <c r="F293" s="16">
        <f>DATE(85,6,5)</f>
        <v>31203</v>
      </c>
      <c r="G293" s="17">
        <f t="shared" ca="1" si="30"/>
        <v>27</v>
      </c>
      <c r="H293" s="17">
        <f t="shared" ca="1" si="31"/>
        <v>-4</v>
      </c>
      <c r="I293" s="18">
        <f t="shared" ca="1" si="32"/>
        <v>7</v>
      </c>
      <c r="J293" s="19">
        <f t="shared" ca="1" si="29"/>
        <v>26</v>
      </c>
      <c r="K293" s="17" t="s">
        <v>40</v>
      </c>
      <c r="L293" s="20">
        <v>24</v>
      </c>
      <c r="M293" s="26" t="s">
        <v>44</v>
      </c>
      <c r="N293">
        <v>66</v>
      </c>
    </row>
    <row r="294" spans="1:14">
      <c r="A294" s="24">
        <f t="shared" si="33"/>
        <v>293</v>
      </c>
      <c r="B294" s="66" t="s">
        <v>6</v>
      </c>
      <c r="C294" s="66" t="s">
        <v>226</v>
      </c>
      <c r="D294" s="66" t="s">
        <v>227</v>
      </c>
      <c r="E294" s="21">
        <f t="shared" ca="1" si="34"/>
        <v>40951</v>
      </c>
      <c r="F294" s="6">
        <f>DATE(55,8,5)</f>
        <v>20306</v>
      </c>
      <c r="G294" s="7">
        <f t="shared" ca="1" si="30"/>
        <v>57</v>
      </c>
      <c r="H294" s="7">
        <f t="shared" ca="1" si="31"/>
        <v>-6</v>
      </c>
      <c r="I294" s="8">
        <f t="shared" ca="1" si="32"/>
        <v>7</v>
      </c>
      <c r="J294" s="9">
        <f t="shared" ca="1" si="29"/>
        <v>56</v>
      </c>
      <c r="K294" s="7" t="s">
        <v>41</v>
      </c>
      <c r="L294" s="10">
        <v>24</v>
      </c>
      <c r="M294" s="24" t="s">
        <v>40</v>
      </c>
      <c r="N294">
        <v>67</v>
      </c>
    </row>
    <row r="295" spans="1:14">
      <c r="A295" s="25">
        <f t="shared" si="33"/>
        <v>294</v>
      </c>
      <c r="B295" s="67" t="s">
        <v>6</v>
      </c>
      <c r="C295" s="67" t="s">
        <v>228</v>
      </c>
      <c r="D295" s="67" t="s">
        <v>227</v>
      </c>
      <c r="E295" s="22">
        <f t="shared" ca="1" si="34"/>
        <v>40951</v>
      </c>
      <c r="F295" s="11">
        <f>DATE(79,11,15)</f>
        <v>29174</v>
      </c>
      <c r="G295" s="12">
        <f t="shared" ca="1" si="30"/>
        <v>33</v>
      </c>
      <c r="H295" s="12">
        <f t="shared" ca="1" si="31"/>
        <v>-9</v>
      </c>
      <c r="I295" s="13">
        <f t="shared" ca="1" si="32"/>
        <v>-3</v>
      </c>
      <c r="J295" s="14">
        <f t="shared" ca="1" si="29"/>
        <v>32</v>
      </c>
      <c r="K295" s="12" t="s">
        <v>40</v>
      </c>
      <c r="L295" s="15">
        <v>24</v>
      </c>
      <c r="M295" s="25" t="s">
        <v>44</v>
      </c>
      <c r="N295">
        <v>67</v>
      </c>
    </row>
    <row r="296" spans="1:14" ht="15.75" thickBot="1">
      <c r="A296" s="26">
        <f t="shared" si="33"/>
        <v>295</v>
      </c>
      <c r="B296" s="68" t="s">
        <v>6</v>
      </c>
      <c r="C296" s="68" t="s">
        <v>229</v>
      </c>
      <c r="D296" s="68" t="s">
        <v>227</v>
      </c>
      <c r="E296" s="23">
        <f t="shared" ca="1" si="34"/>
        <v>40951</v>
      </c>
      <c r="F296" s="16">
        <f>DATE(81,1,16)</f>
        <v>29602</v>
      </c>
      <c r="G296" s="17">
        <f t="shared" ca="1" si="30"/>
        <v>31</v>
      </c>
      <c r="H296" s="17">
        <f t="shared" ca="1" si="31"/>
        <v>1</v>
      </c>
      <c r="I296" s="18">
        <f t="shared" ca="1" si="32"/>
        <v>-4</v>
      </c>
      <c r="J296" s="19">
        <f t="shared" ca="1" si="29"/>
        <v>31</v>
      </c>
      <c r="K296" s="17" t="s">
        <v>40</v>
      </c>
      <c r="L296" s="20">
        <v>24</v>
      </c>
      <c r="M296" s="26" t="s">
        <v>44</v>
      </c>
      <c r="N296">
        <v>67</v>
      </c>
    </row>
    <row r="297" spans="1:14">
      <c r="A297" s="24">
        <f t="shared" si="33"/>
        <v>296</v>
      </c>
      <c r="B297" s="66" t="s">
        <v>6</v>
      </c>
      <c r="C297" s="66" t="s">
        <v>230</v>
      </c>
      <c r="D297" s="66" t="s">
        <v>70</v>
      </c>
      <c r="E297" s="21">
        <f t="shared" ca="1" si="34"/>
        <v>40951</v>
      </c>
      <c r="F297" s="6">
        <f>DATE(49,12,23)</f>
        <v>18255</v>
      </c>
      <c r="G297" s="7">
        <f t="shared" ca="1" si="30"/>
        <v>63</v>
      </c>
      <c r="H297" s="7">
        <f t="shared" ca="1" si="31"/>
        <v>-10</v>
      </c>
      <c r="I297" s="8">
        <f t="shared" ca="1" si="32"/>
        <v>-11</v>
      </c>
      <c r="J297" s="9">
        <f t="shared" ca="1" si="29"/>
        <v>62</v>
      </c>
      <c r="K297" s="7" t="s">
        <v>40</v>
      </c>
      <c r="L297" s="10">
        <v>25</v>
      </c>
      <c r="M297" s="24" t="s">
        <v>40</v>
      </c>
      <c r="N297">
        <v>68</v>
      </c>
    </row>
    <row r="298" spans="1:14">
      <c r="A298" s="25">
        <f t="shared" si="33"/>
        <v>297</v>
      </c>
      <c r="B298" s="67" t="s">
        <v>6</v>
      </c>
      <c r="C298" s="67" t="s">
        <v>78</v>
      </c>
      <c r="D298" s="67" t="s">
        <v>230</v>
      </c>
      <c r="E298" s="22">
        <f t="shared" ca="1" si="34"/>
        <v>40951</v>
      </c>
      <c r="F298" s="11">
        <f>DATE(54,7,31)</f>
        <v>19936</v>
      </c>
      <c r="G298" s="12">
        <f t="shared" ca="1" si="30"/>
        <v>58</v>
      </c>
      <c r="H298" s="12">
        <f t="shared" ca="1" si="31"/>
        <v>-5</v>
      </c>
      <c r="I298" s="13">
        <f t="shared" ca="1" si="32"/>
        <v>-19</v>
      </c>
      <c r="J298" s="14">
        <f t="shared" ca="1" si="29"/>
        <v>57</v>
      </c>
      <c r="K298" s="12" t="s">
        <v>41</v>
      </c>
      <c r="L298" s="15">
        <v>25</v>
      </c>
      <c r="M298" s="25" t="s">
        <v>40</v>
      </c>
      <c r="N298">
        <v>68</v>
      </c>
    </row>
    <row r="299" spans="1:14">
      <c r="A299" s="25">
        <f t="shared" si="33"/>
        <v>298</v>
      </c>
      <c r="B299" s="67" t="s">
        <v>6</v>
      </c>
      <c r="C299" s="67" t="s">
        <v>229</v>
      </c>
      <c r="D299" s="67" t="s">
        <v>230</v>
      </c>
      <c r="E299" s="22">
        <f t="shared" ca="1" si="34"/>
        <v>40951</v>
      </c>
      <c r="F299" s="11">
        <f>DATE(77,2,25)</f>
        <v>28181</v>
      </c>
      <c r="G299" s="12">
        <f t="shared" ca="1" si="30"/>
        <v>35</v>
      </c>
      <c r="H299" s="12">
        <f t="shared" ca="1" si="31"/>
        <v>0</v>
      </c>
      <c r="I299" s="13">
        <f t="shared" ca="1" si="32"/>
        <v>-13</v>
      </c>
      <c r="J299" s="14">
        <f t="shared" ca="1" si="29"/>
        <v>34</v>
      </c>
      <c r="K299" s="12" t="s">
        <v>40</v>
      </c>
      <c r="L299" s="15">
        <v>25</v>
      </c>
      <c r="M299" s="25" t="s">
        <v>40</v>
      </c>
      <c r="N299">
        <v>68</v>
      </c>
    </row>
    <row r="300" spans="1:14" ht="15.75" thickBot="1">
      <c r="A300" s="26">
        <f t="shared" si="33"/>
        <v>299</v>
      </c>
      <c r="B300" s="68" t="s">
        <v>6</v>
      </c>
      <c r="C300" s="68" t="s">
        <v>231</v>
      </c>
      <c r="D300" s="68" t="s">
        <v>229</v>
      </c>
      <c r="E300" s="23">
        <f t="shared" ca="1" si="34"/>
        <v>40951</v>
      </c>
      <c r="F300" s="16">
        <f>DATE(79,7,20)</f>
        <v>29056</v>
      </c>
      <c r="G300" s="17">
        <f t="shared" ca="1" si="30"/>
        <v>33</v>
      </c>
      <c r="H300" s="17">
        <f t="shared" ca="1" si="31"/>
        <v>-5</v>
      </c>
      <c r="I300" s="18">
        <f t="shared" ca="1" si="32"/>
        <v>-8</v>
      </c>
      <c r="J300" s="19">
        <f t="shared" ca="1" si="29"/>
        <v>32</v>
      </c>
      <c r="K300" s="17" t="s">
        <v>41</v>
      </c>
      <c r="L300" s="20">
        <v>25</v>
      </c>
      <c r="M300" s="26" t="s">
        <v>40</v>
      </c>
      <c r="N300">
        <v>68</v>
      </c>
    </row>
    <row r="301" spans="1:14">
      <c r="A301" s="24">
        <f t="shared" si="33"/>
        <v>300</v>
      </c>
      <c r="B301" s="66" t="s">
        <v>6</v>
      </c>
      <c r="C301" s="66" t="s">
        <v>232</v>
      </c>
      <c r="D301" s="66" t="s">
        <v>233</v>
      </c>
      <c r="E301" s="21">
        <f t="shared" ca="1" si="34"/>
        <v>40951</v>
      </c>
      <c r="F301" s="45"/>
      <c r="G301" s="7">
        <f t="shared" ca="1" si="30"/>
        <v>112</v>
      </c>
      <c r="H301" s="7">
        <f t="shared" ca="1" si="31"/>
        <v>1</v>
      </c>
      <c r="I301" s="8">
        <f t="shared" ca="1" si="32"/>
        <v>12</v>
      </c>
      <c r="J301" s="9">
        <f t="shared" ca="1" si="29"/>
        <v>112</v>
      </c>
      <c r="K301" s="7" t="s">
        <v>41</v>
      </c>
      <c r="L301" s="10">
        <v>25</v>
      </c>
      <c r="M301" s="24" t="s">
        <v>40</v>
      </c>
      <c r="N301">
        <v>69</v>
      </c>
    </row>
    <row r="302" spans="1:14">
      <c r="A302" s="25">
        <f t="shared" si="33"/>
        <v>301</v>
      </c>
      <c r="B302" s="67" t="s">
        <v>6</v>
      </c>
      <c r="C302" s="67" t="s">
        <v>234</v>
      </c>
      <c r="D302" s="67" t="s">
        <v>235</v>
      </c>
      <c r="E302" s="22">
        <f t="shared" ca="1" si="34"/>
        <v>40951</v>
      </c>
      <c r="F302" s="11">
        <f>DATE(85,11,25)</f>
        <v>31376</v>
      </c>
      <c r="G302" s="12">
        <f t="shared" ca="1" si="30"/>
        <v>27</v>
      </c>
      <c r="H302" s="12">
        <f t="shared" ca="1" si="31"/>
        <v>-9</v>
      </c>
      <c r="I302" s="13">
        <f t="shared" ca="1" si="32"/>
        <v>-13</v>
      </c>
      <c r="J302" s="14">
        <f t="shared" ca="1" si="29"/>
        <v>26</v>
      </c>
      <c r="K302" s="12" t="s">
        <v>40</v>
      </c>
      <c r="L302" s="15">
        <v>25</v>
      </c>
      <c r="M302" s="25" t="s">
        <v>44</v>
      </c>
      <c r="N302">
        <v>69</v>
      </c>
    </row>
    <row r="303" spans="1:14" ht="15.75" thickBot="1">
      <c r="A303" s="26">
        <f t="shared" si="33"/>
        <v>302</v>
      </c>
      <c r="B303" s="68" t="s">
        <v>6</v>
      </c>
      <c r="C303" s="68" t="s">
        <v>236</v>
      </c>
      <c r="D303" s="68" t="s">
        <v>235</v>
      </c>
      <c r="E303" s="23">
        <f t="shared" ca="1" si="34"/>
        <v>40951</v>
      </c>
      <c r="F303" s="16">
        <f>DATE(84,6,27)</f>
        <v>30860</v>
      </c>
      <c r="G303" s="17">
        <f t="shared" ca="1" si="30"/>
        <v>28</v>
      </c>
      <c r="H303" s="17">
        <f t="shared" ca="1" si="31"/>
        <v>-4</v>
      </c>
      <c r="I303" s="18">
        <f t="shared" ca="1" si="32"/>
        <v>-15</v>
      </c>
      <c r="J303" s="19">
        <f t="shared" ca="1" si="29"/>
        <v>27</v>
      </c>
      <c r="K303" s="17" t="s">
        <v>41</v>
      </c>
      <c r="L303" s="20">
        <v>25</v>
      </c>
      <c r="M303" s="26" t="s">
        <v>44</v>
      </c>
      <c r="N303">
        <v>69</v>
      </c>
    </row>
    <row r="304" spans="1:14">
      <c r="A304" s="24">
        <f t="shared" si="33"/>
        <v>303</v>
      </c>
      <c r="B304" s="66" t="s">
        <v>6</v>
      </c>
      <c r="C304" s="66" t="s">
        <v>237</v>
      </c>
      <c r="D304" s="66" t="s">
        <v>198</v>
      </c>
      <c r="E304" s="21">
        <f t="shared" ca="1" si="34"/>
        <v>40951</v>
      </c>
      <c r="F304" s="6">
        <f>DATE(49,11,1)</f>
        <v>18203</v>
      </c>
      <c r="G304" s="7">
        <f t="shared" ca="1" si="30"/>
        <v>63</v>
      </c>
      <c r="H304" s="7">
        <f t="shared" ca="1" si="31"/>
        <v>-9</v>
      </c>
      <c r="I304" s="8">
        <f t="shared" ca="1" si="32"/>
        <v>11</v>
      </c>
      <c r="J304" s="9">
        <f t="shared" ca="1" si="29"/>
        <v>62</v>
      </c>
      <c r="K304" s="7" t="s">
        <v>40</v>
      </c>
      <c r="L304" s="10">
        <v>25</v>
      </c>
      <c r="M304" s="24" t="s">
        <v>40</v>
      </c>
      <c r="N304">
        <v>70</v>
      </c>
    </row>
    <row r="305" spans="1:14">
      <c r="A305" s="25">
        <f t="shared" si="33"/>
        <v>304</v>
      </c>
      <c r="B305" s="67" t="s">
        <v>6</v>
      </c>
      <c r="C305" s="67" t="s">
        <v>238</v>
      </c>
      <c r="D305" s="67" t="s">
        <v>237</v>
      </c>
      <c r="E305" s="22">
        <f t="shared" ca="1" si="34"/>
        <v>40951</v>
      </c>
      <c r="F305" s="11">
        <f>DATE(57,9,29)</f>
        <v>21092</v>
      </c>
      <c r="G305" s="12">
        <f t="shared" ca="1" si="30"/>
        <v>55</v>
      </c>
      <c r="H305" s="12">
        <f t="shared" ca="1" si="31"/>
        <v>-7</v>
      </c>
      <c r="I305" s="13">
        <f t="shared" ca="1" si="32"/>
        <v>-17</v>
      </c>
      <c r="J305" s="14">
        <f t="shared" ca="1" si="29"/>
        <v>54</v>
      </c>
      <c r="K305" s="12" t="s">
        <v>41</v>
      </c>
      <c r="L305" s="15">
        <v>25</v>
      </c>
      <c r="M305" s="25" t="s">
        <v>40</v>
      </c>
      <c r="N305">
        <v>70</v>
      </c>
    </row>
    <row r="306" spans="1:14">
      <c r="A306" s="25">
        <f t="shared" si="33"/>
        <v>305</v>
      </c>
      <c r="B306" s="67" t="s">
        <v>6</v>
      </c>
      <c r="C306" s="67" t="s">
        <v>239</v>
      </c>
      <c r="D306" s="67" t="s">
        <v>237</v>
      </c>
      <c r="E306" s="22">
        <f t="shared" ca="1" si="34"/>
        <v>40951</v>
      </c>
      <c r="F306" s="11">
        <f>DATE(79,10,22)</f>
        <v>29150</v>
      </c>
      <c r="G306" s="12">
        <f t="shared" ca="1" si="30"/>
        <v>33</v>
      </c>
      <c r="H306" s="12">
        <f t="shared" ca="1" si="31"/>
        <v>-8</v>
      </c>
      <c r="I306" s="13">
        <f t="shared" ca="1" si="32"/>
        <v>-10</v>
      </c>
      <c r="J306" s="14">
        <f t="shared" ca="1" si="29"/>
        <v>32</v>
      </c>
      <c r="K306" s="12" t="s">
        <v>40</v>
      </c>
      <c r="L306" s="15">
        <v>25</v>
      </c>
      <c r="M306" s="25" t="s">
        <v>40</v>
      </c>
      <c r="N306">
        <v>70</v>
      </c>
    </row>
    <row r="307" spans="1:14">
      <c r="A307" s="25">
        <f t="shared" si="33"/>
        <v>306</v>
      </c>
      <c r="B307" s="67" t="s">
        <v>6</v>
      </c>
      <c r="C307" s="67" t="s">
        <v>240</v>
      </c>
      <c r="D307" s="67" t="s">
        <v>241</v>
      </c>
      <c r="E307" s="22">
        <f t="shared" ca="1" si="34"/>
        <v>40951</v>
      </c>
      <c r="F307" s="11">
        <f>DATE(83,6,9)</f>
        <v>30476</v>
      </c>
      <c r="G307" s="12">
        <f t="shared" ca="1" si="30"/>
        <v>29</v>
      </c>
      <c r="H307" s="12">
        <f t="shared" ca="1" si="31"/>
        <v>-4</v>
      </c>
      <c r="I307" s="13">
        <f t="shared" ca="1" si="32"/>
        <v>3</v>
      </c>
      <c r="J307" s="14">
        <f t="shared" ca="1" si="29"/>
        <v>28</v>
      </c>
      <c r="K307" s="12" t="s">
        <v>41</v>
      </c>
      <c r="L307" s="15">
        <v>25</v>
      </c>
      <c r="M307" s="25" t="s">
        <v>40</v>
      </c>
      <c r="N307">
        <v>70</v>
      </c>
    </row>
    <row r="308" spans="1:14" ht="15.75" thickBot="1">
      <c r="A308" s="26">
        <f t="shared" si="33"/>
        <v>307</v>
      </c>
      <c r="B308" s="68" t="s">
        <v>6</v>
      </c>
      <c r="C308" s="68" t="s">
        <v>242</v>
      </c>
      <c r="D308" s="68" t="s">
        <v>237</v>
      </c>
      <c r="E308" s="23">
        <f t="shared" ca="1" si="34"/>
        <v>40951</v>
      </c>
      <c r="F308" s="16">
        <f>DATE(85,6,20)</f>
        <v>31218</v>
      </c>
      <c r="G308" s="17">
        <f t="shared" ca="1" si="30"/>
        <v>27</v>
      </c>
      <c r="H308" s="17">
        <f t="shared" ca="1" si="31"/>
        <v>-4</v>
      </c>
      <c r="I308" s="18">
        <f t="shared" ca="1" si="32"/>
        <v>-8</v>
      </c>
      <c r="J308" s="19">
        <f t="shared" ca="1" si="29"/>
        <v>26</v>
      </c>
      <c r="K308" s="17" t="s">
        <v>40</v>
      </c>
      <c r="L308" s="20">
        <v>25</v>
      </c>
      <c r="M308" s="26" t="s">
        <v>44</v>
      </c>
      <c r="N308">
        <v>70</v>
      </c>
    </row>
    <row r="309" spans="1:14">
      <c r="A309" s="24">
        <f t="shared" si="33"/>
        <v>308</v>
      </c>
      <c r="B309" s="66" t="s">
        <v>6</v>
      </c>
      <c r="C309" s="66" t="s">
        <v>243</v>
      </c>
      <c r="D309" s="66" t="s">
        <v>244</v>
      </c>
      <c r="E309" s="21">
        <f t="shared" ca="1" si="34"/>
        <v>40951</v>
      </c>
      <c r="F309" s="6">
        <f>DATE(45,12,17)</f>
        <v>16788</v>
      </c>
      <c r="G309" s="7">
        <f t="shared" ca="1" si="30"/>
        <v>67</v>
      </c>
      <c r="H309" s="7">
        <f t="shared" ca="1" si="31"/>
        <v>-10</v>
      </c>
      <c r="I309" s="8">
        <f t="shared" ca="1" si="32"/>
        <v>-5</v>
      </c>
      <c r="J309" s="9">
        <f t="shared" ca="1" si="29"/>
        <v>66</v>
      </c>
      <c r="K309" s="7" t="s">
        <v>40</v>
      </c>
      <c r="L309" s="10">
        <v>26</v>
      </c>
      <c r="M309" s="24" t="s">
        <v>40</v>
      </c>
      <c r="N309">
        <v>71</v>
      </c>
    </row>
    <row r="310" spans="1:14">
      <c r="A310" s="25">
        <f t="shared" si="33"/>
        <v>309</v>
      </c>
      <c r="B310" s="67" t="s">
        <v>6</v>
      </c>
      <c r="C310" s="67" t="s">
        <v>218</v>
      </c>
      <c r="D310" s="67" t="s">
        <v>243</v>
      </c>
      <c r="E310" s="22">
        <f t="shared" ca="1" si="34"/>
        <v>40951</v>
      </c>
      <c r="F310" s="11">
        <f>DATE(51,8,15)</f>
        <v>18855</v>
      </c>
      <c r="G310" s="12">
        <f t="shared" ca="1" si="30"/>
        <v>61</v>
      </c>
      <c r="H310" s="12">
        <f t="shared" ca="1" si="31"/>
        <v>-6</v>
      </c>
      <c r="I310" s="13">
        <f t="shared" ca="1" si="32"/>
        <v>-3</v>
      </c>
      <c r="J310" s="14">
        <f t="shared" ca="1" si="29"/>
        <v>60</v>
      </c>
      <c r="K310" s="12" t="s">
        <v>41</v>
      </c>
      <c r="L310" s="15">
        <v>26</v>
      </c>
      <c r="M310" s="25" t="s">
        <v>40</v>
      </c>
      <c r="N310">
        <v>71</v>
      </c>
    </row>
    <row r="311" spans="1:14">
      <c r="A311" s="25">
        <f t="shared" si="33"/>
        <v>310</v>
      </c>
      <c r="B311" s="67" t="s">
        <v>6</v>
      </c>
      <c r="C311" s="67" t="s">
        <v>245</v>
      </c>
      <c r="D311" s="67" t="s">
        <v>243</v>
      </c>
      <c r="E311" s="22">
        <f t="shared" ca="1" si="34"/>
        <v>40951</v>
      </c>
      <c r="F311" s="11">
        <f>DATE(73,8,25)</f>
        <v>26901</v>
      </c>
      <c r="G311" s="12">
        <f t="shared" ca="1" si="30"/>
        <v>39</v>
      </c>
      <c r="H311" s="12">
        <f t="shared" ca="1" si="31"/>
        <v>-6</v>
      </c>
      <c r="I311" s="13">
        <f t="shared" ca="1" si="32"/>
        <v>-13</v>
      </c>
      <c r="J311" s="14">
        <f t="shared" ca="1" si="29"/>
        <v>38</v>
      </c>
      <c r="K311" s="12" t="s">
        <v>40</v>
      </c>
      <c r="L311" s="15">
        <v>26</v>
      </c>
      <c r="M311" s="25" t="s">
        <v>40</v>
      </c>
      <c r="N311">
        <v>71</v>
      </c>
    </row>
    <row r="312" spans="1:14">
      <c r="A312" s="25">
        <f t="shared" si="33"/>
        <v>311</v>
      </c>
      <c r="B312" s="67" t="s">
        <v>6</v>
      </c>
      <c r="C312" s="67" t="s">
        <v>246</v>
      </c>
      <c r="D312" s="67" t="s">
        <v>245</v>
      </c>
      <c r="E312" s="22">
        <f t="shared" ca="1" si="34"/>
        <v>40951</v>
      </c>
      <c r="F312" s="11">
        <f>DATE(78,1,3)</f>
        <v>28493</v>
      </c>
      <c r="G312" s="12">
        <f t="shared" ca="1" si="30"/>
        <v>34</v>
      </c>
      <c r="H312" s="12">
        <f t="shared" ca="1" si="31"/>
        <v>1</v>
      </c>
      <c r="I312" s="13">
        <f t="shared" ca="1" si="32"/>
        <v>9</v>
      </c>
      <c r="J312" s="14">
        <f t="shared" ca="1" si="29"/>
        <v>34</v>
      </c>
      <c r="K312" s="12" t="s">
        <v>41</v>
      </c>
      <c r="L312" s="15">
        <v>26</v>
      </c>
      <c r="M312" s="25" t="s">
        <v>40</v>
      </c>
      <c r="N312">
        <v>71</v>
      </c>
    </row>
    <row r="313" spans="1:14">
      <c r="A313" s="25">
        <f t="shared" si="33"/>
        <v>312</v>
      </c>
      <c r="B313" s="67" t="s">
        <v>6</v>
      </c>
      <c r="C313" s="67" t="s">
        <v>247</v>
      </c>
      <c r="D313" s="67" t="s">
        <v>245</v>
      </c>
      <c r="E313" s="22">
        <f t="shared" ca="1" si="34"/>
        <v>40951</v>
      </c>
      <c r="F313" s="11">
        <f>DATE(2001,7,6)</f>
        <v>37078</v>
      </c>
      <c r="G313" s="12">
        <f t="shared" ca="1" si="30"/>
        <v>11</v>
      </c>
      <c r="H313" s="12">
        <f t="shared" ca="1" si="31"/>
        <v>-5</v>
      </c>
      <c r="I313" s="13">
        <f t="shared" ca="1" si="32"/>
        <v>6</v>
      </c>
      <c r="J313" s="14">
        <f t="shared" ca="1" si="29"/>
        <v>10</v>
      </c>
      <c r="K313" s="12" t="s">
        <v>40</v>
      </c>
      <c r="L313" s="15">
        <v>26</v>
      </c>
      <c r="M313" s="25" t="s">
        <v>44</v>
      </c>
      <c r="N313">
        <v>71</v>
      </c>
    </row>
    <row r="314" spans="1:14" ht="15.75" thickBot="1">
      <c r="A314" s="26">
        <f t="shared" si="33"/>
        <v>313</v>
      </c>
      <c r="B314" s="68" t="s">
        <v>6</v>
      </c>
      <c r="C314" s="68" t="s">
        <v>248</v>
      </c>
      <c r="D314" s="68" t="s">
        <v>245</v>
      </c>
      <c r="E314" s="23">
        <f t="shared" ca="1" si="34"/>
        <v>40951</v>
      </c>
      <c r="F314" s="16">
        <f>DATE(2004,5,14)</f>
        <v>38121</v>
      </c>
      <c r="G314" s="17">
        <f t="shared" ca="1" si="30"/>
        <v>8</v>
      </c>
      <c r="H314" s="17">
        <f t="shared" ca="1" si="31"/>
        <v>-3</v>
      </c>
      <c r="I314" s="18">
        <f t="shared" ca="1" si="32"/>
        <v>-2</v>
      </c>
      <c r="J314" s="19">
        <f t="shared" ca="1" si="29"/>
        <v>7</v>
      </c>
      <c r="K314" s="17" t="s">
        <v>41</v>
      </c>
      <c r="L314" s="20">
        <v>26</v>
      </c>
      <c r="M314" s="26" t="s">
        <v>44</v>
      </c>
      <c r="N314">
        <v>71</v>
      </c>
    </row>
    <row r="315" spans="1:14">
      <c r="A315" s="24">
        <f t="shared" si="33"/>
        <v>314</v>
      </c>
      <c r="B315" s="66" t="s">
        <v>6</v>
      </c>
      <c r="C315" s="66" t="s">
        <v>249</v>
      </c>
      <c r="D315" s="66" t="s">
        <v>250</v>
      </c>
      <c r="E315" s="21">
        <f t="shared" ca="1" si="34"/>
        <v>40951</v>
      </c>
      <c r="F315" s="6">
        <f>DATE(57,3,5)</f>
        <v>20884</v>
      </c>
      <c r="G315" s="7">
        <f t="shared" ca="1" si="30"/>
        <v>55</v>
      </c>
      <c r="H315" s="7">
        <f t="shared" ca="1" si="31"/>
        <v>-1</v>
      </c>
      <c r="I315" s="8">
        <f t="shared" ca="1" si="32"/>
        <v>7</v>
      </c>
      <c r="J315" s="9">
        <f t="shared" ca="1" si="29"/>
        <v>54</v>
      </c>
      <c r="K315" s="7" t="s">
        <v>40</v>
      </c>
      <c r="L315" s="10">
        <v>26</v>
      </c>
      <c r="M315" s="24" t="s">
        <v>40</v>
      </c>
      <c r="N315">
        <v>72</v>
      </c>
    </row>
    <row r="316" spans="1:14">
      <c r="A316" s="25">
        <f t="shared" si="33"/>
        <v>315</v>
      </c>
      <c r="B316" s="67" t="s">
        <v>6</v>
      </c>
      <c r="C316" s="67" t="s">
        <v>124</v>
      </c>
      <c r="D316" s="67" t="s">
        <v>249</v>
      </c>
      <c r="E316" s="22">
        <f t="shared" ca="1" si="34"/>
        <v>40951</v>
      </c>
      <c r="F316" s="11">
        <f>DATE(62,6,4)</f>
        <v>22801</v>
      </c>
      <c r="G316" s="12">
        <f t="shared" ca="1" si="30"/>
        <v>50</v>
      </c>
      <c r="H316" s="12">
        <f t="shared" ca="1" si="31"/>
        <v>-4</v>
      </c>
      <c r="I316" s="13">
        <f t="shared" ca="1" si="32"/>
        <v>8</v>
      </c>
      <c r="J316" s="14">
        <f t="shared" ca="1" si="29"/>
        <v>49</v>
      </c>
      <c r="K316" s="12" t="s">
        <v>41</v>
      </c>
      <c r="L316" s="15">
        <v>26</v>
      </c>
      <c r="M316" s="25" t="s">
        <v>40</v>
      </c>
      <c r="N316">
        <v>72</v>
      </c>
    </row>
    <row r="317" spans="1:14" ht="15.75" thickBot="1">
      <c r="A317" s="26">
        <f t="shared" si="33"/>
        <v>316</v>
      </c>
      <c r="B317" s="68" t="s">
        <v>6</v>
      </c>
      <c r="C317" s="68" t="s">
        <v>251</v>
      </c>
      <c r="D317" s="68" t="s">
        <v>249</v>
      </c>
      <c r="E317" s="23">
        <f t="shared" ca="1" si="34"/>
        <v>40951</v>
      </c>
      <c r="F317" s="16">
        <f>DATE(85,10,29)</f>
        <v>31349</v>
      </c>
      <c r="G317" s="17">
        <f t="shared" ca="1" si="30"/>
        <v>27</v>
      </c>
      <c r="H317" s="17">
        <f t="shared" ca="1" si="31"/>
        <v>-8</v>
      </c>
      <c r="I317" s="18">
        <f t="shared" ca="1" si="32"/>
        <v>-17</v>
      </c>
      <c r="J317" s="19">
        <f t="shared" ca="1" si="29"/>
        <v>26</v>
      </c>
      <c r="K317" s="17" t="s">
        <v>40</v>
      </c>
      <c r="L317" s="20">
        <v>26</v>
      </c>
      <c r="M317" s="26" t="s">
        <v>44</v>
      </c>
      <c r="N317">
        <v>72</v>
      </c>
    </row>
    <row r="318" spans="1:14">
      <c r="A318" s="24">
        <f t="shared" si="33"/>
        <v>317</v>
      </c>
      <c r="B318" s="66" t="s">
        <v>6</v>
      </c>
      <c r="C318" s="66" t="s">
        <v>136</v>
      </c>
      <c r="D318" s="66" t="s">
        <v>198</v>
      </c>
      <c r="E318" s="21">
        <f t="shared" ca="1" si="34"/>
        <v>40951</v>
      </c>
      <c r="F318" s="6">
        <f>DATE(34,12,12)</f>
        <v>12765</v>
      </c>
      <c r="G318" s="7">
        <f t="shared" ca="1" si="30"/>
        <v>78</v>
      </c>
      <c r="H318" s="7">
        <f t="shared" ca="1" si="31"/>
        <v>-10</v>
      </c>
      <c r="I318" s="8">
        <f t="shared" ca="1" si="32"/>
        <v>0</v>
      </c>
      <c r="J318" s="9">
        <f t="shared" ca="1" si="29"/>
        <v>77</v>
      </c>
      <c r="K318" s="7" t="s">
        <v>40</v>
      </c>
      <c r="L318" s="10">
        <v>26</v>
      </c>
      <c r="M318" s="24" t="s">
        <v>40</v>
      </c>
      <c r="N318">
        <v>73</v>
      </c>
    </row>
    <row r="319" spans="1:14">
      <c r="A319" s="25">
        <f t="shared" si="33"/>
        <v>318</v>
      </c>
      <c r="B319" s="67" t="s">
        <v>6</v>
      </c>
      <c r="C319" s="67" t="s">
        <v>252</v>
      </c>
      <c r="D319" s="67" t="s">
        <v>136</v>
      </c>
      <c r="E319" s="22">
        <f t="shared" ca="1" si="34"/>
        <v>40951</v>
      </c>
      <c r="F319" s="11">
        <f>DATE(46,2,7)</f>
        <v>16840</v>
      </c>
      <c r="G319" s="12">
        <f t="shared" ca="1" si="30"/>
        <v>66</v>
      </c>
      <c r="H319" s="12">
        <f t="shared" ca="1" si="31"/>
        <v>0</v>
      </c>
      <c r="I319" s="13">
        <f t="shared" ca="1" si="32"/>
        <v>5</v>
      </c>
      <c r="J319" s="14">
        <f t="shared" ca="1" si="29"/>
        <v>66</v>
      </c>
      <c r="K319" s="12" t="s">
        <v>41</v>
      </c>
      <c r="L319" s="15">
        <v>26</v>
      </c>
      <c r="M319" s="25" t="s">
        <v>40</v>
      </c>
      <c r="N319">
        <v>73</v>
      </c>
    </row>
    <row r="320" spans="1:14">
      <c r="A320" s="25">
        <f t="shared" si="33"/>
        <v>319</v>
      </c>
      <c r="B320" s="67" t="s">
        <v>6</v>
      </c>
      <c r="C320" s="67" t="s">
        <v>253</v>
      </c>
      <c r="D320" s="67" t="s">
        <v>136</v>
      </c>
      <c r="E320" s="22">
        <f t="shared" ca="1" si="34"/>
        <v>40951</v>
      </c>
      <c r="F320" s="11">
        <f>DATE(71,6,30)</f>
        <v>26114</v>
      </c>
      <c r="G320" s="12">
        <f t="shared" ca="1" si="30"/>
        <v>41</v>
      </c>
      <c r="H320" s="12">
        <f t="shared" ca="1" si="31"/>
        <v>-4</v>
      </c>
      <c r="I320" s="13">
        <f t="shared" ca="1" si="32"/>
        <v>-18</v>
      </c>
      <c r="J320" s="14">
        <f t="shared" ca="1" si="29"/>
        <v>40</v>
      </c>
      <c r="K320" s="12" t="s">
        <v>40</v>
      </c>
      <c r="L320" s="15">
        <v>26</v>
      </c>
      <c r="M320" s="25" t="s">
        <v>40</v>
      </c>
      <c r="N320">
        <v>73</v>
      </c>
    </row>
    <row r="321" spans="1:14">
      <c r="A321" s="25">
        <f t="shared" si="33"/>
        <v>320</v>
      </c>
      <c r="B321" s="67" t="s">
        <v>6</v>
      </c>
      <c r="C321" s="67" t="s">
        <v>145</v>
      </c>
      <c r="D321" s="67" t="s">
        <v>254</v>
      </c>
      <c r="E321" s="22">
        <f t="shared" ca="1" si="34"/>
        <v>40951</v>
      </c>
      <c r="F321" s="11">
        <f>DATE(76,2,24)</f>
        <v>27814</v>
      </c>
      <c r="G321" s="12">
        <f t="shared" ca="1" si="30"/>
        <v>36</v>
      </c>
      <c r="H321" s="12">
        <f t="shared" ca="1" si="31"/>
        <v>0</v>
      </c>
      <c r="I321" s="13">
        <f t="shared" ca="1" si="32"/>
        <v>-12</v>
      </c>
      <c r="J321" s="14">
        <f t="shared" ca="1" si="29"/>
        <v>35</v>
      </c>
      <c r="K321" s="12" t="s">
        <v>41</v>
      </c>
      <c r="L321" s="15">
        <v>26</v>
      </c>
      <c r="M321" s="25" t="s">
        <v>40</v>
      </c>
      <c r="N321">
        <v>73</v>
      </c>
    </row>
    <row r="322" spans="1:14">
      <c r="A322" s="25">
        <f t="shared" si="33"/>
        <v>321</v>
      </c>
      <c r="B322" s="67" t="s">
        <v>6</v>
      </c>
      <c r="C322" s="67" t="s">
        <v>63</v>
      </c>
      <c r="D322" s="67" t="s">
        <v>254</v>
      </c>
      <c r="E322" s="22">
        <f t="shared" ca="1" si="34"/>
        <v>40951</v>
      </c>
      <c r="F322" s="11">
        <f>DATE(97,11,18)</f>
        <v>35752</v>
      </c>
      <c r="G322" s="12">
        <f t="shared" ca="1" si="30"/>
        <v>15</v>
      </c>
      <c r="H322" s="12">
        <f t="shared" ca="1" si="31"/>
        <v>-9</v>
      </c>
      <c r="I322" s="13">
        <f t="shared" ca="1" si="32"/>
        <v>-6</v>
      </c>
      <c r="J322" s="14">
        <f t="shared" ca="1" si="29"/>
        <v>14</v>
      </c>
      <c r="K322" s="12" t="s">
        <v>40</v>
      </c>
      <c r="L322" s="15">
        <v>26</v>
      </c>
      <c r="M322" s="25" t="s">
        <v>44</v>
      </c>
      <c r="N322">
        <v>73</v>
      </c>
    </row>
    <row r="323" spans="1:14" ht="15.75" thickBot="1">
      <c r="A323" s="26">
        <f t="shared" si="33"/>
        <v>322</v>
      </c>
      <c r="B323" s="68" t="s">
        <v>6</v>
      </c>
      <c r="C323" s="68" t="s">
        <v>183</v>
      </c>
      <c r="D323" s="68" t="s">
        <v>254</v>
      </c>
      <c r="E323" s="23">
        <f t="shared" ca="1" si="34"/>
        <v>40951</v>
      </c>
      <c r="F323" s="16">
        <f>DATE(99,6,4)</f>
        <v>36315</v>
      </c>
      <c r="G323" s="17">
        <f t="shared" ca="1" si="30"/>
        <v>13</v>
      </c>
      <c r="H323" s="17">
        <f t="shared" ca="1" si="31"/>
        <v>-4</v>
      </c>
      <c r="I323" s="18">
        <f t="shared" ca="1" si="32"/>
        <v>8</v>
      </c>
      <c r="J323" s="19">
        <f t="shared" ref="J323:J386" ca="1" si="35">IF(H323&lt;0,G323-1,IF(H323&gt;0,G323,IF(I323&lt;0,G323-1,G323)))</f>
        <v>12</v>
      </c>
      <c r="K323" s="17" t="s">
        <v>40</v>
      </c>
      <c r="L323" s="20">
        <v>26</v>
      </c>
      <c r="M323" s="26" t="s">
        <v>44</v>
      </c>
      <c r="N323">
        <v>73</v>
      </c>
    </row>
    <row r="324" spans="1:14">
      <c r="A324" s="24">
        <f t="shared" si="33"/>
        <v>323</v>
      </c>
      <c r="B324" s="66" t="s">
        <v>6</v>
      </c>
      <c r="C324" s="66" t="s">
        <v>255</v>
      </c>
      <c r="D324" s="66" t="s">
        <v>185</v>
      </c>
      <c r="E324" s="21">
        <f t="shared" ca="1" si="34"/>
        <v>40951</v>
      </c>
      <c r="F324" s="6">
        <f>DATE(68,9,26)</f>
        <v>25107</v>
      </c>
      <c r="G324" s="7">
        <f t="shared" ca="1" si="30"/>
        <v>44</v>
      </c>
      <c r="H324" s="7">
        <f t="shared" ca="1" si="31"/>
        <v>-7</v>
      </c>
      <c r="I324" s="8">
        <f t="shared" ca="1" si="32"/>
        <v>-14</v>
      </c>
      <c r="J324" s="9">
        <f t="shared" ca="1" si="35"/>
        <v>43</v>
      </c>
      <c r="K324" s="7" t="s">
        <v>40</v>
      </c>
      <c r="L324" s="10">
        <v>27</v>
      </c>
      <c r="M324" s="24" t="s">
        <v>40</v>
      </c>
      <c r="N324">
        <v>74</v>
      </c>
    </row>
    <row r="325" spans="1:14">
      <c r="A325" s="25">
        <f t="shared" si="33"/>
        <v>324</v>
      </c>
      <c r="B325" s="67" t="s">
        <v>6</v>
      </c>
      <c r="C325" s="67" t="s">
        <v>111</v>
      </c>
      <c r="D325" s="67" t="s">
        <v>185</v>
      </c>
      <c r="E325" s="22">
        <f t="shared" ca="1" si="34"/>
        <v>40951</v>
      </c>
      <c r="F325" s="11">
        <f>DATE(41,8,1)</f>
        <v>15189</v>
      </c>
      <c r="G325" s="12">
        <f t="shared" ca="1" si="30"/>
        <v>71</v>
      </c>
      <c r="H325" s="12">
        <f t="shared" ca="1" si="31"/>
        <v>-6</v>
      </c>
      <c r="I325" s="13">
        <f t="shared" ca="1" si="32"/>
        <v>11</v>
      </c>
      <c r="J325" s="14">
        <f t="shared" ca="1" si="35"/>
        <v>70</v>
      </c>
      <c r="K325" s="12" t="s">
        <v>41</v>
      </c>
      <c r="L325" s="15">
        <v>27</v>
      </c>
      <c r="M325" s="25" t="s">
        <v>40</v>
      </c>
      <c r="N325">
        <v>74</v>
      </c>
    </row>
    <row r="326" spans="1:14">
      <c r="A326" s="25">
        <f t="shared" si="33"/>
        <v>325</v>
      </c>
      <c r="B326" s="67" t="s">
        <v>6</v>
      </c>
      <c r="C326" s="67" t="s">
        <v>256</v>
      </c>
      <c r="D326" s="67" t="s">
        <v>255</v>
      </c>
      <c r="E326" s="22">
        <f t="shared" ca="1" si="34"/>
        <v>40951</v>
      </c>
      <c r="F326" s="32"/>
      <c r="G326" s="12">
        <f t="shared" ca="1" si="30"/>
        <v>112</v>
      </c>
      <c r="H326" s="12">
        <f t="shared" ca="1" si="31"/>
        <v>1</v>
      </c>
      <c r="I326" s="13">
        <f t="shared" ca="1" si="32"/>
        <v>12</v>
      </c>
      <c r="J326" s="14">
        <f t="shared" ca="1" si="35"/>
        <v>112</v>
      </c>
      <c r="K326" s="12" t="s">
        <v>41</v>
      </c>
      <c r="L326" s="15">
        <v>27</v>
      </c>
      <c r="M326" s="25" t="s">
        <v>40</v>
      </c>
      <c r="N326">
        <v>74</v>
      </c>
    </row>
    <row r="327" spans="1:14">
      <c r="A327" s="25">
        <f t="shared" si="33"/>
        <v>326</v>
      </c>
      <c r="B327" s="67" t="s">
        <v>6</v>
      </c>
      <c r="C327" s="67" t="s">
        <v>257</v>
      </c>
      <c r="D327" s="67" t="s">
        <v>255</v>
      </c>
      <c r="E327" s="22">
        <f t="shared" ca="1" si="34"/>
        <v>40951</v>
      </c>
      <c r="F327" s="11">
        <f>DATE(92,12,18)</f>
        <v>33956</v>
      </c>
      <c r="G327" s="12">
        <f t="shared" ca="1" si="30"/>
        <v>20</v>
      </c>
      <c r="H327" s="12">
        <f t="shared" ca="1" si="31"/>
        <v>-10</v>
      </c>
      <c r="I327" s="13">
        <f t="shared" ca="1" si="32"/>
        <v>-6</v>
      </c>
      <c r="J327" s="14">
        <f t="shared" ca="1" si="35"/>
        <v>19</v>
      </c>
      <c r="K327" s="12" t="s">
        <v>40</v>
      </c>
      <c r="L327" s="15">
        <v>27</v>
      </c>
      <c r="M327" s="25" t="s">
        <v>44</v>
      </c>
      <c r="N327">
        <v>74</v>
      </c>
    </row>
    <row r="328" spans="1:14" ht="15.75" thickBot="1">
      <c r="A328" s="26">
        <f t="shared" si="33"/>
        <v>327</v>
      </c>
      <c r="B328" s="68" t="s">
        <v>6</v>
      </c>
      <c r="C328" s="68" t="s">
        <v>258</v>
      </c>
      <c r="D328" s="68"/>
      <c r="E328" s="23">
        <f t="shared" ca="1" si="34"/>
        <v>40951</v>
      </c>
      <c r="F328" s="16">
        <f>DATE(99,4,9)</f>
        <v>36259</v>
      </c>
      <c r="G328" s="17">
        <f t="shared" ca="1" si="30"/>
        <v>13</v>
      </c>
      <c r="H328" s="17">
        <f t="shared" ca="1" si="31"/>
        <v>-2</v>
      </c>
      <c r="I328" s="18">
        <f t="shared" ca="1" si="32"/>
        <v>3</v>
      </c>
      <c r="J328" s="19">
        <f t="shared" ca="1" si="35"/>
        <v>12</v>
      </c>
      <c r="K328" s="17" t="s">
        <v>41</v>
      </c>
      <c r="L328" s="20">
        <v>27</v>
      </c>
      <c r="M328" s="26" t="s">
        <v>44</v>
      </c>
      <c r="N328">
        <v>74</v>
      </c>
    </row>
    <row r="329" spans="1:14">
      <c r="A329" s="24">
        <f t="shared" si="33"/>
        <v>328</v>
      </c>
      <c r="B329" s="66" t="s">
        <v>6</v>
      </c>
      <c r="C329" s="66" t="s">
        <v>259</v>
      </c>
      <c r="D329" s="66" t="s">
        <v>260</v>
      </c>
      <c r="E329" s="21">
        <f t="shared" ca="1" si="34"/>
        <v>40951</v>
      </c>
      <c r="F329" s="6">
        <f>DATE(63,6,13)</f>
        <v>23175</v>
      </c>
      <c r="G329" s="7">
        <f t="shared" ca="1" si="30"/>
        <v>49</v>
      </c>
      <c r="H329" s="7">
        <f t="shared" ca="1" si="31"/>
        <v>-4</v>
      </c>
      <c r="I329" s="8">
        <f t="shared" ca="1" si="32"/>
        <v>-1</v>
      </c>
      <c r="J329" s="9">
        <f t="shared" ca="1" si="35"/>
        <v>48</v>
      </c>
      <c r="K329" s="7" t="s">
        <v>40</v>
      </c>
      <c r="L329" s="10">
        <v>27</v>
      </c>
      <c r="M329" s="24" t="s">
        <v>40</v>
      </c>
      <c r="N329">
        <v>75</v>
      </c>
    </row>
    <row r="330" spans="1:14">
      <c r="A330" s="25">
        <f t="shared" si="33"/>
        <v>329</v>
      </c>
      <c r="B330" s="67" t="s">
        <v>6</v>
      </c>
      <c r="C330" s="67" t="s">
        <v>261</v>
      </c>
      <c r="D330" s="67" t="s">
        <v>262</v>
      </c>
      <c r="E330" s="22">
        <f t="shared" ca="1" si="34"/>
        <v>40951</v>
      </c>
      <c r="F330" s="11">
        <f>DATE(71,3,7)</f>
        <v>25999</v>
      </c>
      <c r="G330" s="12">
        <f t="shared" ca="1" si="30"/>
        <v>41</v>
      </c>
      <c r="H330" s="12">
        <f t="shared" ca="1" si="31"/>
        <v>-1</v>
      </c>
      <c r="I330" s="13">
        <f t="shared" ca="1" si="32"/>
        <v>5</v>
      </c>
      <c r="J330" s="14">
        <f t="shared" ca="1" si="35"/>
        <v>40</v>
      </c>
      <c r="K330" s="12" t="s">
        <v>41</v>
      </c>
      <c r="L330" s="15">
        <v>27</v>
      </c>
      <c r="M330" s="25" t="s">
        <v>40</v>
      </c>
      <c r="N330">
        <v>75</v>
      </c>
    </row>
    <row r="331" spans="1:14">
      <c r="A331" s="25">
        <f t="shared" si="33"/>
        <v>330</v>
      </c>
      <c r="B331" s="67" t="s">
        <v>6</v>
      </c>
      <c r="C331" s="67" t="s">
        <v>202</v>
      </c>
      <c r="D331" s="67" t="s">
        <v>262</v>
      </c>
      <c r="E331" s="22">
        <f t="shared" ca="1" si="34"/>
        <v>40951</v>
      </c>
      <c r="F331" s="11">
        <f>DATE(92,6,8)</f>
        <v>33763</v>
      </c>
      <c r="G331" s="12">
        <f t="shared" ca="1" si="30"/>
        <v>20</v>
      </c>
      <c r="H331" s="12">
        <f t="shared" ca="1" si="31"/>
        <v>-4</v>
      </c>
      <c r="I331" s="13">
        <f t="shared" ca="1" si="32"/>
        <v>4</v>
      </c>
      <c r="J331" s="14">
        <f t="shared" ca="1" si="35"/>
        <v>19</v>
      </c>
      <c r="K331" s="12" t="s">
        <v>41</v>
      </c>
      <c r="L331" s="15">
        <v>27</v>
      </c>
      <c r="M331" s="25" t="s">
        <v>44</v>
      </c>
      <c r="N331">
        <v>75</v>
      </c>
    </row>
    <row r="332" spans="1:14" ht="15.75" thickBot="1">
      <c r="A332" s="26">
        <f t="shared" si="33"/>
        <v>331</v>
      </c>
      <c r="B332" s="68" t="s">
        <v>6</v>
      </c>
      <c r="C332" s="68" t="s">
        <v>263</v>
      </c>
      <c r="D332" s="68" t="s">
        <v>262</v>
      </c>
      <c r="E332" s="23">
        <f t="shared" ca="1" si="34"/>
        <v>40951</v>
      </c>
      <c r="F332" s="16">
        <f>DATE(98,10,17)</f>
        <v>36085</v>
      </c>
      <c r="G332" s="17">
        <f t="shared" ca="1" si="30"/>
        <v>14</v>
      </c>
      <c r="H332" s="17">
        <f t="shared" ca="1" si="31"/>
        <v>-8</v>
      </c>
      <c r="I332" s="18">
        <f t="shared" ca="1" si="32"/>
        <v>-5</v>
      </c>
      <c r="J332" s="19">
        <f t="shared" ca="1" si="35"/>
        <v>13</v>
      </c>
      <c r="K332" s="17" t="s">
        <v>40</v>
      </c>
      <c r="L332" s="20">
        <v>27</v>
      </c>
      <c r="M332" s="26" t="s">
        <v>44</v>
      </c>
      <c r="N332">
        <v>75</v>
      </c>
    </row>
    <row r="333" spans="1:14">
      <c r="A333" s="24">
        <f t="shared" si="33"/>
        <v>332</v>
      </c>
      <c r="B333" s="66" t="s">
        <v>6</v>
      </c>
      <c r="C333" s="66" t="s">
        <v>264</v>
      </c>
      <c r="D333" s="66" t="s">
        <v>189</v>
      </c>
      <c r="E333" s="21">
        <f t="shared" ca="1" si="34"/>
        <v>40951</v>
      </c>
      <c r="F333" s="6">
        <f>DATE(56,7,5)</f>
        <v>20641</v>
      </c>
      <c r="G333" s="7">
        <f t="shared" ca="1" si="30"/>
        <v>56</v>
      </c>
      <c r="H333" s="7">
        <f t="shared" ca="1" si="31"/>
        <v>-5</v>
      </c>
      <c r="I333" s="8">
        <f t="shared" ca="1" si="32"/>
        <v>7</v>
      </c>
      <c r="J333" s="9">
        <f t="shared" ca="1" si="35"/>
        <v>55</v>
      </c>
      <c r="K333" s="7" t="s">
        <v>40</v>
      </c>
      <c r="L333" s="10">
        <v>27</v>
      </c>
      <c r="M333" s="24" t="s">
        <v>40</v>
      </c>
      <c r="N333">
        <v>76</v>
      </c>
    </row>
    <row r="334" spans="1:14">
      <c r="A334" s="25">
        <f t="shared" si="33"/>
        <v>333</v>
      </c>
      <c r="B334" s="67" t="s">
        <v>6</v>
      </c>
      <c r="C334" s="67" t="s">
        <v>265</v>
      </c>
      <c r="D334" s="67" t="s">
        <v>264</v>
      </c>
      <c r="E334" s="22">
        <f t="shared" ca="1" si="34"/>
        <v>40951</v>
      </c>
      <c r="F334" s="11">
        <f>DATE(64,6,27)</f>
        <v>23555</v>
      </c>
      <c r="G334" s="12">
        <f t="shared" ca="1" si="30"/>
        <v>48</v>
      </c>
      <c r="H334" s="12">
        <f t="shared" ca="1" si="31"/>
        <v>-4</v>
      </c>
      <c r="I334" s="13">
        <f t="shared" ca="1" si="32"/>
        <v>-15</v>
      </c>
      <c r="J334" s="14">
        <f t="shared" ca="1" si="35"/>
        <v>47</v>
      </c>
      <c r="K334" s="12" t="s">
        <v>41</v>
      </c>
      <c r="L334" s="15">
        <v>27</v>
      </c>
      <c r="M334" s="25" t="s">
        <v>40</v>
      </c>
      <c r="N334">
        <v>76</v>
      </c>
    </row>
    <row r="335" spans="1:14">
      <c r="A335" s="25">
        <f t="shared" si="33"/>
        <v>334</v>
      </c>
      <c r="B335" s="67" t="s">
        <v>6</v>
      </c>
      <c r="C335" s="67" t="s">
        <v>251</v>
      </c>
      <c r="D335" s="67" t="s">
        <v>264</v>
      </c>
      <c r="E335" s="22">
        <f t="shared" ca="1" si="34"/>
        <v>40951</v>
      </c>
      <c r="F335" s="11">
        <f>DATE(88,11,11)</f>
        <v>32458</v>
      </c>
      <c r="G335" s="12">
        <f t="shared" ca="1" si="30"/>
        <v>24</v>
      </c>
      <c r="H335" s="12">
        <f t="shared" ca="1" si="31"/>
        <v>-9</v>
      </c>
      <c r="I335" s="13">
        <f t="shared" ca="1" si="32"/>
        <v>1</v>
      </c>
      <c r="J335" s="14">
        <f t="shared" ca="1" si="35"/>
        <v>23</v>
      </c>
      <c r="K335" s="12" t="s">
        <v>40</v>
      </c>
      <c r="L335" s="15">
        <v>27</v>
      </c>
      <c r="M335" s="25" t="s">
        <v>44</v>
      </c>
      <c r="N335">
        <v>76</v>
      </c>
    </row>
    <row r="336" spans="1:14" ht="15.75" thickBot="1">
      <c r="A336" s="26">
        <f t="shared" si="33"/>
        <v>335</v>
      </c>
      <c r="B336" s="68" t="s">
        <v>6</v>
      </c>
      <c r="C336" s="68" t="s">
        <v>246</v>
      </c>
      <c r="D336" s="68" t="s">
        <v>264</v>
      </c>
      <c r="E336" s="23">
        <f t="shared" ca="1" si="34"/>
        <v>40951</v>
      </c>
      <c r="F336" s="16">
        <f>DATE(92,8,2)</f>
        <v>33818</v>
      </c>
      <c r="G336" s="17">
        <f t="shared" ca="1" si="30"/>
        <v>20</v>
      </c>
      <c r="H336" s="17">
        <f t="shared" ca="1" si="31"/>
        <v>-6</v>
      </c>
      <c r="I336" s="18">
        <f t="shared" ca="1" si="32"/>
        <v>10</v>
      </c>
      <c r="J336" s="19">
        <f t="shared" ca="1" si="35"/>
        <v>19</v>
      </c>
      <c r="K336" s="17" t="s">
        <v>41</v>
      </c>
      <c r="L336" s="20">
        <v>27</v>
      </c>
      <c r="M336" s="26" t="s">
        <v>44</v>
      </c>
      <c r="N336">
        <v>76</v>
      </c>
    </row>
    <row r="337" spans="1:14">
      <c r="A337" s="24">
        <f t="shared" si="33"/>
        <v>336</v>
      </c>
      <c r="B337" s="66" t="s">
        <v>6</v>
      </c>
      <c r="C337" s="66" t="s">
        <v>266</v>
      </c>
      <c r="D337" s="66" t="s">
        <v>267</v>
      </c>
      <c r="E337" s="21">
        <f t="shared" ca="1" si="34"/>
        <v>40951</v>
      </c>
      <c r="F337" s="6">
        <f>DATE(52,12,31)</f>
        <v>19359</v>
      </c>
      <c r="G337" s="7">
        <f t="shared" ca="1" si="30"/>
        <v>60</v>
      </c>
      <c r="H337" s="7">
        <f t="shared" ca="1" si="31"/>
        <v>-10</v>
      </c>
      <c r="I337" s="8">
        <f t="shared" ca="1" si="32"/>
        <v>-19</v>
      </c>
      <c r="J337" s="9">
        <f t="shared" ca="1" si="35"/>
        <v>59</v>
      </c>
      <c r="K337" s="7" t="s">
        <v>40</v>
      </c>
      <c r="L337" s="10">
        <v>28</v>
      </c>
      <c r="M337" s="24" t="s">
        <v>40</v>
      </c>
      <c r="N337">
        <v>77</v>
      </c>
    </row>
    <row r="338" spans="1:14">
      <c r="A338" s="25">
        <f t="shared" si="33"/>
        <v>337</v>
      </c>
      <c r="B338" s="67" t="s">
        <v>6</v>
      </c>
      <c r="C338" s="67" t="s">
        <v>102</v>
      </c>
      <c r="D338" s="67" t="s">
        <v>266</v>
      </c>
      <c r="E338" s="22">
        <f t="shared" ca="1" si="34"/>
        <v>40951</v>
      </c>
      <c r="F338" s="11">
        <f>DATE(53,12,24)</f>
        <v>19717</v>
      </c>
      <c r="G338" s="12">
        <f t="shared" ca="1" si="30"/>
        <v>59</v>
      </c>
      <c r="H338" s="12">
        <f t="shared" ca="1" si="31"/>
        <v>-10</v>
      </c>
      <c r="I338" s="13">
        <f t="shared" ca="1" si="32"/>
        <v>-12</v>
      </c>
      <c r="J338" s="14">
        <f t="shared" ca="1" si="35"/>
        <v>58</v>
      </c>
      <c r="K338" s="12" t="s">
        <v>41</v>
      </c>
      <c r="L338" s="15">
        <v>28</v>
      </c>
      <c r="M338" s="25" t="s">
        <v>40</v>
      </c>
      <c r="N338">
        <v>77</v>
      </c>
    </row>
    <row r="339" spans="1:14">
      <c r="A339" s="25">
        <f t="shared" si="33"/>
        <v>338</v>
      </c>
      <c r="B339" s="67" t="s">
        <v>6</v>
      </c>
      <c r="C339" s="67" t="s">
        <v>268</v>
      </c>
      <c r="D339" s="67" t="s">
        <v>266</v>
      </c>
      <c r="E339" s="22">
        <f t="shared" ca="1" si="34"/>
        <v>40951</v>
      </c>
      <c r="F339" s="11">
        <f>DATE(80,5,20)</f>
        <v>29361</v>
      </c>
      <c r="G339" s="12">
        <f t="shared" ca="1" si="30"/>
        <v>32</v>
      </c>
      <c r="H339" s="12">
        <f t="shared" ca="1" si="31"/>
        <v>-3</v>
      </c>
      <c r="I339" s="13">
        <f t="shared" ca="1" si="32"/>
        <v>-8</v>
      </c>
      <c r="J339" s="14">
        <f t="shared" ca="1" si="35"/>
        <v>31</v>
      </c>
      <c r="K339" s="12" t="s">
        <v>40</v>
      </c>
      <c r="L339" s="15">
        <v>28</v>
      </c>
      <c r="M339" s="25" t="s">
        <v>40</v>
      </c>
      <c r="N339">
        <v>77</v>
      </c>
    </row>
    <row r="340" spans="1:14">
      <c r="A340" s="25">
        <f t="shared" si="33"/>
        <v>339</v>
      </c>
      <c r="B340" s="67" t="s">
        <v>6</v>
      </c>
      <c r="C340" s="67" t="s">
        <v>160</v>
      </c>
      <c r="D340" s="67" t="s">
        <v>268</v>
      </c>
      <c r="E340" s="22">
        <f t="shared" ca="1" si="34"/>
        <v>40951</v>
      </c>
      <c r="F340" s="11">
        <f>DATE(81,5,23)</f>
        <v>29729</v>
      </c>
      <c r="G340" s="12">
        <f t="shared" ca="1" si="30"/>
        <v>31</v>
      </c>
      <c r="H340" s="12">
        <f t="shared" ca="1" si="31"/>
        <v>-3</v>
      </c>
      <c r="I340" s="13">
        <f t="shared" ca="1" si="32"/>
        <v>-11</v>
      </c>
      <c r="J340" s="14">
        <f t="shared" ca="1" si="35"/>
        <v>30</v>
      </c>
      <c r="K340" s="12" t="s">
        <v>41</v>
      </c>
      <c r="L340" s="15">
        <v>28</v>
      </c>
      <c r="M340" s="25" t="s">
        <v>40</v>
      </c>
      <c r="N340">
        <v>77</v>
      </c>
    </row>
    <row r="341" spans="1:14">
      <c r="A341" s="25">
        <f t="shared" si="33"/>
        <v>340</v>
      </c>
      <c r="B341" s="67" t="s">
        <v>6</v>
      </c>
      <c r="C341" s="67" t="s">
        <v>63</v>
      </c>
      <c r="D341" s="67" t="s">
        <v>268</v>
      </c>
      <c r="E341" s="22">
        <f t="shared" ca="1" si="34"/>
        <v>40951</v>
      </c>
      <c r="F341" s="11">
        <f>DATE(2005,9,16)</f>
        <v>38611</v>
      </c>
      <c r="G341" s="12">
        <f t="shared" ca="1" si="30"/>
        <v>7</v>
      </c>
      <c r="H341" s="12">
        <f t="shared" ca="1" si="31"/>
        <v>-7</v>
      </c>
      <c r="I341" s="13">
        <f t="shared" ca="1" si="32"/>
        <v>-4</v>
      </c>
      <c r="J341" s="14">
        <f t="shared" ca="1" si="35"/>
        <v>6</v>
      </c>
      <c r="K341" s="12" t="s">
        <v>40</v>
      </c>
      <c r="L341" s="15">
        <v>28</v>
      </c>
      <c r="M341" s="25" t="s">
        <v>44</v>
      </c>
      <c r="N341">
        <v>77</v>
      </c>
    </row>
    <row r="342" spans="1:14" ht="15.75" thickBot="1">
      <c r="A342" s="26">
        <f t="shared" si="33"/>
        <v>341</v>
      </c>
      <c r="B342" s="68" t="s">
        <v>6</v>
      </c>
      <c r="C342" s="68" t="s">
        <v>269</v>
      </c>
      <c r="D342" s="68" t="s">
        <v>266</v>
      </c>
      <c r="E342" s="23">
        <f t="shared" ca="1" si="34"/>
        <v>40951</v>
      </c>
      <c r="F342" s="16">
        <f>DATE(82,11,26)</f>
        <v>30281</v>
      </c>
      <c r="G342" s="17">
        <f t="shared" ca="1" si="30"/>
        <v>30</v>
      </c>
      <c r="H342" s="17">
        <f t="shared" ca="1" si="31"/>
        <v>-9</v>
      </c>
      <c r="I342" s="18">
        <f t="shared" ca="1" si="32"/>
        <v>-14</v>
      </c>
      <c r="J342" s="19">
        <f t="shared" ca="1" si="35"/>
        <v>29</v>
      </c>
      <c r="K342" s="17" t="s">
        <v>40</v>
      </c>
      <c r="L342" s="20">
        <v>28</v>
      </c>
      <c r="M342" s="26" t="s">
        <v>44</v>
      </c>
      <c r="N342">
        <v>77</v>
      </c>
    </row>
    <row r="343" spans="1:14">
      <c r="A343" s="24">
        <f t="shared" si="33"/>
        <v>342</v>
      </c>
      <c r="B343" s="66" t="s">
        <v>2</v>
      </c>
      <c r="C343" s="66" t="s">
        <v>162</v>
      </c>
      <c r="D343" s="66" t="s">
        <v>270</v>
      </c>
      <c r="E343" s="21">
        <f t="shared" ca="1" si="34"/>
        <v>40951</v>
      </c>
      <c r="F343" s="6">
        <f>DATE(58,7,18)</f>
        <v>21384</v>
      </c>
      <c r="G343" s="7">
        <f t="shared" ca="1" si="30"/>
        <v>54</v>
      </c>
      <c r="H343" s="7">
        <f t="shared" ca="1" si="31"/>
        <v>-5</v>
      </c>
      <c r="I343" s="8">
        <f t="shared" ca="1" si="32"/>
        <v>-6</v>
      </c>
      <c r="J343" s="9">
        <f t="shared" ca="1" si="35"/>
        <v>53</v>
      </c>
      <c r="K343" s="7" t="s">
        <v>40</v>
      </c>
      <c r="L343" s="10">
        <v>29</v>
      </c>
      <c r="M343" s="24" t="s">
        <v>40</v>
      </c>
      <c r="N343">
        <v>78</v>
      </c>
    </row>
    <row r="344" spans="1:14">
      <c r="A344" s="25">
        <f t="shared" si="33"/>
        <v>343</v>
      </c>
      <c r="B344" s="67" t="s">
        <v>2</v>
      </c>
      <c r="C344" s="67" t="s">
        <v>304</v>
      </c>
      <c r="D344" s="67" t="s">
        <v>162</v>
      </c>
      <c r="E344" s="22">
        <f t="shared" ca="1" si="34"/>
        <v>40951</v>
      </c>
      <c r="F344" s="11">
        <f>DATE(62,7,23)</f>
        <v>22850</v>
      </c>
      <c r="G344" s="12">
        <f t="shared" ca="1" si="30"/>
        <v>50</v>
      </c>
      <c r="H344" s="12">
        <f t="shared" ca="1" si="31"/>
        <v>-5</v>
      </c>
      <c r="I344" s="13">
        <f t="shared" ca="1" si="32"/>
        <v>-11</v>
      </c>
      <c r="J344" s="14">
        <f t="shared" ca="1" si="35"/>
        <v>49</v>
      </c>
      <c r="K344" s="12" t="s">
        <v>41</v>
      </c>
      <c r="L344" s="15">
        <v>29</v>
      </c>
      <c r="M344" s="25" t="s">
        <v>40</v>
      </c>
      <c r="N344">
        <v>78</v>
      </c>
    </row>
    <row r="345" spans="1:14">
      <c r="A345" s="25">
        <f t="shared" si="33"/>
        <v>344</v>
      </c>
      <c r="B345" s="67" t="s">
        <v>2</v>
      </c>
      <c r="C345" s="67" t="s">
        <v>305</v>
      </c>
      <c r="D345" s="67" t="s">
        <v>162</v>
      </c>
      <c r="E345" s="22">
        <f t="shared" ca="1" si="34"/>
        <v>40951</v>
      </c>
      <c r="F345" s="11">
        <f>DATE(84,3,6)</f>
        <v>30747</v>
      </c>
      <c r="G345" s="12">
        <f t="shared" ref="G345:G408" ca="1" si="36">YEAR(E345)-YEAR(F345)</f>
        <v>28</v>
      </c>
      <c r="H345" s="12">
        <f t="shared" ref="H345:H408" ca="1" si="37">MONTH(E345)-MONTH(F345)</f>
        <v>-1</v>
      </c>
      <c r="I345" s="13">
        <f t="shared" ref="I345:I408" ca="1" si="38">DAY(E345)-DAY(F345)</f>
        <v>6</v>
      </c>
      <c r="J345" s="14">
        <f t="shared" ca="1" si="35"/>
        <v>27</v>
      </c>
      <c r="K345" s="12" t="s">
        <v>40</v>
      </c>
      <c r="L345" s="15">
        <v>29</v>
      </c>
      <c r="M345" s="25" t="s">
        <v>44</v>
      </c>
      <c r="N345">
        <v>78</v>
      </c>
    </row>
    <row r="346" spans="1:14" ht="15.75" thickBot="1">
      <c r="A346" s="26">
        <f t="shared" si="33"/>
        <v>345</v>
      </c>
      <c r="B346" s="68" t="s">
        <v>2</v>
      </c>
      <c r="C346" s="68" t="s">
        <v>231</v>
      </c>
      <c r="D346" s="68" t="s">
        <v>162</v>
      </c>
      <c r="E346" s="23">
        <f t="shared" ca="1" si="34"/>
        <v>40951</v>
      </c>
      <c r="F346" s="16">
        <f>DATE(86,8,24)</f>
        <v>31648</v>
      </c>
      <c r="G346" s="17">
        <f t="shared" ca="1" si="36"/>
        <v>26</v>
      </c>
      <c r="H346" s="17">
        <f t="shared" ca="1" si="37"/>
        <v>-6</v>
      </c>
      <c r="I346" s="18">
        <f t="shared" ca="1" si="38"/>
        <v>-12</v>
      </c>
      <c r="J346" s="19">
        <f t="shared" ca="1" si="35"/>
        <v>25</v>
      </c>
      <c r="K346" s="17" t="s">
        <v>41</v>
      </c>
      <c r="L346" s="20">
        <v>29</v>
      </c>
      <c r="M346" s="26" t="s">
        <v>44</v>
      </c>
      <c r="N346">
        <v>78</v>
      </c>
    </row>
    <row r="347" spans="1:14">
      <c r="A347" s="24">
        <f t="shared" si="33"/>
        <v>346</v>
      </c>
      <c r="B347" s="66" t="s">
        <v>2</v>
      </c>
      <c r="C347" s="66" t="s">
        <v>162</v>
      </c>
      <c r="D347" s="66" t="s">
        <v>306</v>
      </c>
      <c r="E347" s="21">
        <f t="shared" ca="1" si="34"/>
        <v>40951</v>
      </c>
      <c r="F347" s="6">
        <f>DATE(66,9,25)</f>
        <v>24375</v>
      </c>
      <c r="G347" s="7">
        <f t="shared" ca="1" si="36"/>
        <v>46</v>
      </c>
      <c r="H347" s="7">
        <f t="shared" ca="1" si="37"/>
        <v>-7</v>
      </c>
      <c r="I347" s="8">
        <f t="shared" ca="1" si="38"/>
        <v>-13</v>
      </c>
      <c r="J347" s="9">
        <f t="shared" ca="1" si="35"/>
        <v>45</v>
      </c>
      <c r="K347" s="7" t="s">
        <v>40</v>
      </c>
      <c r="L347" s="10">
        <v>29</v>
      </c>
      <c r="M347" s="24" t="s">
        <v>40</v>
      </c>
      <c r="N347">
        <v>79</v>
      </c>
    </row>
    <row r="348" spans="1:14">
      <c r="A348" s="25">
        <f t="shared" si="33"/>
        <v>347</v>
      </c>
      <c r="B348" s="67" t="s">
        <v>2</v>
      </c>
      <c r="C348" s="67" t="s">
        <v>118</v>
      </c>
      <c r="D348" s="67" t="s">
        <v>162</v>
      </c>
      <c r="E348" s="22">
        <f t="shared" ca="1" si="34"/>
        <v>40951</v>
      </c>
      <c r="F348" s="11">
        <f>DATE(65,7,15)</f>
        <v>23938</v>
      </c>
      <c r="G348" s="12">
        <f t="shared" ca="1" si="36"/>
        <v>47</v>
      </c>
      <c r="H348" s="12">
        <f t="shared" ca="1" si="37"/>
        <v>-5</v>
      </c>
      <c r="I348" s="13">
        <f t="shared" ca="1" si="38"/>
        <v>-3</v>
      </c>
      <c r="J348" s="14">
        <f t="shared" ca="1" si="35"/>
        <v>46</v>
      </c>
      <c r="K348" s="12" t="s">
        <v>41</v>
      </c>
      <c r="L348" s="15">
        <v>29</v>
      </c>
      <c r="M348" s="25" t="s">
        <v>40</v>
      </c>
      <c r="N348">
        <v>79</v>
      </c>
    </row>
    <row r="349" spans="1:14" ht="15.75" thickBot="1">
      <c r="A349" s="26">
        <f t="shared" si="33"/>
        <v>348</v>
      </c>
      <c r="B349" s="67" t="s">
        <v>2</v>
      </c>
      <c r="C349" s="68" t="s">
        <v>307</v>
      </c>
      <c r="D349" s="68" t="s">
        <v>162</v>
      </c>
      <c r="E349" s="23">
        <f t="shared" ca="1" si="34"/>
        <v>40951</v>
      </c>
      <c r="F349" s="16">
        <f>DATE(93,7,26)</f>
        <v>34176</v>
      </c>
      <c r="G349" s="17">
        <f t="shared" ca="1" si="36"/>
        <v>19</v>
      </c>
      <c r="H349" s="17">
        <f t="shared" ca="1" si="37"/>
        <v>-5</v>
      </c>
      <c r="I349" s="18">
        <f t="shared" ca="1" si="38"/>
        <v>-14</v>
      </c>
      <c r="J349" s="19">
        <f t="shared" ca="1" si="35"/>
        <v>18</v>
      </c>
      <c r="K349" s="17" t="s">
        <v>40</v>
      </c>
      <c r="L349" s="20">
        <v>29</v>
      </c>
      <c r="M349" s="26" t="s">
        <v>44</v>
      </c>
      <c r="N349">
        <v>79</v>
      </c>
    </row>
    <row r="350" spans="1:14">
      <c r="A350" s="24">
        <f t="shared" ref="A350:A413" si="39">A349+1</f>
        <v>349</v>
      </c>
      <c r="B350" s="66" t="s">
        <v>2</v>
      </c>
      <c r="C350" s="66" t="s">
        <v>308</v>
      </c>
      <c r="D350" s="66" t="s">
        <v>134</v>
      </c>
      <c r="E350" s="21">
        <f t="shared" ca="1" si="34"/>
        <v>40951</v>
      </c>
      <c r="F350" s="6">
        <f>DATE(53,1,23)</f>
        <v>19382</v>
      </c>
      <c r="G350" s="7">
        <f t="shared" ca="1" si="36"/>
        <v>59</v>
      </c>
      <c r="H350" s="7">
        <f t="shared" ca="1" si="37"/>
        <v>1</v>
      </c>
      <c r="I350" s="8">
        <f t="shared" ca="1" si="38"/>
        <v>-11</v>
      </c>
      <c r="J350" s="9">
        <f t="shared" ca="1" si="35"/>
        <v>59</v>
      </c>
      <c r="K350" s="7" t="s">
        <v>40</v>
      </c>
      <c r="L350" s="10">
        <v>29</v>
      </c>
      <c r="M350" s="24" t="s">
        <v>40</v>
      </c>
      <c r="N350">
        <v>80</v>
      </c>
    </row>
    <row r="351" spans="1:14">
      <c r="A351" s="25">
        <f t="shared" si="39"/>
        <v>350</v>
      </c>
      <c r="B351" s="67" t="s">
        <v>2</v>
      </c>
      <c r="C351" s="67" t="s">
        <v>218</v>
      </c>
      <c r="D351" s="67" t="s">
        <v>308</v>
      </c>
      <c r="E351" s="22">
        <f t="shared" ca="1" si="34"/>
        <v>40951</v>
      </c>
      <c r="F351" s="11">
        <f>DATE(55,12,15)</f>
        <v>20438</v>
      </c>
      <c r="G351" s="12">
        <f t="shared" ca="1" si="36"/>
        <v>57</v>
      </c>
      <c r="H351" s="12">
        <f t="shared" ca="1" si="37"/>
        <v>-10</v>
      </c>
      <c r="I351" s="13">
        <f t="shared" ca="1" si="38"/>
        <v>-3</v>
      </c>
      <c r="J351" s="14">
        <f t="shared" ca="1" si="35"/>
        <v>56</v>
      </c>
      <c r="K351" s="12" t="s">
        <v>41</v>
      </c>
      <c r="L351" s="15">
        <v>29</v>
      </c>
      <c r="M351" s="25" t="s">
        <v>40</v>
      </c>
      <c r="N351">
        <v>80</v>
      </c>
    </row>
    <row r="352" spans="1:14" ht="15.75" thickBot="1">
      <c r="A352" s="26">
        <f t="shared" si="39"/>
        <v>351</v>
      </c>
      <c r="B352" s="67" t="s">
        <v>2</v>
      </c>
      <c r="C352" s="68" t="s">
        <v>96</v>
      </c>
      <c r="D352" s="68" t="s">
        <v>308</v>
      </c>
      <c r="E352" s="23">
        <f t="shared" ca="1" si="34"/>
        <v>40951</v>
      </c>
      <c r="F352" s="16">
        <f>DATE(82,2,14)</f>
        <v>29996</v>
      </c>
      <c r="G352" s="17">
        <f t="shared" ca="1" si="36"/>
        <v>30</v>
      </c>
      <c r="H352" s="17">
        <f t="shared" ca="1" si="37"/>
        <v>0</v>
      </c>
      <c r="I352" s="18">
        <f t="shared" ca="1" si="38"/>
        <v>-2</v>
      </c>
      <c r="J352" s="19">
        <f t="shared" ca="1" si="35"/>
        <v>29</v>
      </c>
      <c r="K352" s="17" t="s">
        <v>40</v>
      </c>
      <c r="L352" s="20">
        <v>29</v>
      </c>
      <c r="M352" s="26" t="s">
        <v>44</v>
      </c>
      <c r="N352">
        <v>80</v>
      </c>
    </row>
    <row r="353" spans="1:14">
      <c r="A353" s="24">
        <f t="shared" si="39"/>
        <v>352</v>
      </c>
      <c r="B353" s="66" t="s">
        <v>2</v>
      </c>
      <c r="C353" s="66" t="s">
        <v>309</v>
      </c>
      <c r="D353" s="66" t="s">
        <v>310</v>
      </c>
      <c r="E353" s="21">
        <f t="shared" ca="1" si="34"/>
        <v>40951</v>
      </c>
      <c r="F353" s="45"/>
      <c r="G353" s="7">
        <f t="shared" ca="1" si="36"/>
        <v>112</v>
      </c>
      <c r="H353" s="7">
        <f t="shared" ca="1" si="37"/>
        <v>1</v>
      </c>
      <c r="I353" s="8">
        <f t="shared" ca="1" si="38"/>
        <v>12</v>
      </c>
      <c r="J353" s="9">
        <f t="shared" ca="1" si="35"/>
        <v>112</v>
      </c>
      <c r="K353" s="7" t="s">
        <v>40</v>
      </c>
      <c r="L353" s="10">
        <v>30</v>
      </c>
      <c r="M353" s="24" t="s">
        <v>40</v>
      </c>
      <c r="N353">
        <v>81</v>
      </c>
    </row>
    <row r="354" spans="1:14">
      <c r="A354" s="25">
        <f t="shared" si="39"/>
        <v>353</v>
      </c>
      <c r="B354" s="67" t="s">
        <v>2</v>
      </c>
      <c r="C354" s="67" t="s">
        <v>311</v>
      </c>
      <c r="D354" s="67" t="s">
        <v>309</v>
      </c>
      <c r="E354" s="22">
        <f t="shared" ref="E354:E417" ca="1" si="40">TODAY()</f>
        <v>40951</v>
      </c>
      <c r="F354" s="32"/>
      <c r="G354" s="12">
        <f t="shared" ca="1" si="36"/>
        <v>112</v>
      </c>
      <c r="H354" s="12">
        <f t="shared" ca="1" si="37"/>
        <v>1</v>
      </c>
      <c r="I354" s="13">
        <f t="shared" ca="1" si="38"/>
        <v>12</v>
      </c>
      <c r="J354" s="14">
        <f t="shared" ca="1" si="35"/>
        <v>112</v>
      </c>
      <c r="K354" s="12" t="s">
        <v>41</v>
      </c>
      <c r="L354" s="15">
        <v>30</v>
      </c>
      <c r="M354" s="25" t="s">
        <v>40</v>
      </c>
      <c r="N354">
        <v>81</v>
      </c>
    </row>
    <row r="355" spans="1:14">
      <c r="A355" s="25">
        <f t="shared" si="39"/>
        <v>354</v>
      </c>
      <c r="B355" s="67" t="s">
        <v>2</v>
      </c>
      <c r="C355" s="67" t="s">
        <v>312</v>
      </c>
      <c r="D355" s="67" t="s">
        <v>309</v>
      </c>
      <c r="E355" s="22">
        <f t="shared" ca="1" si="40"/>
        <v>40951</v>
      </c>
      <c r="F355" s="11">
        <f>DATE(75,4,23)</f>
        <v>27507</v>
      </c>
      <c r="G355" s="12">
        <f t="shared" ca="1" si="36"/>
        <v>37</v>
      </c>
      <c r="H355" s="12">
        <f t="shared" ca="1" si="37"/>
        <v>-2</v>
      </c>
      <c r="I355" s="13">
        <f t="shared" ca="1" si="38"/>
        <v>-11</v>
      </c>
      <c r="J355" s="14">
        <f t="shared" ca="1" si="35"/>
        <v>36</v>
      </c>
      <c r="K355" s="12" t="s">
        <v>40</v>
      </c>
      <c r="L355" s="15">
        <v>30</v>
      </c>
      <c r="M355" s="25" t="s">
        <v>40</v>
      </c>
      <c r="N355">
        <v>81</v>
      </c>
    </row>
    <row r="356" spans="1:14">
      <c r="A356" s="25">
        <f t="shared" si="39"/>
        <v>355</v>
      </c>
      <c r="B356" s="67" t="s">
        <v>2</v>
      </c>
      <c r="C356" s="67" t="s">
        <v>313</v>
      </c>
      <c r="D356" s="67" t="s">
        <v>312</v>
      </c>
      <c r="E356" s="22">
        <f t="shared" ca="1" si="40"/>
        <v>40951</v>
      </c>
      <c r="F356" s="11">
        <f>DATE(77,12,25)</f>
        <v>28484</v>
      </c>
      <c r="G356" s="12">
        <f t="shared" ca="1" si="36"/>
        <v>35</v>
      </c>
      <c r="H356" s="12">
        <f t="shared" ca="1" si="37"/>
        <v>-10</v>
      </c>
      <c r="I356" s="13">
        <f t="shared" ca="1" si="38"/>
        <v>-13</v>
      </c>
      <c r="J356" s="14">
        <f t="shared" ca="1" si="35"/>
        <v>34</v>
      </c>
      <c r="K356" s="12" t="s">
        <v>41</v>
      </c>
      <c r="L356" s="15">
        <v>30</v>
      </c>
      <c r="M356" s="25" t="s">
        <v>40</v>
      </c>
      <c r="N356">
        <v>81</v>
      </c>
    </row>
    <row r="357" spans="1:14">
      <c r="A357" s="25">
        <f t="shared" si="39"/>
        <v>356</v>
      </c>
      <c r="B357" s="67" t="s">
        <v>2</v>
      </c>
      <c r="C357" s="67" t="s">
        <v>314</v>
      </c>
      <c r="D357" s="67" t="s">
        <v>312</v>
      </c>
      <c r="E357" s="22">
        <f t="shared" ca="1" si="40"/>
        <v>40951</v>
      </c>
      <c r="F357" s="11">
        <f>DATE(2002,7,31)</f>
        <v>37468</v>
      </c>
      <c r="G357" s="12">
        <f t="shared" ca="1" si="36"/>
        <v>10</v>
      </c>
      <c r="H357" s="12">
        <f t="shared" ca="1" si="37"/>
        <v>-5</v>
      </c>
      <c r="I357" s="13">
        <f t="shared" ca="1" si="38"/>
        <v>-19</v>
      </c>
      <c r="J357" s="14">
        <f t="shared" ca="1" si="35"/>
        <v>9</v>
      </c>
      <c r="K357" s="12" t="s">
        <v>41</v>
      </c>
      <c r="L357" s="15">
        <v>30</v>
      </c>
      <c r="M357" s="25" t="s">
        <v>44</v>
      </c>
      <c r="N357">
        <v>81</v>
      </c>
    </row>
    <row r="358" spans="1:14" ht="15.75" thickBot="1">
      <c r="A358" s="26">
        <f t="shared" si="39"/>
        <v>357</v>
      </c>
      <c r="B358" s="67" t="s">
        <v>2</v>
      </c>
      <c r="C358" s="68" t="s">
        <v>312</v>
      </c>
      <c r="D358" s="68" t="s">
        <v>312</v>
      </c>
      <c r="E358" s="23">
        <f t="shared" ca="1" si="40"/>
        <v>40951</v>
      </c>
      <c r="F358" s="16">
        <f>DATE(2006,6,22)</f>
        <v>38890</v>
      </c>
      <c r="G358" s="17">
        <f t="shared" ca="1" si="36"/>
        <v>6</v>
      </c>
      <c r="H358" s="17">
        <f t="shared" ca="1" si="37"/>
        <v>-4</v>
      </c>
      <c r="I358" s="18">
        <f t="shared" ca="1" si="38"/>
        <v>-10</v>
      </c>
      <c r="J358" s="19">
        <f t="shared" ca="1" si="35"/>
        <v>5</v>
      </c>
      <c r="K358" s="17" t="s">
        <v>40</v>
      </c>
      <c r="L358" s="20">
        <v>30</v>
      </c>
      <c r="M358" s="26" t="s">
        <v>44</v>
      </c>
      <c r="N358">
        <v>81</v>
      </c>
    </row>
    <row r="359" spans="1:14">
      <c r="A359" s="24">
        <f t="shared" si="39"/>
        <v>358</v>
      </c>
      <c r="B359" s="66" t="s">
        <v>2</v>
      </c>
      <c r="C359" s="66" t="s">
        <v>315</v>
      </c>
      <c r="D359" s="66" t="s">
        <v>316</v>
      </c>
      <c r="E359" s="21">
        <f t="shared" ca="1" si="40"/>
        <v>40951</v>
      </c>
      <c r="F359" s="6">
        <f>DATE(50,11,1)</f>
        <v>18568</v>
      </c>
      <c r="G359" s="7">
        <f t="shared" ca="1" si="36"/>
        <v>62</v>
      </c>
      <c r="H359" s="7">
        <f t="shared" ca="1" si="37"/>
        <v>-9</v>
      </c>
      <c r="I359" s="8">
        <f t="shared" ca="1" si="38"/>
        <v>11</v>
      </c>
      <c r="J359" s="9">
        <f t="shared" ca="1" si="35"/>
        <v>61</v>
      </c>
      <c r="K359" s="7" t="s">
        <v>40</v>
      </c>
      <c r="L359" s="10">
        <v>30</v>
      </c>
      <c r="M359" s="24" t="s">
        <v>40</v>
      </c>
      <c r="N359">
        <v>82</v>
      </c>
    </row>
    <row r="360" spans="1:14">
      <c r="A360" s="25">
        <f t="shared" si="39"/>
        <v>359</v>
      </c>
      <c r="B360" s="67" t="s">
        <v>2</v>
      </c>
      <c r="C360" s="67" t="s">
        <v>317</v>
      </c>
      <c r="D360" s="67" t="s">
        <v>315</v>
      </c>
      <c r="E360" s="22">
        <f t="shared" ca="1" si="40"/>
        <v>40951</v>
      </c>
      <c r="F360" s="11">
        <f>DATE(57,7,31)</f>
        <v>21032</v>
      </c>
      <c r="G360" s="12">
        <f t="shared" ca="1" si="36"/>
        <v>55</v>
      </c>
      <c r="H360" s="12">
        <f t="shared" ca="1" si="37"/>
        <v>-5</v>
      </c>
      <c r="I360" s="13">
        <f t="shared" ca="1" si="38"/>
        <v>-19</v>
      </c>
      <c r="J360" s="14">
        <f t="shared" ca="1" si="35"/>
        <v>54</v>
      </c>
      <c r="K360" s="12" t="s">
        <v>41</v>
      </c>
      <c r="L360" s="15">
        <v>30</v>
      </c>
      <c r="M360" s="25" t="s">
        <v>40</v>
      </c>
      <c r="N360">
        <v>82</v>
      </c>
    </row>
    <row r="361" spans="1:14">
      <c r="A361" s="25">
        <f t="shared" si="39"/>
        <v>360</v>
      </c>
      <c r="B361" s="67" t="s">
        <v>2</v>
      </c>
      <c r="C361" s="67" t="s">
        <v>63</v>
      </c>
      <c r="D361" s="67" t="s">
        <v>315</v>
      </c>
      <c r="E361" s="22">
        <f t="shared" ca="1" si="40"/>
        <v>40951</v>
      </c>
      <c r="F361" s="11">
        <f>DATE(86,3,4)</f>
        <v>31475</v>
      </c>
      <c r="G361" s="12">
        <f t="shared" ca="1" si="36"/>
        <v>26</v>
      </c>
      <c r="H361" s="12">
        <f t="shared" ca="1" si="37"/>
        <v>-1</v>
      </c>
      <c r="I361" s="13">
        <f t="shared" ca="1" si="38"/>
        <v>8</v>
      </c>
      <c r="J361" s="14">
        <f t="shared" ca="1" si="35"/>
        <v>25</v>
      </c>
      <c r="K361" s="12" t="s">
        <v>40</v>
      </c>
      <c r="L361" s="15">
        <v>30</v>
      </c>
      <c r="M361" s="25" t="s">
        <v>44</v>
      </c>
      <c r="N361">
        <v>82</v>
      </c>
    </row>
    <row r="362" spans="1:14">
      <c r="A362" s="25">
        <f t="shared" si="39"/>
        <v>361</v>
      </c>
      <c r="B362" s="67" t="s">
        <v>2</v>
      </c>
      <c r="C362" s="67" t="s">
        <v>318</v>
      </c>
      <c r="D362" s="67" t="s">
        <v>316</v>
      </c>
      <c r="E362" s="22">
        <f t="shared" ca="1" si="40"/>
        <v>40951</v>
      </c>
      <c r="F362" s="11">
        <f>DATE(40,11,16)</f>
        <v>14931</v>
      </c>
      <c r="G362" s="12">
        <f t="shared" ca="1" si="36"/>
        <v>72</v>
      </c>
      <c r="H362" s="12">
        <f t="shared" ca="1" si="37"/>
        <v>-9</v>
      </c>
      <c r="I362" s="13">
        <f t="shared" ca="1" si="38"/>
        <v>-4</v>
      </c>
      <c r="J362" s="14">
        <f t="shared" ca="1" si="35"/>
        <v>71</v>
      </c>
      <c r="K362" s="12" t="s">
        <v>41</v>
      </c>
      <c r="L362" s="15">
        <v>30</v>
      </c>
      <c r="M362" s="25" t="s">
        <v>40</v>
      </c>
      <c r="N362">
        <v>82</v>
      </c>
    </row>
    <row r="363" spans="1:14">
      <c r="A363" s="25">
        <f t="shared" si="39"/>
        <v>362</v>
      </c>
      <c r="B363" s="67" t="s">
        <v>2</v>
      </c>
      <c r="C363" s="67" t="s">
        <v>319</v>
      </c>
      <c r="D363" s="67" t="s">
        <v>316</v>
      </c>
      <c r="E363" s="22">
        <f t="shared" ca="1" si="40"/>
        <v>40951</v>
      </c>
      <c r="F363" s="11">
        <f>DATE(66,1,22)</f>
        <v>24129</v>
      </c>
      <c r="G363" s="12">
        <f t="shared" ca="1" si="36"/>
        <v>46</v>
      </c>
      <c r="H363" s="12">
        <f t="shared" ca="1" si="37"/>
        <v>1</v>
      </c>
      <c r="I363" s="13">
        <f t="shared" ca="1" si="38"/>
        <v>-10</v>
      </c>
      <c r="J363" s="14">
        <f t="shared" ca="1" si="35"/>
        <v>46</v>
      </c>
      <c r="K363" s="12" t="s">
        <v>41</v>
      </c>
      <c r="L363" s="15">
        <v>30</v>
      </c>
      <c r="M363" s="25" t="s">
        <v>44</v>
      </c>
      <c r="N363">
        <v>82</v>
      </c>
    </row>
    <row r="364" spans="1:14">
      <c r="A364" s="25">
        <f t="shared" si="39"/>
        <v>363</v>
      </c>
      <c r="B364" s="67" t="s">
        <v>2</v>
      </c>
      <c r="C364" s="67" t="s">
        <v>320</v>
      </c>
      <c r="D364" s="67" t="s">
        <v>316</v>
      </c>
      <c r="E364" s="22">
        <f t="shared" ca="1" si="40"/>
        <v>40951</v>
      </c>
      <c r="F364" s="11">
        <f>DATE(48,11,3)</f>
        <v>17840</v>
      </c>
      <c r="G364" s="12">
        <f t="shared" ca="1" si="36"/>
        <v>64</v>
      </c>
      <c r="H364" s="12">
        <f t="shared" ca="1" si="37"/>
        <v>-9</v>
      </c>
      <c r="I364" s="13">
        <f t="shared" ca="1" si="38"/>
        <v>9</v>
      </c>
      <c r="J364" s="14">
        <f t="shared" ca="1" si="35"/>
        <v>63</v>
      </c>
      <c r="K364" s="12" t="s">
        <v>40</v>
      </c>
      <c r="L364" s="15">
        <v>30</v>
      </c>
      <c r="M364" s="25" t="s">
        <v>40</v>
      </c>
      <c r="N364">
        <v>82</v>
      </c>
    </row>
    <row r="365" spans="1:14">
      <c r="A365" s="25">
        <f t="shared" si="39"/>
        <v>364</v>
      </c>
      <c r="B365" s="67" t="s">
        <v>2</v>
      </c>
      <c r="C365" s="67" t="s">
        <v>321</v>
      </c>
      <c r="D365" s="67" t="s">
        <v>322</v>
      </c>
      <c r="E365" s="22">
        <f t="shared" ca="1" si="40"/>
        <v>40951</v>
      </c>
      <c r="F365" s="11">
        <f>DATE(53,4,2)</f>
        <v>19451</v>
      </c>
      <c r="G365" s="12">
        <f t="shared" ca="1" si="36"/>
        <v>59</v>
      </c>
      <c r="H365" s="12">
        <f t="shared" ca="1" si="37"/>
        <v>-2</v>
      </c>
      <c r="I365" s="13">
        <f t="shared" ca="1" si="38"/>
        <v>10</v>
      </c>
      <c r="J365" s="14">
        <f t="shared" ca="1" si="35"/>
        <v>58</v>
      </c>
      <c r="K365" s="12" t="s">
        <v>41</v>
      </c>
      <c r="L365" s="15">
        <v>30</v>
      </c>
      <c r="M365" s="25" t="s">
        <v>40</v>
      </c>
      <c r="N365">
        <v>82</v>
      </c>
    </row>
    <row r="366" spans="1:14">
      <c r="A366" s="25">
        <f t="shared" si="39"/>
        <v>365</v>
      </c>
      <c r="B366" s="67" t="s">
        <v>2</v>
      </c>
      <c r="C366" s="67" t="s">
        <v>323</v>
      </c>
      <c r="D366" s="67" t="s">
        <v>322</v>
      </c>
      <c r="E366" s="22">
        <f t="shared" ca="1" si="40"/>
        <v>40951</v>
      </c>
      <c r="F366" s="11">
        <f>DATE(75,8,21)</f>
        <v>27627</v>
      </c>
      <c r="G366" s="12">
        <f t="shared" ca="1" si="36"/>
        <v>37</v>
      </c>
      <c r="H366" s="12">
        <f t="shared" ca="1" si="37"/>
        <v>-6</v>
      </c>
      <c r="I366" s="13">
        <f t="shared" ca="1" si="38"/>
        <v>-9</v>
      </c>
      <c r="J366" s="14">
        <f t="shared" ca="1" si="35"/>
        <v>36</v>
      </c>
      <c r="K366" s="12" t="s">
        <v>41</v>
      </c>
      <c r="L366" s="15">
        <v>30</v>
      </c>
      <c r="M366" s="25" t="s">
        <v>40</v>
      </c>
      <c r="N366">
        <v>82</v>
      </c>
    </row>
    <row r="367" spans="1:14">
      <c r="A367" s="25">
        <f t="shared" si="39"/>
        <v>366</v>
      </c>
      <c r="B367" s="67" t="s">
        <v>2</v>
      </c>
      <c r="C367" s="67" t="s">
        <v>324</v>
      </c>
      <c r="D367" s="67" t="s">
        <v>323</v>
      </c>
      <c r="E367" s="22">
        <f t="shared" ca="1" si="40"/>
        <v>40951</v>
      </c>
      <c r="F367" s="32"/>
      <c r="G367" s="12">
        <f t="shared" ca="1" si="36"/>
        <v>112</v>
      </c>
      <c r="H367" s="12">
        <f t="shared" ca="1" si="37"/>
        <v>1</v>
      </c>
      <c r="I367" s="13">
        <f t="shared" ca="1" si="38"/>
        <v>12</v>
      </c>
      <c r="J367" s="14">
        <f t="shared" ca="1" si="35"/>
        <v>112</v>
      </c>
      <c r="K367" s="12" t="s">
        <v>41</v>
      </c>
      <c r="L367" s="15">
        <v>30</v>
      </c>
      <c r="M367" s="25" t="s">
        <v>40</v>
      </c>
      <c r="N367">
        <v>82</v>
      </c>
    </row>
    <row r="368" spans="1:14" ht="15.75" thickBot="1">
      <c r="A368" s="26">
        <f t="shared" si="39"/>
        <v>367</v>
      </c>
      <c r="B368" s="67" t="s">
        <v>2</v>
      </c>
      <c r="C368" s="68" t="s">
        <v>325</v>
      </c>
      <c r="D368" s="68" t="s">
        <v>322</v>
      </c>
      <c r="E368" s="23">
        <f t="shared" ca="1" si="40"/>
        <v>40951</v>
      </c>
      <c r="F368" s="16">
        <f>DATE(82,10,28)</f>
        <v>30252</v>
      </c>
      <c r="G368" s="17">
        <f t="shared" ca="1" si="36"/>
        <v>30</v>
      </c>
      <c r="H368" s="17">
        <f t="shared" ca="1" si="37"/>
        <v>-8</v>
      </c>
      <c r="I368" s="18">
        <f t="shared" ca="1" si="38"/>
        <v>-16</v>
      </c>
      <c r="J368" s="19">
        <f t="shared" ca="1" si="35"/>
        <v>29</v>
      </c>
      <c r="K368" s="17" t="s">
        <v>40</v>
      </c>
      <c r="L368" s="20">
        <v>30</v>
      </c>
      <c r="M368" s="26" t="s">
        <v>44</v>
      </c>
      <c r="N368">
        <v>82</v>
      </c>
    </row>
    <row r="369" spans="1:14">
      <c r="A369" s="24">
        <f t="shared" si="39"/>
        <v>368</v>
      </c>
      <c r="B369" s="66" t="s">
        <v>2</v>
      </c>
      <c r="C369" s="66" t="s">
        <v>326</v>
      </c>
      <c r="D369" s="66" t="s">
        <v>316</v>
      </c>
      <c r="E369" s="21">
        <f t="shared" ca="1" si="40"/>
        <v>40951</v>
      </c>
      <c r="F369" s="6">
        <f>DATE(57,3,20)</f>
        <v>20899</v>
      </c>
      <c r="G369" s="7">
        <f t="shared" ca="1" si="36"/>
        <v>55</v>
      </c>
      <c r="H369" s="7">
        <f t="shared" ca="1" si="37"/>
        <v>-1</v>
      </c>
      <c r="I369" s="8">
        <f t="shared" ca="1" si="38"/>
        <v>-8</v>
      </c>
      <c r="J369" s="9">
        <f t="shared" ca="1" si="35"/>
        <v>54</v>
      </c>
      <c r="K369" s="7" t="s">
        <v>40</v>
      </c>
      <c r="L369" s="10">
        <v>31</v>
      </c>
      <c r="M369" s="24" t="s">
        <v>40</v>
      </c>
      <c r="N369">
        <v>83</v>
      </c>
    </row>
    <row r="370" spans="1:14">
      <c r="A370" s="25">
        <f t="shared" si="39"/>
        <v>369</v>
      </c>
      <c r="B370" s="67" t="s">
        <v>2</v>
      </c>
      <c r="C370" s="67" t="s">
        <v>327</v>
      </c>
      <c r="D370" s="67" t="s">
        <v>326</v>
      </c>
      <c r="E370" s="22">
        <f t="shared" ca="1" si="40"/>
        <v>40951</v>
      </c>
      <c r="F370" s="11">
        <f>DATE(66,5,26)</f>
        <v>24253</v>
      </c>
      <c r="G370" s="12">
        <f t="shared" ca="1" si="36"/>
        <v>46</v>
      </c>
      <c r="H370" s="12">
        <f t="shared" ca="1" si="37"/>
        <v>-3</v>
      </c>
      <c r="I370" s="13">
        <f t="shared" ca="1" si="38"/>
        <v>-14</v>
      </c>
      <c r="J370" s="14">
        <f t="shared" ca="1" si="35"/>
        <v>45</v>
      </c>
      <c r="K370" s="12" t="s">
        <v>41</v>
      </c>
      <c r="L370" s="15">
        <v>31</v>
      </c>
      <c r="M370" s="25" t="s">
        <v>40</v>
      </c>
      <c r="N370">
        <v>83</v>
      </c>
    </row>
    <row r="371" spans="1:14">
      <c r="A371" s="25">
        <f t="shared" si="39"/>
        <v>370</v>
      </c>
      <c r="B371" s="67" t="s">
        <v>2</v>
      </c>
      <c r="C371" s="67" t="s">
        <v>328</v>
      </c>
      <c r="D371" s="67" t="s">
        <v>326</v>
      </c>
      <c r="E371" s="22">
        <f t="shared" ca="1" si="40"/>
        <v>40951</v>
      </c>
      <c r="F371" s="11">
        <f>DATE(86,3,6)</f>
        <v>31477</v>
      </c>
      <c r="G371" s="12">
        <f t="shared" ca="1" si="36"/>
        <v>26</v>
      </c>
      <c r="H371" s="12">
        <f t="shared" ca="1" si="37"/>
        <v>-1</v>
      </c>
      <c r="I371" s="13">
        <f t="shared" ca="1" si="38"/>
        <v>6</v>
      </c>
      <c r="J371" s="14">
        <f t="shared" ca="1" si="35"/>
        <v>25</v>
      </c>
      <c r="K371" s="12" t="s">
        <v>41</v>
      </c>
      <c r="L371" s="15">
        <v>31</v>
      </c>
      <c r="M371" s="25" t="s">
        <v>40</v>
      </c>
      <c r="N371">
        <v>83</v>
      </c>
    </row>
    <row r="372" spans="1:14" ht="15.75" thickBot="1">
      <c r="A372" s="26">
        <f t="shared" si="39"/>
        <v>371</v>
      </c>
      <c r="B372" s="67" t="s">
        <v>2</v>
      </c>
      <c r="C372" s="68" t="s">
        <v>329</v>
      </c>
      <c r="D372" s="68" t="s">
        <v>326</v>
      </c>
      <c r="E372" s="23">
        <f t="shared" ca="1" si="40"/>
        <v>40951</v>
      </c>
      <c r="F372" s="16">
        <f>DATE(89,4,26)</f>
        <v>32624</v>
      </c>
      <c r="G372" s="17">
        <f t="shared" ca="1" si="36"/>
        <v>23</v>
      </c>
      <c r="H372" s="17">
        <f t="shared" ca="1" si="37"/>
        <v>-2</v>
      </c>
      <c r="I372" s="18">
        <f t="shared" ca="1" si="38"/>
        <v>-14</v>
      </c>
      <c r="J372" s="19">
        <f t="shared" ca="1" si="35"/>
        <v>22</v>
      </c>
      <c r="K372" s="17" t="s">
        <v>40</v>
      </c>
      <c r="L372" s="20">
        <v>31</v>
      </c>
      <c r="M372" s="26" t="s">
        <v>40</v>
      </c>
      <c r="N372">
        <v>83</v>
      </c>
    </row>
    <row r="373" spans="1:14">
      <c r="A373" s="24">
        <f t="shared" si="39"/>
        <v>372</v>
      </c>
      <c r="B373" s="66" t="s">
        <v>2</v>
      </c>
      <c r="C373" s="66" t="s">
        <v>330</v>
      </c>
      <c r="D373" s="66" t="s">
        <v>209</v>
      </c>
      <c r="E373" s="21">
        <f t="shared" ca="1" si="40"/>
        <v>40951</v>
      </c>
      <c r="F373" s="6">
        <f>DATE(54,10,17)</f>
        <v>20014</v>
      </c>
      <c r="G373" s="7">
        <f t="shared" ca="1" si="36"/>
        <v>58</v>
      </c>
      <c r="H373" s="7">
        <f t="shared" ca="1" si="37"/>
        <v>-8</v>
      </c>
      <c r="I373" s="8">
        <f t="shared" ca="1" si="38"/>
        <v>-5</v>
      </c>
      <c r="J373" s="9">
        <f t="shared" ca="1" si="35"/>
        <v>57</v>
      </c>
      <c r="K373" s="7" t="s">
        <v>40</v>
      </c>
      <c r="L373" s="10">
        <v>31</v>
      </c>
      <c r="M373" s="24" t="s">
        <v>40</v>
      </c>
      <c r="N373">
        <v>84</v>
      </c>
    </row>
    <row r="374" spans="1:14">
      <c r="A374" s="25">
        <f t="shared" si="39"/>
        <v>373</v>
      </c>
      <c r="B374" s="67" t="s">
        <v>2</v>
      </c>
      <c r="C374" s="67" t="s">
        <v>194</v>
      </c>
      <c r="D374" s="67" t="s">
        <v>331</v>
      </c>
      <c r="E374" s="22">
        <f t="shared" ca="1" si="40"/>
        <v>40951</v>
      </c>
      <c r="F374" s="11">
        <f>DATE(57,8,18)</f>
        <v>21050</v>
      </c>
      <c r="G374" s="12">
        <f t="shared" ca="1" si="36"/>
        <v>55</v>
      </c>
      <c r="H374" s="12">
        <f t="shared" ca="1" si="37"/>
        <v>-6</v>
      </c>
      <c r="I374" s="13">
        <f t="shared" ca="1" si="38"/>
        <v>-6</v>
      </c>
      <c r="J374" s="14">
        <f t="shared" ca="1" si="35"/>
        <v>54</v>
      </c>
      <c r="K374" s="12" t="s">
        <v>41</v>
      </c>
      <c r="L374" s="15">
        <v>31</v>
      </c>
      <c r="M374" s="25" t="s">
        <v>40</v>
      </c>
      <c r="N374">
        <v>84</v>
      </c>
    </row>
    <row r="375" spans="1:14" ht="15.75" thickBot="1">
      <c r="A375" s="26">
        <f t="shared" si="39"/>
        <v>374</v>
      </c>
      <c r="B375" s="67" t="s">
        <v>2</v>
      </c>
      <c r="C375" s="68" t="s">
        <v>263</v>
      </c>
      <c r="D375" s="68" t="s">
        <v>331</v>
      </c>
      <c r="E375" s="23">
        <f t="shared" ca="1" si="40"/>
        <v>40951</v>
      </c>
      <c r="F375" s="16">
        <f>DATE(87,7,2)</f>
        <v>31960</v>
      </c>
      <c r="G375" s="17">
        <f t="shared" ca="1" si="36"/>
        <v>25</v>
      </c>
      <c r="H375" s="17">
        <f t="shared" ca="1" si="37"/>
        <v>-5</v>
      </c>
      <c r="I375" s="18">
        <f t="shared" ca="1" si="38"/>
        <v>10</v>
      </c>
      <c r="J375" s="19">
        <f t="shared" ca="1" si="35"/>
        <v>24</v>
      </c>
      <c r="K375" s="17" t="s">
        <v>40</v>
      </c>
      <c r="L375" s="20">
        <v>31</v>
      </c>
      <c r="M375" s="26" t="s">
        <v>40</v>
      </c>
      <c r="N375">
        <v>84</v>
      </c>
    </row>
    <row r="376" spans="1:14">
      <c r="A376" s="24">
        <f t="shared" si="39"/>
        <v>375</v>
      </c>
      <c r="B376" s="66" t="s">
        <v>2</v>
      </c>
      <c r="C376" s="66" t="s">
        <v>332</v>
      </c>
      <c r="D376" s="66" t="s">
        <v>333</v>
      </c>
      <c r="E376" s="21">
        <f t="shared" ca="1" si="40"/>
        <v>40951</v>
      </c>
      <c r="F376" s="6">
        <f>DATE(63,11,19)</f>
        <v>23334</v>
      </c>
      <c r="G376" s="7">
        <f t="shared" ca="1" si="36"/>
        <v>49</v>
      </c>
      <c r="H376" s="7">
        <f t="shared" ca="1" si="37"/>
        <v>-9</v>
      </c>
      <c r="I376" s="8">
        <f t="shared" ca="1" si="38"/>
        <v>-7</v>
      </c>
      <c r="J376" s="9">
        <f t="shared" ca="1" si="35"/>
        <v>48</v>
      </c>
      <c r="K376" s="7" t="s">
        <v>40</v>
      </c>
      <c r="L376" s="10">
        <v>31</v>
      </c>
      <c r="M376" s="24" t="s">
        <v>40</v>
      </c>
      <c r="N376">
        <v>85</v>
      </c>
    </row>
    <row r="377" spans="1:14">
      <c r="A377" s="25">
        <f t="shared" si="39"/>
        <v>376</v>
      </c>
      <c r="B377" s="67" t="s">
        <v>2</v>
      </c>
      <c r="C377" s="67" t="s">
        <v>334</v>
      </c>
      <c r="D377" s="67" t="s">
        <v>332</v>
      </c>
      <c r="E377" s="22">
        <f t="shared" ca="1" si="40"/>
        <v>40951</v>
      </c>
      <c r="F377" s="11">
        <f>DATE(69,5,16)</f>
        <v>25339</v>
      </c>
      <c r="G377" s="12">
        <f t="shared" ca="1" si="36"/>
        <v>43</v>
      </c>
      <c r="H377" s="12">
        <f t="shared" ca="1" si="37"/>
        <v>-3</v>
      </c>
      <c r="I377" s="13">
        <f t="shared" ca="1" si="38"/>
        <v>-4</v>
      </c>
      <c r="J377" s="14">
        <f t="shared" ca="1" si="35"/>
        <v>42</v>
      </c>
      <c r="K377" s="12" t="s">
        <v>41</v>
      </c>
      <c r="L377" s="15">
        <v>31</v>
      </c>
      <c r="M377" s="25" t="s">
        <v>40</v>
      </c>
      <c r="N377">
        <v>85</v>
      </c>
    </row>
    <row r="378" spans="1:14">
      <c r="A378" s="25">
        <f t="shared" si="39"/>
        <v>377</v>
      </c>
      <c r="B378" s="67" t="s">
        <v>2</v>
      </c>
      <c r="C378" s="67" t="s">
        <v>335</v>
      </c>
      <c r="D378" s="67" t="s">
        <v>332</v>
      </c>
      <c r="E378" s="22">
        <f t="shared" ca="1" si="40"/>
        <v>40951</v>
      </c>
      <c r="F378" s="11">
        <f>DATE(91,6,18)</f>
        <v>33407</v>
      </c>
      <c r="G378" s="12">
        <f t="shared" ca="1" si="36"/>
        <v>21</v>
      </c>
      <c r="H378" s="12">
        <f t="shared" ca="1" si="37"/>
        <v>-4</v>
      </c>
      <c r="I378" s="13">
        <f t="shared" ca="1" si="38"/>
        <v>-6</v>
      </c>
      <c r="J378" s="14">
        <f t="shared" ca="1" si="35"/>
        <v>20</v>
      </c>
      <c r="K378" s="12" t="s">
        <v>41</v>
      </c>
      <c r="L378" s="15">
        <v>31</v>
      </c>
      <c r="M378" s="25" t="s">
        <v>40</v>
      </c>
      <c r="N378">
        <v>85</v>
      </c>
    </row>
    <row r="379" spans="1:14" ht="15.75" thickBot="1">
      <c r="A379" s="26">
        <f t="shared" si="39"/>
        <v>378</v>
      </c>
      <c r="B379" s="67" t="s">
        <v>2</v>
      </c>
      <c r="C379" s="68" t="s">
        <v>336</v>
      </c>
      <c r="D379" s="68" t="s">
        <v>332</v>
      </c>
      <c r="E379" s="23">
        <f t="shared" ca="1" si="40"/>
        <v>40951</v>
      </c>
      <c r="F379" s="16">
        <f>DATE(96,12,28)</f>
        <v>35427</v>
      </c>
      <c r="G379" s="17">
        <f t="shared" ca="1" si="36"/>
        <v>16</v>
      </c>
      <c r="H379" s="17">
        <f t="shared" ca="1" si="37"/>
        <v>-10</v>
      </c>
      <c r="I379" s="18">
        <f t="shared" ca="1" si="38"/>
        <v>-16</v>
      </c>
      <c r="J379" s="19">
        <f t="shared" ca="1" si="35"/>
        <v>15</v>
      </c>
      <c r="K379" s="17" t="s">
        <v>40</v>
      </c>
      <c r="L379" s="20">
        <v>31</v>
      </c>
      <c r="M379" s="26" t="s">
        <v>40</v>
      </c>
      <c r="N379">
        <v>85</v>
      </c>
    </row>
    <row r="380" spans="1:14">
      <c r="A380" s="24">
        <f t="shared" si="39"/>
        <v>379</v>
      </c>
      <c r="B380" s="66" t="s">
        <v>2</v>
      </c>
      <c r="C380" s="66" t="s">
        <v>337</v>
      </c>
      <c r="D380" s="66" t="s">
        <v>338</v>
      </c>
      <c r="E380" s="21">
        <f t="shared" ca="1" si="40"/>
        <v>40951</v>
      </c>
      <c r="F380" s="6">
        <f>DATE(66,11,4)</f>
        <v>24415</v>
      </c>
      <c r="G380" s="7">
        <f t="shared" ca="1" si="36"/>
        <v>46</v>
      </c>
      <c r="H380" s="7">
        <f t="shared" ca="1" si="37"/>
        <v>-9</v>
      </c>
      <c r="I380" s="8">
        <f t="shared" ca="1" si="38"/>
        <v>8</v>
      </c>
      <c r="J380" s="9">
        <f t="shared" ca="1" si="35"/>
        <v>45</v>
      </c>
      <c r="K380" s="7" t="s">
        <v>40</v>
      </c>
      <c r="L380" s="10">
        <v>32</v>
      </c>
      <c r="M380" s="24" t="s">
        <v>40</v>
      </c>
      <c r="N380">
        <v>86</v>
      </c>
    </row>
    <row r="381" spans="1:14">
      <c r="A381" s="25">
        <f t="shared" si="39"/>
        <v>380</v>
      </c>
      <c r="B381" s="67" t="s">
        <v>2</v>
      </c>
      <c r="C381" s="67" t="s">
        <v>212</v>
      </c>
      <c r="D381" s="67" t="s">
        <v>337</v>
      </c>
      <c r="E381" s="22">
        <f t="shared" ca="1" si="40"/>
        <v>40951</v>
      </c>
      <c r="F381" s="11">
        <f>DATE(72,8,18)</f>
        <v>26529</v>
      </c>
      <c r="G381" s="12">
        <f t="shared" ca="1" si="36"/>
        <v>40</v>
      </c>
      <c r="H381" s="12">
        <f t="shared" ca="1" si="37"/>
        <v>-6</v>
      </c>
      <c r="I381" s="13">
        <f t="shared" ca="1" si="38"/>
        <v>-6</v>
      </c>
      <c r="J381" s="14">
        <f t="shared" ca="1" si="35"/>
        <v>39</v>
      </c>
      <c r="K381" s="12" t="s">
        <v>41</v>
      </c>
      <c r="L381" s="15">
        <v>32</v>
      </c>
      <c r="M381" s="25" t="s">
        <v>40</v>
      </c>
      <c r="N381">
        <v>86</v>
      </c>
    </row>
    <row r="382" spans="1:14">
      <c r="A382" s="25">
        <f t="shared" si="39"/>
        <v>381</v>
      </c>
      <c r="B382" s="67" t="s">
        <v>2</v>
      </c>
      <c r="C382" s="67" t="s">
        <v>339</v>
      </c>
      <c r="D382" s="67" t="s">
        <v>337</v>
      </c>
      <c r="E382" s="22">
        <f t="shared" ca="1" si="40"/>
        <v>40951</v>
      </c>
      <c r="F382" s="11">
        <f>DATE(96,8,21)</f>
        <v>35298</v>
      </c>
      <c r="G382" s="12">
        <f t="shared" ca="1" si="36"/>
        <v>16</v>
      </c>
      <c r="H382" s="12">
        <f t="shared" ca="1" si="37"/>
        <v>-6</v>
      </c>
      <c r="I382" s="13">
        <f t="shared" ca="1" si="38"/>
        <v>-9</v>
      </c>
      <c r="J382" s="14">
        <f t="shared" ca="1" si="35"/>
        <v>15</v>
      </c>
      <c r="K382" s="12" t="s">
        <v>40</v>
      </c>
      <c r="L382" s="15">
        <v>32</v>
      </c>
      <c r="M382" s="25" t="s">
        <v>44</v>
      </c>
      <c r="N382">
        <v>86</v>
      </c>
    </row>
    <row r="383" spans="1:14" ht="15.75" thickBot="1">
      <c r="A383" s="26">
        <f t="shared" si="39"/>
        <v>382</v>
      </c>
      <c r="B383" s="67" t="s">
        <v>2</v>
      </c>
      <c r="C383" s="68" t="s">
        <v>340</v>
      </c>
      <c r="D383" s="68" t="s">
        <v>337</v>
      </c>
      <c r="E383" s="23">
        <f t="shared" ca="1" si="40"/>
        <v>40951</v>
      </c>
      <c r="F383" s="16">
        <f>DATE(97,9,18)</f>
        <v>35691</v>
      </c>
      <c r="G383" s="17">
        <f t="shared" ca="1" si="36"/>
        <v>15</v>
      </c>
      <c r="H383" s="17">
        <f t="shared" ca="1" si="37"/>
        <v>-7</v>
      </c>
      <c r="I383" s="18">
        <f t="shared" ca="1" si="38"/>
        <v>-6</v>
      </c>
      <c r="J383" s="19">
        <f t="shared" ca="1" si="35"/>
        <v>14</v>
      </c>
      <c r="K383" s="17" t="s">
        <v>41</v>
      </c>
      <c r="L383" s="20">
        <v>32</v>
      </c>
      <c r="M383" s="26" t="s">
        <v>44</v>
      </c>
      <c r="N383">
        <v>86</v>
      </c>
    </row>
    <row r="384" spans="1:14">
      <c r="A384" s="24">
        <f t="shared" si="39"/>
        <v>383</v>
      </c>
      <c r="B384" s="66" t="s">
        <v>2</v>
      </c>
      <c r="C384" s="66" t="s">
        <v>341</v>
      </c>
      <c r="D384" s="66" t="s">
        <v>209</v>
      </c>
      <c r="E384" s="21">
        <f t="shared" ca="1" si="40"/>
        <v>40951</v>
      </c>
      <c r="F384" s="6">
        <f>DATE(57,4,22)</f>
        <v>20932</v>
      </c>
      <c r="G384" s="7">
        <f t="shared" ca="1" si="36"/>
        <v>55</v>
      </c>
      <c r="H384" s="7">
        <f t="shared" ca="1" si="37"/>
        <v>-2</v>
      </c>
      <c r="I384" s="8">
        <f t="shared" ca="1" si="38"/>
        <v>-10</v>
      </c>
      <c r="J384" s="9">
        <f t="shared" ca="1" si="35"/>
        <v>54</v>
      </c>
      <c r="K384" s="7" t="s">
        <v>40</v>
      </c>
      <c r="L384" s="10">
        <v>32</v>
      </c>
      <c r="M384" s="24" t="s">
        <v>40</v>
      </c>
      <c r="N384">
        <v>87</v>
      </c>
    </row>
    <row r="385" spans="1:14">
      <c r="A385" s="25">
        <f t="shared" si="39"/>
        <v>384</v>
      </c>
      <c r="B385" s="67" t="s">
        <v>2</v>
      </c>
      <c r="C385" s="67" t="s">
        <v>342</v>
      </c>
      <c r="D385" s="67" t="s">
        <v>341</v>
      </c>
      <c r="E385" s="22">
        <f t="shared" ca="1" si="40"/>
        <v>40951</v>
      </c>
      <c r="F385" s="11">
        <f>DATE(61,6,24)</f>
        <v>22456</v>
      </c>
      <c r="G385" s="12">
        <f t="shared" ca="1" si="36"/>
        <v>51</v>
      </c>
      <c r="H385" s="12">
        <f t="shared" ca="1" si="37"/>
        <v>-4</v>
      </c>
      <c r="I385" s="13">
        <f t="shared" ca="1" si="38"/>
        <v>-12</v>
      </c>
      <c r="J385" s="14">
        <f t="shared" ca="1" si="35"/>
        <v>50</v>
      </c>
      <c r="K385" s="12" t="s">
        <v>41</v>
      </c>
      <c r="L385" s="15">
        <v>32</v>
      </c>
      <c r="M385" s="25" t="s">
        <v>40</v>
      </c>
      <c r="N385">
        <v>87</v>
      </c>
    </row>
    <row r="386" spans="1:14">
      <c r="A386" s="25">
        <f t="shared" si="39"/>
        <v>385</v>
      </c>
      <c r="B386" s="67" t="s">
        <v>2</v>
      </c>
      <c r="C386" s="67" t="s">
        <v>343</v>
      </c>
      <c r="D386" s="67" t="s">
        <v>341</v>
      </c>
      <c r="E386" s="22">
        <f t="shared" ca="1" si="40"/>
        <v>40951</v>
      </c>
      <c r="F386" s="32"/>
      <c r="G386" s="12">
        <f t="shared" ca="1" si="36"/>
        <v>112</v>
      </c>
      <c r="H386" s="12">
        <f t="shared" ca="1" si="37"/>
        <v>1</v>
      </c>
      <c r="I386" s="13">
        <f t="shared" ca="1" si="38"/>
        <v>12</v>
      </c>
      <c r="J386" s="14">
        <f t="shared" ca="1" si="35"/>
        <v>112</v>
      </c>
      <c r="K386" s="12" t="s">
        <v>41</v>
      </c>
      <c r="L386" s="15">
        <v>32</v>
      </c>
      <c r="M386" s="25" t="s">
        <v>40</v>
      </c>
      <c r="N386">
        <v>87</v>
      </c>
    </row>
    <row r="387" spans="1:14">
      <c r="A387" s="25">
        <f t="shared" si="39"/>
        <v>386</v>
      </c>
      <c r="B387" s="67" t="s">
        <v>2</v>
      </c>
      <c r="C387" s="67" t="s">
        <v>280</v>
      </c>
      <c r="D387" s="67" t="s">
        <v>341</v>
      </c>
      <c r="E387" s="22">
        <f t="shared" ca="1" si="40"/>
        <v>40951</v>
      </c>
      <c r="F387" s="11">
        <f>DATE(85,4,30)</f>
        <v>31167</v>
      </c>
      <c r="G387" s="12">
        <f t="shared" ca="1" si="36"/>
        <v>27</v>
      </c>
      <c r="H387" s="12">
        <f t="shared" ca="1" si="37"/>
        <v>-2</v>
      </c>
      <c r="I387" s="13">
        <f t="shared" ca="1" si="38"/>
        <v>-18</v>
      </c>
      <c r="J387" s="14">
        <f t="shared" ref="J387:J450" ca="1" si="41">IF(H387&lt;0,G387-1,IF(H387&gt;0,G387,IF(I387&lt;0,G387-1,G387)))</f>
        <v>26</v>
      </c>
      <c r="K387" s="12" t="s">
        <v>41</v>
      </c>
      <c r="L387" s="15">
        <v>32</v>
      </c>
      <c r="M387" s="25" t="s">
        <v>44</v>
      </c>
      <c r="N387">
        <v>87</v>
      </c>
    </row>
    <row r="388" spans="1:14">
      <c r="A388" s="25">
        <f t="shared" si="39"/>
        <v>387</v>
      </c>
      <c r="B388" s="67" t="s">
        <v>2</v>
      </c>
      <c r="C388" s="67" t="s">
        <v>344</v>
      </c>
      <c r="D388" s="67" t="s">
        <v>341</v>
      </c>
      <c r="E388" s="22">
        <f t="shared" ca="1" si="40"/>
        <v>40951</v>
      </c>
      <c r="F388" s="11">
        <f>DATE(86,10,28)</f>
        <v>31713</v>
      </c>
      <c r="G388" s="12">
        <f t="shared" ca="1" si="36"/>
        <v>26</v>
      </c>
      <c r="H388" s="12">
        <f t="shared" ca="1" si="37"/>
        <v>-8</v>
      </c>
      <c r="I388" s="13">
        <f t="shared" ca="1" si="38"/>
        <v>-16</v>
      </c>
      <c r="J388" s="14">
        <f t="shared" ca="1" si="41"/>
        <v>25</v>
      </c>
      <c r="K388" s="12" t="s">
        <v>41</v>
      </c>
      <c r="L388" s="15">
        <v>32</v>
      </c>
      <c r="M388" s="25" t="s">
        <v>44</v>
      </c>
      <c r="N388">
        <v>87</v>
      </c>
    </row>
    <row r="389" spans="1:14" ht="15.75" thickBot="1">
      <c r="A389" s="26">
        <f t="shared" si="39"/>
        <v>388</v>
      </c>
      <c r="B389" s="67" t="s">
        <v>2</v>
      </c>
      <c r="C389" s="68" t="s">
        <v>107</v>
      </c>
      <c r="D389" s="68" t="s">
        <v>341</v>
      </c>
      <c r="E389" s="23">
        <f t="shared" ca="1" si="40"/>
        <v>40951</v>
      </c>
      <c r="F389" s="16">
        <f>DATE(97,12,25)</f>
        <v>35789</v>
      </c>
      <c r="G389" s="17">
        <f t="shared" ca="1" si="36"/>
        <v>15</v>
      </c>
      <c r="H389" s="17">
        <f t="shared" ca="1" si="37"/>
        <v>-10</v>
      </c>
      <c r="I389" s="18">
        <f t="shared" ca="1" si="38"/>
        <v>-13</v>
      </c>
      <c r="J389" s="19">
        <f t="shared" ca="1" si="41"/>
        <v>14</v>
      </c>
      <c r="K389" s="17" t="s">
        <v>41</v>
      </c>
      <c r="L389" s="20">
        <v>32</v>
      </c>
      <c r="M389" s="26" t="s">
        <v>44</v>
      </c>
      <c r="N389">
        <v>87</v>
      </c>
    </row>
    <row r="390" spans="1:14">
      <c r="A390" s="24">
        <f t="shared" si="39"/>
        <v>389</v>
      </c>
      <c r="B390" s="66" t="s">
        <v>2</v>
      </c>
      <c r="C390" s="66" t="s">
        <v>208</v>
      </c>
      <c r="D390" s="66" t="s">
        <v>316</v>
      </c>
      <c r="E390" s="21">
        <f t="shared" ca="1" si="40"/>
        <v>40951</v>
      </c>
      <c r="F390" s="6">
        <f>DATE(51,9,19)</f>
        <v>18890</v>
      </c>
      <c r="G390" s="7">
        <f t="shared" ca="1" si="36"/>
        <v>61</v>
      </c>
      <c r="H390" s="7">
        <f t="shared" ca="1" si="37"/>
        <v>-7</v>
      </c>
      <c r="I390" s="8">
        <f t="shared" ca="1" si="38"/>
        <v>-7</v>
      </c>
      <c r="J390" s="9">
        <f t="shared" ca="1" si="41"/>
        <v>60</v>
      </c>
      <c r="K390" s="7" t="s">
        <v>40</v>
      </c>
      <c r="L390" s="10">
        <v>33</v>
      </c>
      <c r="M390" s="24" t="s">
        <v>40</v>
      </c>
      <c r="N390">
        <v>88</v>
      </c>
    </row>
    <row r="391" spans="1:14">
      <c r="A391" s="25">
        <f t="shared" si="39"/>
        <v>390</v>
      </c>
      <c r="B391" s="67" t="s">
        <v>2</v>
      </c>
      <c r="C391" s="67" t="s">
        <v>345</v>
      </c>
      <c r="D391" s="67" t="s">
        <v>208</v>
      </c>
      <c r="E391" s="22">
        <f t="shared" ca="1" si="40"/>
        <v>40951</v>
      </c>
      <c r="F391" s="11">
        <f>DATE(56,1,26)</f>
        <v>20480</v>
      </c>
      <c r="G391" s="12">
        <f t="shared" ca="1" si="36"/>
        <v>56</v>
      </c>
      <c r="H391" s="12">
        <f t="shared" ca="1" si="37"/>
        <v>1</v>
      </c>
      <c r="I391" s="13">
        <f t="shared" ca="1" si="38"/>
        <v>-14</v>
      </c>
      <c r="J391" s="14">
        <f t="shared" ca="1" si="41"/>
        <v>56</v>
      </c>
      <c r="K391" s="12" t="s">
        <v>41</v>
      </c>
      <c r="L391" s="15">
        <v>33</v>
      </c>
      <c r="M391" s="25" t="s">
        <v>40</v>
      </c>
      <c r="N391">
        <v>88</v>
      </c>
    </row>
    <row r="392" spans="1:14">
      <c r="A392" s="25">
        <f t="shared" si="39"/>
        <v>391</v>
      </c>
      <c r="B392" s="67" t="s">
        <v>2</v>
      </c>
      <c r="C392" s="67" t="s">
        <v>346</v>
      </c>
      <c r="D392" s="67" t="s">
        <v>208</v>
      </c>
      <c r="E392" s="22">
        <f t="shared" ca="1" si="40"/>
        <v>40951</v>
      </c>
      <c r="F392" s="11">
        <f>DATE(86,9,19)</f>
        <v>31674</v>
      </c>
      <c r="G392" s="12">
        <f t="shared" ca="1" si="36"/>
        <v>26</v>
      </c>
      <c r="H392" s="12">
        <f t="shared" ca="1" si="37"/>
        <v>-7</v>
      </c>
      <c r="I392" s="13">
        <f t="shared" ca="1" si="38"/>
        <v>-7</v>
      </c>
      <c r="J392" s="14">
        <f t="shared" ca="1" si="41"/>
        <v>25</v>
      </c>
      <c r="K392" s="12" t="s">
        <v>40</v>
      </c>
      <c r="L392" s="15">
        <v>33</v>
      </c>
      <c r="M392" s="25" t="s">
        <v>44</v>
      </c>
      <c r="N392">
        <v>88</v>
      </c>
    </row>
    <row r="393" spans="1:14">
      <c r="A393" s="25">
        <f t="shared" si="39"/>
        <v>392</v>
      </c>
      <c r="B393" s="67" t="s">
        <v>2</v>
      </c>
      <c r="C393" s="67" t="s">
        <v>347</v>
      </c>
      <c r="D393" s="67" t="s">
        <v>208</v>
      </c>
      <c r="E393" s="22">
        <f t="shared" ca="1" si="40"/>
        <v>40951</v>
      </c>
      <c r="F393" s="11">
        <f>DATE(88,12,5)</f>
        <v>32482</v>
      </c>
      <c r="G393" s="12">
        <f t="shared" ca="1" si="36"/>
        <v>24</v>
      </c>
      <c r="H393" s="12">
        <f t="shared" ca="1" si="37"/>
        <v>-10</v>
      </c>
      <c r="I393" s="13">
        <f t="shared" ca="1" si="38"/>
        <v>7</v>
      </c>
      <c r="J393" s="14">
        <f t="shared" ca="1" si="41"/>
        <v>23</v>
      </c>
      <c r="K393" s="12" t="s">
        <v>41</v>
      </c>
      <c r="L393" s="15">
        <v>33</v>
      </c>
      <c r="M393" s="25" t="s">
        <v>44</v>
      </c>
      <c r="N393">
        <v>88</v>
      </c>
    </row>
    <row r="394" spans="1:14" ht="15.75" thickBot="1">
      <c r="A394" s="26">
        <f t="shared" si="39"/>
        <v>393</v>
      </c>
      <c r="B394" s="67" t="s">
        <v>2</v>
      </c>
      <c r="C394" s="68" t="s">
        <v>135</v>
      </c>
      <c r="D394" s="68" t="s">
        <v>316</v>
      </c>
      <c r="E394" s="23">
        <f t="shared" ca="1" si="40"/>
        <v>40951</v>
      </c>
      <c r="F394" s="33"/>
      <c r="G394" s="17">
        <f t="shared" ca="1" si="36"/>
        <v>112</v>
      </c>
      <c r="H394" s="17">
        <f t="shared" ca="1" si="37"/>
        <v>1</v>
      </c>
      <c r="I394" s="18">
        <f t="shared" ca="1" si="38"/>
        <v>12</v>
      </c>
      <c r="J394" s="19">
        <f t="shared" ca="1" si="41"/>
        <v>112</v>
      </c>
      <c r="K394" s="17" t="s">
        <v>40</v>
      </c>
      <c r="L394" s="20">
        <v>33</v>
      </c>
      <c r="M394" s="26" t="s">
        <v>44</v>
      </c>
      <c r="N394">
        <v>88</v>
      </c>
    </row>
    <row r="395" spans="1:14">
      <c r="A395" s="24">
        <f t="shared" si="39"/>
        <v>394</v>
      </c>
      <c r="B395" s="66" t="s">
        <v>2</v>
      </c>
      <c r="C395" s="66" t="s">
        <v>348</v>
      </c>
      <c r="D395" s="66" t="s">
        <v>349</v>
      </c>
      <c r="E395" s="21">
        <f t="shared" ca="1" si="40"/>
        <v>40951</v>
      </c>
      <c r="F395" s="6">
        <f>DATE(69,10,3)</f>
        <v>25479</v>
      </c>
      <c r="G395" s="7">
        <f t="shared" ca="1" si="36"/>
        <v>43</v>
      </c>
      <c r="H395" s="7">
        <f t="shared" ca="1" si="37"/>
        <v>-8</v>
      </c>
      <c r="I395" s="8">
        <f t="shared" ca="1" si="38"/>
        <v>9</v>
      </c>
      <c r="J395" s="9">
        <f t="shared" ca="1" si="41"/>
        <v>42</v>
      </c>
      <c r="K395" s="7" t="s">
        <v>40</v>
      </c>
      <c r="L395" s="10">
        <v>33</v>
      </c>
      <c r="M395" s="24" t="s">
        <v>40</v>
      </c>
      <c r="N395">
        <v>89</v>
      </c>
    </row>
    <row r="396" spans="1:14">
      <c r="A396" s="25">
        <f t="shared" si="39"/>
        <v>395</v>
      </c>
      <c r="B396" s="67" t="s">
        <v>2</v>
      </c>
      <c r="C396" s="67" t="s">
        <v>350</v>
      </c>
      <c r="D396" s="67" t="s">
        <v>348</v>
      </c>
      <c r="E396" s="22">
        <f t="shared" ca="1" si="40"/>
        <v>40951</v>
      </c>
      <c r="F396" s="11">
        <f>DATE(74,11,12)</f>
        <v>27345</v>
      </c>
      <c r="G396" s="12">
        <f t="shared" ca="1" si="36"/>
        <v>38</v>
      </c>
      <c r="H396" s="12">
        <f t="shared" ca="1" si="37"/>
        <v>-9</v>
      </c>
      <c r="I396" s="13">
        <f t="shared" ca="1" si="38"/>
        <v>0</v>
      </c>
      <c r="J396" s="14">
        <f t="shared" ca="1" si="41"/>
        <v>37</v>
      </c>
      <c r="K396" s="12" t="s">
        <v>41</v>
      </c>
      <c r="L396" s="15">
        <v>33</v>
      </c>
      <c r="M396" s="25" t="s">
        <v>40</v>
      </c>
      <c r="N396">
        <v>89</v>
      </c>
    </row>
    <row r="397" spans="1:14" ht="15.75" thickBot="1">
      <c r="A397" s="26">
        <f t="shared" si="39"/>
        <v>396</v>
      </c>
      <c r="B397" s="67" t="s">
        <v>2</v>
      </c>
      <c r="C397" s="68" t="s">
        <v>351</v>
      </c>
      <c r="D397" s="68" t="s">
        <v>348</v>
      </c>
      <c r="E397" s="23">
        <f t="shared" ca="1" si="40"/>
        <v>40951</v>
      </c>
      <c r="F397" s="16">
        <f>DATE(98,10,24)</f>
        <v>36092</v>
      </c>
      <c r="G397" s="17">
        <f t="shared" ca="1" si="36"/>
        <v>14</v>
      </c>
      <c r="H397" s="17">
        <f t="shared" ca="1" si="37"/>
        <v>-8</v>
      </c>
      <c r="I397" s="18">
        <f t="shared" ca="1" si="38"/>
        <v>-12</v>
      </c>
      <c r="J397" s="19">
        <f t="shared" ca="1" si="41"/>
        <v>13</v>
      </c>
      <c r="K397" s="17" t="s">
        <v>41</v>
      </c>
      <c r="L397" s="20">
        <v>33</v>
      </c>
      <c r="M397" s="26" t="s">
        <v>44</v>
      </c>
      <c r="N397">
        <v>89</v>
      </c>
    </row>
    <row r="398" spans="1:14">
      <c r="A398" s="24">
        <f t="shared" si="39"/>
        <v>397</v>
      </c>
      <c r="B398" s="66" t="s">
        <v>2</v>
      </c>
      <c r="C398" s="66" t="s">
        <v>353</v>
      </c>
      <c r="D398" s="66" t="s">
        <v>352</v>
      </c>
      <c r="E398" s="21">
        <f t="shared" ca="1" si="40"/>
        <v>40951</v>
      </c>
      <c r="F398" s="6">
        <f>DATE(79,3,7)</f>
        <v>28921</v>
      </c>
      <c r="G398" s="7">
        <f t="shared" ca="1" si="36"/>
        <v>33</v>
      </c>
      <c r="H398" s="7">
        <f t="shared" ca="1" si="37"/>
        <v>-1</v>
      </c>
      <c r="I398" s="8">
        <f t="shared" ca="1" si="38"/>
        <v>5</v>
      </c>
      <c r="J398" s="9">
        <f t="shared" ca="1" si="41"/>
        <v>32</v>
      </c>
      <c r="K398" s="7" t="s">
        <v>40</v>
      </c>
      <c r="L398" s="10">
        <v>34</v>
      </c>
      <c r="M398" s="24" t="s">
        <v>40</v>
      </c>
      <c r="N398">
        <v>90</v>
      </c>
    </row>
    <row r="399" spans="1:14" ht="15.75" thickBot="1">
      <c r="A399" s="26">
        <f t="shared" si="39"/>
        <v>398</v>
      </c>
      <c r="B399" s="67" t="s">
        <v>2</v>
      </c>
      <c r="C399" s="68" t="s">
        <v>354</v>
      </c>
      <c r="D399" s="68" t="s">
        <v>353</v>
      </c>
      <c r="E399" s="23">
        <f t="shared" ca="1" si="40"/>
        <v>40951</v>
      </c>
      <c r="F399" s="16">
        <f>DATE(92,10,30)</f>
        <v>33907</v>
      </c>
      <c r="G399" s="17">
        <f t="shared" ca="1" si="36"/>
        <v>20</v>
      </c>
      <c r="H399" s="17">
        <f t="shared" ca="1" si="37"/>
        <v>-8</v>
      </c>
      <c r="I399" s="18">
        <f t="shared" ca="1" si="38"/>
        <v>-18</v>
      </c>
      <c r="J399" s="19">
        <f t="shared" ca="1" si="41"/>
        <v>19</v>
      </c>
      <c r="K399" s="17" t="s">
        <v>41</v>
      </c>
      <c r="L399" s="20">
        <v>34</v>
      </c>
      <c r="M399" s="26" t="s">
        <v>40</v>
      </c>
      <c r="N399">
        <v>90</v>
      </c>
    </row>
    <row r="400" spans="1:14">
      <c r="A400" s="24">
        <f t="shared" si="39"/>
        <v>399</v>
      </c>
      <c r="B400" s="66" t="s">
        <v>2</v>
      </c>
      <c r="C400" s="66" t="s">
        <v>355</v>
      </c>
      <c r="D400" s="66" t="s">
        <v>356</v>
      </c>
      <c r="E400" s="21">
        <f t="shared" ca="1" si="40"/>
        <v>40951</v>
      </c>
      <c r="F400" s="45"/>
      <c r="G400" s="7">
        <f t="shared" ca="1" si="36"/>
        <v>112</v>
      </c>
      <c r="H400" s="7">
        <f t="shared" ca="1" si="37"/>
        <v>1</v>
      </c>
      <c r="I400" s="8">
        <f t="shared" ca="1" si="38"/>
        <v>12</v>
      </c>
      <c r="J400" s="9">
        <f t="shared" ca="1" si="41"/>
        <v>112</v>
      </c>
      <c r="K400" s="7" t="s">
        <v>40</v>
      </c>
      <c r="L400" s="10">
        <v>34</v>
      </c>
      <c r="M400" s="24" t="s">
        <v>40</v>
      </c>
      <c r="N400">
        <v>91</v>
      </c>
    </row>
    <row r="401" spans="1:14">
      <c r="A401" s="25">
        <f t="shared" si="39"/>
        <v>400</v>
      </c>
      <c r="B401" s="67" t="s">
        <v>2</v>
      </c>
      <c r="C401" s="67" t="s">
        <v>357</v>
      </c>
      <c r="D401" s="67" t="s">
        <v>358</v>
      </c>
      <c r="E401" s="22">
        <f t="shared" ca="1" si="40"/>
        <v>40951</v>
      </c>
      <c r="F401" s="11">
        <f>DATE(60,1,18)</f>
        <v>21933</v>
      </c>
      <c r="G401" s="12">
        <f t="shared" ca="1" si="36"/>
        <v>52</v>
      </c>
      <c r="H401" s="12">
        <f t="shared" ca="1" si="37"/>
        <v>1</v>
      </c>
      <c r="I401" s="13">
        <f t="shared" ca="1" si="38"/>
        <v>-6</v>
      </c>
      <c r="J401" s="14">
        <f t="shared" ca="1" si="41"/>
        <v>52</v>
      </c>
      <c r="K401" s="12" t="s">
        <v>40</v>
      </c>
      <c r="L401" s="15">
        <v>34</v>
      </c>
      <c r="M401" s="25" t="s">
        <v>40</v>
      </c>
      <c r="N401">
        <v>91</v>
      </c>
    </row>
    <row r="402" spans="1:14">
      <c r="A402" s="25">
        <f t="shared" si="39"/>
        <v>401</v>
      </c>
      <c r="B402" s="67" t="s">
        <v>2</v>
      </c>
      <c r="C402" s="67" t="s">
        <v>359</v>
      </c>
      <c r="D402" s="67" t="s">
        <v>360</v>
      </c>
      <c r="E402" s="22">
        <f t="shared" ca="1" si="40"/>
        <v>40951</v>
      </c>
      <c r="F402" s="11">
        <f>DATE(61,11,26)</f>
        <v>22611</v>
      </c>
      <c r="G402" s="12">
        <f t="shared" ca="1" si="36"/>
        <v>51</v>
      </c>
      <c r="H402" s="12">
        <f t="shared" ca="1" si="37"/>
        <v>-9</v>
      </c>
      <c r="I402" s="13">
        <f t="shared" ca="1" si="38"/>
        <v>-14</v>
      </c>
      <c r="J402" s="14">
        <f t="shared" ca="1" si="41"/>
        <v>50</v>
      </c>
      <c r="K402" s="12" t="s">
        <v>41</v>
      </c>
      <c r="L402" s="15">
        <v>34</v>
      </c>
      <c r="M402" s="25" t="s">
        <v>40</v>
      </c>
      <c r="N402">
        <v>91</v>
      </c>
    </row>
    <row r="403" spans="1:14">
      <c r="A403" s="25">
        <f t="shared" si="39"/>
        <v>402</v>
      </c>
      <c r="B403" s="67" t="s">
        <v>2</v>
      </c>
      <c r="C403" s="67" t="s">
        <v>361</v>
      </c>
      <c r="D403" s="67" t="s">
        <v>360</v>
      </c>
      <c r="E403" s="22">
        <f t="shared" ca="1" si="40"/>
        <v>40951</v>
      </c>
      <c r="F403" s="11">
        <f>DATE(87,12,8)</f>
        <v>32119</v>
      </c>
      <c r="G403" s="12">
        <f t="shared" ca="1" si="36"/>
        <v>25</v>
      </c>
      <c r="H403" s="12">
        <f t="shared" ca="1" si="37"/>
        <v>-10</v>
      </c>
      <c r="I403" s="13">
        <f t="shared" ca="1" si="38"/>
        <v>4</v>
      </c>
      <c r="J403" s="14">
        <f t="shared" ca="1" si="41"/>
        <v>24</v>
      </c>
      <c r="K403" s="12" t="s">
        <v>41</v>
      </c>
      <c r="L403" s="15">
        <v>34</v>
      </c>
      <c r="M403" s="25" t="s">
        <v>44</v>
      </c>
      <c r="N403">
        <v>91</v>
      </c>
    </row>
    <row r="404" spans="1:14" ht="15.75" thickBot="1">
      <c r="A404" s="26">
        <f t="shared" si="39"/>
        <v>403</v>
      </c>
      <c r="B404" s="67" t="s">
        <v>2</v>
      </c>
      <c r="C404" s="68" t="s">
        <v>362</v>
      </c>
      <c r="D404" s="68" t="s">
        <v>360</v>
      </c>
      <c r="E404" s="23">
        <f t="shared" ca="1" si="40"/>
        <v>40951</v>
      </c>
      <c r="F404" s="16">
        <f>DATE(94,10,2)</f>
        <v>34609</v>
      </c>
      <c r="G404" s="17">
        <f t="shared" ca="1" si="36"/>
        <v>18</v>
      </c>
      <c r="H404" s="17">
        <f t="shared" ca="1" si="37"/>
        <v>-8</v>
      </c>
      <c r="I404" s="18">
        <f t="shared" ca="1" si="38"/>
        <v>10</v>
      </c>
      <c r="J404" s="19">
        <f t="shared" ca="1" si="41"/>
        <v>17</v>
      </c>
      <c r="K404" s="17" t="s">
        <v>40</v>
      </c>
      <c r="L404" s="20">
        <v>34</v>
      </c>
      <c r="M404" s="26" t="s">
        <v>44</v>
      </c>
      <c r="N404">
        <v>91</v>
      </c>
    </row>
    <row r="405" spans="1:14">
      <c r="A405" s="24">
        <f t="shared" si="39"/>
        <v>404</v>
      </c>
      <c r="B405" s="66" t="s">
        <v>2</v>
      </c>
      <c r="C405" s="66" t="s">
        <v>112</v>
      </c>
      <c r="D405" s="66" t="s">
        <v>363</v>
      </c>
      <c r="E405" s="21">
        <f t="shared" ca="1" si="40"/>
        <v>40951</v>
      </c>
      <c r="F405" s="6">
        <f>DATE(65,6,6)</f>
        <v>23899</v>
      </c>
      <c r="G405" s="7">
        <f t="shared" ca="1" si="36"/>
        <v>47</v>
      </c>
      <c r="H405" s="7">
        <f t="shared" ca="1" si="37"/>
        <v>-4</v>
      </c>
      <c r="I405" s="8">
        <f t="shared" ca="1" si="38"/>
        <v>6</v>
      </c>
      <c r="J405" s="9">
        <f t="shared" ca="1" si="41"/>
        <v>46</v>
      </c>
      <c r="K405" s="7" t="s">
        <v>40</v>
      </c>
      <c r="L405" s="10">
        <v>34</v>
      </c>
      <c r="M405" s="24" t="s">
        <v>40</v>
      </c>
      <c r="N405">
        <v>92</v>
      </c>
    </row>
    <row r="406" spans="1:14">
      <c r="A406" s="25">
        <f t="shared" si="39"/>
        <v>405</v>
      </c>
      <c r="B406" s="67" t="s">
        <v>2</v>
      </c>
      <c r="C406" s="67" t="s">
        <v>364</v>
      </c>
      <c r="D406" s="67" t="s">
        <v>112</v>
      </c>
      <c r="E406" s="22">
        <f t="shared" ca="1" si="40"/>
        <v>40951</v>
      </c>
      <c r="F406" s="11">
        <f>DATE(69,8,28)</f>
        <v>25443</v>
      </c>
      <c r="G406" s="12">
        <f t="shared" ca="1" si="36"/>
        <v>43</v>
      </c>
      <c r="H406" s="12">
        <f t="shared" ca="1" si="37"/>
        <v>-6</v>
      </c>
      <c r="I406" s="13">
        <f t="shared" ca="1" si="38"/>
        <v>-16</v>
      </c>
      <c r="J406" s="14">
        <f t="shared" ca="1" si="41"/>
        <v>42</v>
      </c>
      <c r="K406" s="12" t="s">
        <v>41</v>
      </c>
      <c r="L406" s="15">
        <v>34</v>
      </c>
      <c r="M406" s="25" t="s">
        <v>40</v>
      </c>
      <c r="N406">
        <v>92</v>
      </c>
    </row>
    <row r="407" spans="1:14">
      <c r="A407" s="25">
        <f t="shared" si="39"/>
        <v>406</v>
      </c>
      <c r="B407" s="67" t="s">
        <v>2</v>
      </c>
      <c r="C407" s="67" t="s">
        <v>365</v>
      </c>
      <c r="D407" s="67" t="s">
        <v>112</v>
      </c>
      <c r="E407" s="22">
        <f t="shared" ca="1" si="40"/>
        <v>40951</v>
      </c>
      <c r="F407" s="11">
        <f>DATE(96,2,10)</f>
        <v>35105</v>
      </c>
      <c r="G407" s="12">
        <f t="shared" ca="1" si="36"/>
        <v>16</v>
      </c>
      <c r="H407" s="12">
        <f t="shared" ca="1" si="37"/>
        <v>0</v>
      </c>
      <c r="I407" s="13">
        <f t="shared" ca="1" si="38"/>
        <v>2</v>
      </c>
      <c r="J407" s="14">
        <f t="shared" ca="1" si="41"/>
        <v>16</v>
      </c>
      <c r="K407" s="12" t="s">
        <v>40</v>
      </c>
      <c r="L407" s="15">
        <v>34</v>
      </c>
      <c r="M407" s="25" t="s">
        <v>44</v>
      </c>
      <c r="N407">
        <v>92</v>
      </c>
    </row>
    <row r="408" spans="1:14" ht="15.75" thickBot="1">
      <c r="A408" s="26">
        <f t="shared" si="39"/>
        <v>407</v>
      </c>
      <c r="B408" s="67" t="s">
        <v>2</v>
      </c>
      <c r="C408" s="68" t="s">
        <v>366</v>
      </c>
      <c r="D408" s="68" t="s">
        <v>112</v>
      </c>
      <c r="E408" s="23">
        <f t="shared" ca="1" si="40"/>
        <v>40951</v>
      </c>
      <c r="F408" s="16">
        <f>DATE(97,5,15)</f>
        <v>35565</v>
      </c>
      <c r="G408" s="17">
        <f t="shared" ca="1" si="36"/>
        <v>15</v>
      </c>
      <c r="H408" s="17">
        <f t="shared" ca="1" si="37"/>
        <v>-3</v>
      </c>
      <c r="I408" s="18">
        <f t="shared" ca="1" si="38"/>
        <v>-3</v>
      </c>
      <c r="J408" s="19">
        <f t="shared" ca="1" si="41"/>
        <v>14</v>
      </c>
      <c r="K408" s="17" t="s">
        <v>41</v>
      </c>
      <c r="L408" s="20">
        <v>34</v>
      </c>
      <c r="M408" s="26" t="s">
        <v>44</v>
      </c>
      <c r="N408">
        <v>92</v>
      </c>
    </row>
    <row r="409" spans="1:14">
      <c r="A409" s="24">
        <f t="shared" si="39"/>
        <v>408</v>
      </c>
      <c r="B409" s="66" t="s">
        <v>2</v>
      </c>
      <c r="C409" s="66" t="s">
        <v>367</v>
      </c>
      <c r="D409" s="66" t="s">
        <v>349</v>
      </c>
      <c r="E409" s="21">
        <f t="shared" ca="1" si="40"/>
        <v>40951</v>
      </c>
      <c r="F409" s="6">
        <f>DATE(65,6,6)</f>
        <v>23899</v>
      </c>
      <c r="G409" s="7">
        <f t="shared" ref="G409:G472" ca="1" si="42">YEAR(E409)-YEAR(F409)</f>
        <v>47</v>
      </c>
      <c r="H409" s="7">
        <f t="shared" ref="H409:H472" ca="1" si="43">MONTH(E409)-MONTH(F409)</f>
        <v>-4</v>
      </c>
      <c r="I409" s="8">
        <f t="shared" ref="I409:I472" ca="1" si="44">DAY(E409)-DAY(F409)</f>
        <v>6</v>
      </c>
      <c r="J409" s="9">
        <f t="shared" ca="1" si="41"/>
        <v>46</v>
      </c>
      <c r="K409" s="7" t="s">
        <v>40</v>
      </c>
      <c r="L409" s="10">
        <v>35</v>
      </c>
      <c r="M409" s="24" t="s">
        <v>40</v>
      </c>
      <c r="N409">
        <v>93</v>
      </c>
    </row>
    <row r="410" spans="1:14">
      <c r="A410" s="25">
        <f t="shared" si="39"/>
        <v>409</v>
      </c>
      <c r="B410" s="67" t="s">
        <v>2</v>
      </c>
      <c r="C410" s="67" t="s">
        <v>368</v>
      </c>
      <c r="D410" s="67" t="s">
        <v>367</v>
      </c>
      <c r="E410" s="22">
        <f t="shared" ca="1" si="40"/>
        <v>40951</v>
      </c>
      <c r="F410" s="11">
        <f>DATE(61,8,28)</f>
        <v>22521</v>
      </c>
      <c r="G410" s="12">
        <f t="shared" ca="1" si="42"/>
        <v>51</v>
      </c>
      <c r="H410" s="12">
        <f t="shared" ca="1" si="43"/>
        <v>-6</v>
      </c>
      <c r="I410" s="13">
        <f t="shared" ca="1" si="44"/>
        <v>-16</v>
      </c>
      <c r="J410" s="14">
        <f t="shared" ca="1" si="41"/>
        <v>50</v>
      </c>
      <c r="K410" s="12" t="s">
        <v>41</v>
      </c>
      <c r="L410" s="15">
        <v>35</v>
      </c>
      <c r="M410" s="25" t="s">
        <v>40</v>
      </c>
      <c r="N410">
        <v>93</v>
      </c>
    </row>
    <row r="411" spans="1:14">
      <c r="A411" s="25">
        <f t="shared" si="39"/>
        <v>410</v>
      </c>
      <c r="B411" s="67" t="s">
        <v>2</v>
      </c>
      <c r="C411" s="67" t="s">
        <v>369</v>
      </c>
      <c r="D411" s="67" t="s">
        <v>367</v>
      </c>
      <c r="E411" s="22">
        <f t="shared" ca="1" si="40"/>
        <v>40951</v>
      </c>
      <c r="F411" s="11">
        <f>DATE(93,6,15)</f>
        <v>34135</v>
      </c>
      <c r="G411" s="12">
        <f t="shared" ca="1" si="42"/>
        <v>19</v>
      </c>
      <c r="H411" s="12">
        <f t="shared" ca="1" si="43"/>
        <v>-4</v>
      </c>
      <c r="I411" s="13">
        <f t="shared" ca="1" si="44"/>
        <v>-3</v>
      </c>
      <c r="J411" s="14">
        <f t="shared" ca="1" si="41"/>
        <v>18</v>
      </c>
      <c r="K411" s="12" t="s">
        <v>40</v>
      </c>
      <c r="L411" s="15">
        <v>35</v>
      </c>
      <c r="M411" s="25" t="s">
        <v>44</v>
      </c>
      <c r="N411">
        <v>93</v>
      </c>
    </row>
    <row r="412" spans="1:14" ht="15.75" thickBot="1">
      <c r="A412" s="26">
        <f t="shared" si="39"/>
        <v>411</v>
      </c>
      <c r="B412" s="67" t="s">
        <v>2</v>
      </c>
      <c r="C412" s="68" t="s">
        <v>370</v>
      </c>
      <c r="D412" s="68" t="s">
        <v>367</v>
      </c>
      <c r="E412" s="23">
        <f t="shared" ca="1" si="40"/>
        <v>40951</v>
      </c>
      <c r="F412" s="16">
        <f>DATE(98,6,28)</f>
        <v>35974</v>
      </c>
      <c r="G412" s="17">
        <f t="shared" ca="1" si="42"/>
        <v>14</v>
      </c>
      <c r="H412" s="17">
        <f t="shared" ca="1" si="43"/>
        <v>-4</v>
      </c>
      <c r="I412" s="18">
        <f t="shared" ca="1" si="44"/>
        <v>-16</v>
      </c>
      <c r="J412" s="19">
        <f t="shared" ca="1" si="41"/>
        <v>13</v>
      </c>
      <c r="K412" s="17" t="s">
        <v>40</v>
      </c>
      <c r="L412" s="20">
        <v>35</v>
      </c>
      <c r="M412" s="26" t="s">
        <v>44</v>
      </c>
      <c r="N412">
        <v>93</v>
      </c>
    </row>
    <row r="413" spans="1:14">
      <c r="A413" s="24">
        <f t="shared" si="39"/>
        <v>412</v>
      </c>
      <c r="B413" s="66" t="s">
        <v>2</v>
      </c>
      <c r="C413" s="66" t="s">
        <v>371</v>
      </c>
      <c r="D413" s="66" t="s">
        <v>372</v>
      </c>
      <c r="E413" s="21">
        <f t="shared" ca="1" si="40"/>
        <v>40951</v>
      </c>
      <c r="F413" s="6">
        <f>DATE(43,1,1)</f>
        <v>15707</v>
      </c>
      <c r="G413" s="7">
        <f t="shared" ca="1" si="42"/>
        <v>69</v>
      </c>
      <c r="H413" s="7">
        <f t="shared" ca="1" si="43"/>
        <v>1</v>
      </c>
      <c r="I413" s="8">
        <f t="shared" ca="1" si="44"/>
        <v>11</v>
      </c>
      <c r="J413" s="9">
        <f t="shared" ca="1" si="41"/>
        <v>69</v>
      </c>
      <c r="K413" s="7" t="s">
        <v>40</v>
      </c>
      <c r="L413" s="10">
        <v>35</v>
      </c>
      <c r="M413" s="24" t="s">
        <v>40</v>
      </c>
      <c r="N413">
        <v>94</v>
      </c>
    </row>
    <row r="414" spans="1:14" ht="15.75" thickBot="1">
      <c r="A414" s="26">
        <f t="shared" ref="A414:A477" si="45">A413+1</f>
        <v>413</v>
      </c>
      <c r="B414" s="67" t="s">
        <v>2</v>
      </c>
      <c r="C414" s="68" t="s">
        <v>318</v>
      </c>
      <c r="D414" s="68" t="s">
        <v>371</v>
      </c>
      <c r="E414" s="23">
        <f t="shared" ca="1" si="40"/>
        <v>40951</v>
      </c>
      <c r="F414" s="16">
        <f>DATE(49,5,30)</f>
        <v>18048</v>
      </c>
      <c r="G414" s="17">
        <f t="shared" ca="1" si="42"/>
        <v>63</v>
      </c>
      <c r="H414" s="17">
        <f t="shared" ca="1" si="43"/>
        <v>-3</v>
      </c>
      <c r="I414" s="18">
        <f t="shared" ca="1" si="44"/>
        <v>-18</v>
      </c>
      <c r="J414" s="19">
        <f t="shared" ca="1" si="41"/>
        <v>62</v>
      </c>
      <c r="K414" s="17" t="s">
        <v>41</v>
      </c>
      <c r="L414" s="20">
        <v>35</v>
      </c>
      <c r="M414" s="26" t="s">
        <v>40</v>
      </c>
      <c r="N414">
        <v>94</v>
      </c>
    </row>
    <row r="415" spans="1:14">
      <c r="A415" s="24">
        <f t="shared" si="45"/>
        <v>414</v>
      </c>
      <c r="B415" s="66" t="s">
        <v>2</v>
      </c>
      <c r="C415" s="66" t="s">
        <v>373</v>
      </c>
      <c r="D415" s="66" t="s">
        <v>372</v>
      </c>
      <c r="E415" s="21">
        <f t="shared" ca="1" si="40"/>
        <v>40951</v>
      </c>
      <c r="F415" s="6">
        <f>DATE(48,1,7)</f>
        <v>17539</v>
      </c>
      <c r="G415" s="7">
        <f t="shared" ca="1" si="42"/>
        <v>64</v>
      </c>
      <c r="H415" s="7">
        <f t="shared" ca="1" si="43"/>
        <v>1</v>
      </c>
      <c r="I415" s="8">
        <f t="shared" ca="1" si="44"/>
        <v>5</v>
      </c>
      <c r="J415" s="9">
        <f t="shared" ca="1" si="41"/>
        <v>64</v>
      </c>
      <c r="K415" s="7" t="s">
        <v>40</v>
      </c>
      <c r="L415" s="10">
        <v>35</v>
      </c>
      <c r="M415" s="24" t="s">
        <v>40</v>
      </c>
      <c r="N415">
        <v>95</v>
      </c>
    </row>
    <row r="416" spans="1:14" ht="15.75" thickBot="1">
      <c r="A416" s="26">
        <f t="shared" si="45"/>
        <v>415</v>
      </c>
      <c r="B416" s="67" t="s">
        <v>2</v>
      </c>
      <c r="C416" s="68" t="s">
        <v>261</v>
      </c>
      <c r="D416" s="68" t="s">
        <v>374</v>
      </c>
      <c r="E416" s="23">
        <f t="shared" ca="1" si="40"/>
        <v>40951</v>
      </c>
      <c r="F416" s="16">
        <f>DATE(55,7,7)</f>
        <v>20277</v>
      </c>
      <c r="G416" s="17">
        <f t="shared" ca="1" si="42"/>
        <v>57</v>
      </c>
      <c r="H416" s="17">
        <f t="shared" ca="1" si="43"/>
        <v>-5</v>
      </c>
      <c r="I416" s="18">
        <f t="shared" ca="1" si="44"/>
        <v>5</v>
      </c>
      <c r="J416" s="19">
        <f t="shared" ca="1" si="41"/>
        <v>56</v>
      </c>
      <c r="K416" s="17" t="s">
        <v>41</v>
      </c>
      <c r="L416" s="20">
        <v>35</v>
      </c>
      <c r="M416" s="26" t="s">
        <v>40</v>
      </c>
      <c r="N416">
        <v>95</v>
      </c>
    </row>
    <row r="417" spans="1:14">
      <c r="A417" s="24">
        <f t="shared" si="45"/>
        <v>416</v>
      </c>
      <c r="B417" s="66" t="s">
        <v>2</v>
      </c>
      <c r="C417" s="66" t="s">
        <v>375</v>
      </c>
      <c r="D417" s="66" t="s">
        <v>94</v>
      </c>
      <c r="E417" s="21">
        <f t="shared" ca="1" si="40"/>
        <v>40951</v>
      </c>
      <c r="F417" s="45"/>
      <c r="G417" s="7">
        <f t="shared" ca="1" si="42"/>
        <v>112</v>
      </c>
      <c r="H417" s="7">
        <f t="shared" ca="1" si="43"/>
        <v>1</v>
      </c>
      <c r="I417" s="8">
        <f t="shared" ca="1" si="44"/>
        <v>12</v>
      </c>
      <c r="J417" s="9">
        <f t="shared" ca="1" si="41"/>
        <v>112</v>
      </c>
      <c r="K417" s="7" t="s">
        <v>40</v>
      </c>
      <c r="L417" s="10">
        <v>35</v>
      </c>
      <c r="M417" s="24" t="s">
        <v>40</v>
      </c>
      <c r="N417">
        <v>96</v>
      </c>
    </row>
    <row r="418" spans="1:14">
      <c r="A418" s="25">
        <f t="shared" si="45"/>
        <v>417</v>
      </c>
      <c r="B418" s="67" t="s">
        <v>2</v>
      </c>
      <c r="C418" s="67" t="s">
        <v>113</v>
      </c>
      <c r="D418" s="67" t="s">
        <v>254</v>
      </c>
      <c r="E418" s="22">
        <f t="shared" ref="E418:E481" ca="1" si="46">TODAY()</f>
        <v>40951</v>
      </c>
      <c r="F418" s="11">
        <f>DATE(69,5,4)</f>
        <v>25327</v>
      </c>
      <c r="G418" s="12">
        <f t="shared" ca="1" si="42"/>
        <v>43</v>
      </c>
      <c r="H418" s="12">
        <f t="shared" ca="1" si="43"/>
        <v>-3</v>
      </c>
      <c r="I418" s="13">
        <f t="shared" ca="1" si="44"/>
        <v>8</v>
      </c>
      <c r="J418" s="14">
        <f t="shared" ca="1" si="41"/>
        <v>42</v>
      </c>
      <c r="K418" s="12" t="s">
        <v>41</v>
      </c>
      <c r="L418" s="15">
        <v>35</v>
      </c>
      <c r="M418" s="25" t="s">
        <v>40</v>
      </c>
      <c r="N418">
        <v>96</v>
      </c>
    </row>
    <row r="419" spans="1:14">
      <c r="A419" s="25">
        <f t="shared" si="45"/>
        <v>418</v>
      </c>
      <c r="B419" s="67" t="s">
        <v>2</v>
      </c>
      <c r="C419" s="67" t="s">
        <v>376</v>
      </c>
      <c r="D419" s="67" t="s">
        <v>254</v>
      </c>
      <c r="E419" s="22">
        <f t="shared" ca="1" si="46"/>
        <v>40951</v>
      </c>
      <c r="F419" s="11">
        <f>DATE(90,10,6)</f>
        <v>33152</v>
      </c>
      <c r="G419" s="12">
        <f t="shared" ca="1" si="42"/>
        <v>22</v>
      </c>
      <c r="H419" s="12">
        <f t="shared" ca="1" si="43"/>
        <v>-8</v>
      </c>
      <c r="I419" s="13">
        <f t="shared" ca="1" si="44"/>
        <v>6</v>
      </c>
      <c r="J419" s="14">
        <f t="shared" ca="1" si="41"/>
        <v>21</v>
      </c>
      <c r="K419" s="12" t="s">
        <v>40</v>
      </c>
      <c r="L419" s="15">
        <v>35</v>
      </c>
      <c r="M419" s="25" t="s">
        <v>44</v>
      </c>
      <c r="N419">
        <v>96</v>
      </c>
    </row>
    <row r="420" spans="1:14" ht="15.75" thickBot="1">
      <c r="A420" s="26">
        <f t="shared" si="45"/>
        <v>419</v>
      </c>
      <c r="B420" s="67" t="s">
        <v>2</v>
      </c>
      <c r="C420" s="68" t="s">
        <v>377</v>
      </c>
      <c r="D420" s="68" t="s">
        <v>254</v>
      </c>
      <c r="E420" s="23">
        <f t="shared" ca="1" si="46"/>
        <v>40951</v>
      </c>
      <c r="F420" s="16">
        <f>DATE(95,8,30)</f>
        <v>34941</v>
      </c>
      <c r="G420" s="17">
        <f t="shared" ca="1" si="42"/>
        <v>17</v>
      </c>
      <c r="H420" s="17">
        <f t="shared" ca="1" si="43"/>
        <v>-6</v>
      </c>
      <c r="I420" s="18">
        <f t="shared" ca="1" si="44"/>
        <v>-18</v>
      </c>
      <c r="J420" s="19">
        <f t="shared" ca="1" si="41"/>
        <v>16</v>
      </c>
      <c r="K420" s="17" t="s">
        <v>40</v>
      </c>
      <c r="L420" s="20">
        <v>35</v>
      </c>
      <c r="M420" s="26" t="s">
        <v>44</v>
      </c>
      <c r="N420">
        <v>96</v>
      </c>
    </row>
    <row r="421" spans="1:14">
      <c r="A421" s="24">
        <f t="shared" si="45"/>
        <v>420</v>
      </c>
      <c r="B421" s="66" t="s">
        <v>2</v>
      </c>
      <c r="C421" s="66" t="s">
        <v>378</v>
      </c>
      <c r="D421" s="66" t="s">
        <v>379</v>
      </c>
      <c r="E421" s="21">
        <f t="shared" ca="1" si="46"/>
        <v>40951</v>
      </c>
      <c r="F421" s="6">
        <f>DATE(49,8,1)</f>
        <v>18111</v>
      </c>
      <c r="G421" s="7">
        <f t="shared" ca="1" si="42"/>
        <v>63</v>
      </c>
      <c r="H421" s="7">
        <f t="shared" ca="1" si="43"/>
        <v>-6</v>
      </c>
      <c r="I421" s="8">
        <f t="shared" ca="1" si="44"/>
        <v>11</v>
      </c>
      <c r="J421" s="9">
        <f t="shared" ca="1" si="41"/>
        <v>62</v>
      </c>
      <c r="K421" s="7" t="s">
        <v>40</v>
      </c>
      <c r="L421" s="10">
        <v>36</v>
      </c>
      <c r="M421" s="24" t="s">
        <v>40</v>
      </c>
      <c r="N421">
        <v>97</v>
      </c>
    </row>
    <row r="422" spans="1:14">
      <c r="A422" s="25">
        <f t="shared" si="45"/>
        <v>421</v>
      </c>
      <c r="B422" s="67" t="s">
        <v>2</v>
      </c>
      <c r="C422" s="67" t="s">
        <v>380</v>
      </c>
      <c r="D422" s="67" t="s">
        <v>378</v>
      </c>
      <c r="E422" s="22">
        <f t="shared" ca="1" si="46"/>
        <v>40951</v>
      </c>
      <c r="F422" s="11">
        <f>DATE(52,4,1)</f>
        <v>19085</v>
      </c>
      <c r="G422" s="12">
        <f t="shared" ca="1" si="42"/>
        <v>60</v>
      </c>
      <c r="H422" s="12">
        <f t="shared" ca="1" si="43"/>
        <v>-2</v>
      </c>
      <c r="I422" s="13">
        <f t="shared" ca="1" si="44"/>
        <v>11</v>
      </c>
      <c r="J422" s="14">
        <f t="shared" ca="1" si="41"/>
        <v>59</v>
      </c>
      <c r="K422" s="12" t="s">
        <v>41</v>
      </c>
      <c r="L422" s="15">
        <v>36</v>
      </c>
      <c r="M422" s="25" t="s">
        <v>40</v>
      </c>
      <c r="N422">
        <v>97</v>
      </c>
    </row>
    <row r="423" spans="1:14">
      <c r="A423" s="25">
        <f t="shared" si="45"/>
        <v>422</v>
      </c>
      <c r="B423" s="67" t="s">
        <v>2</v>
      </c>
      <c r="C423" s="71" t="s">
        <v>382</v>
      </c>
      <c r="D423" s="67" t="s">
        <v>378</v>
      </c>
      <c r="E423" s="22">
        <f t="shared" ca="1" si="46"/>
        <v>40951</v>
      </c>
      <c r="F423" s="11">
        <f>DATE(81,2,7)</f>
        <v>29624</v>
      </c>
      <c r="G423" s="12">
        <f t="shared" ca="1" si="42"/>
        <v>31</v>
      </c>
      <c r="H423" s="12">
        <f t="shared" ca="1" si="43"/>
        <v>0</v>
      </c>
      <c r="I423" s="13">
        <f t="shared" ca="1" si="44"/>
        <v>5</v>
      </c>
      <c r="J423" s="14">
        <f t="shared" ca="1" si="41"/>
        <v>31</v>
      </c>
      <c r="K423" s="12" t="s">
        <v>41</v>
      </c>
      <c r="L423" s="15">
        <v>36</v>
      </c>
      <c r="M423" s="25" t="s">
        <v>44</v>
      </c>
      <c r="N423">
        <v>97</v>
      </c>
    </row>
    <row r="424" spans="1:14">
      <c r="A424" s="25">
        <f t="shared" si="45"/>
        <v>423</v>
      </c>
      <c r="B424" s="67" t="s">
        <v>2</v>
      </c>
      <c r="C424" s="67" t="s">
        <v>231</v>
      </c>
      <c r="D424" s="67" t="s">
        <v>378</v>
      </c>
      <c r="E424" s="22">
        <f t="shared" ca="1" si="46"/>
        <v>40951</v>
      </c>
      <c r="F424" s="11">
        <f>DATE(81,12,30)</f>
        <v>29950</v>
      </c>
      <c r="G424" s="12">
        <f t="shared" ca="1" si="42"/>
        <v>31</v>
      </c>
      <c r="H424" s="12">
        <f t="shared" ca="1" si="43"/>
        <v>-10</v>
      </c>
      <c r="I424" s="13">
        <f t="shared" ca="1" si="44"/>
        <v>-18</v>
      </c>
      <c r="J424" s="14">
        <f t="shared" ca="1" si="41"/>
        <v>30</v>
      </c>
      <c r="K424" s="12" t="s">
        <v>41</v>
      </c>
      <c r="L424" s="15">
        <v>36</v>
      </c>
      <c r="M424" s="25" t="s">
        <v>44</v>
      </c>
      <c r="N424">
        <v>97</v>
      </c>
    </row>
    <row r="425" spans="1:14">
      <c r="A425" s="25">
        <f t="shared" si="45"/>
        <v>424</v>
      </c>
      <c r="B425" s="67" t="s">
        <v>2</v>
      </c>
      <c r="C425" s="67" t="s">
        <v>381</v>
      </c>
      <c r="D425" s="67" t="s">
        <v>378</v>
      </c>
      <c r="E425" s="22">
        <f t="shared" ca="1" si="46"/>
        <v>40951</v>
      </c>
      <c r="F425" s="11">
        <f>DATE(83,3,8)</f>
        <v>30383</v>
      </c>
      <c r="G425" s="12">
        <f t="shared" ca="1" si="42"/>
        <v>29</v>
      </c>
      <c r="H425" s="12">
        <f t="shared" ca="1" si="43"/>
        <v>-1</v>
      </c>
      <c r="I425" s="13">
        <f t="shared" ca="1" si="44"/>
        <v>4</v>
      </c>
      <c r="J425" s="14">
        <f t="shared" ca="1" si="41"/>
        <v>28</v>
      </c>
      <c r="K425" s="12" t="s">
        <v>40</v>
      </c>
      <c r="L425" s="15">
        <v>36</v>
      </c>
      <c r="M425" s="25" t="s">
        <v>44</v>
      </c>
      <c r="N425">
        <v>97</v>
      </c>
    </row>
    <row r="426" spans="1:14" ht="15.75" thickBot="1">
      <c r="A426" s="26">
        <f t="shared" si="45"/>
        <v>425</v>
      </c>
      <c r="B426" s="67" t="s">
        <v>2</v>
      </c>
      <c r="C426" s="68" t="s">
        <v>383</v>
      </c>
      <c r="D426" s="68" t="s">
        <v>378</v>
      </c>
      <c r="E426" s="23">
        <f t="shared" ca="1" si="46"/>
        <v>40951</v>
      </c>
      <c r="F426" s="16">
        <f>DATE(88,7,14)</f>
        <v>32338</v>
      </c>
      <c r="G426" s="17">
        <f t="shared" ca="1" si="42"/>
        <v>24</v>
      </c>
      <c r="H426" s="17">
        <f t="shared" ca="1" si="43"/>
        <v>-5</v>
      </c>
      <c r="I426" s="18">
        <f t="shared" ca="1" si="44"/>
        <v>-2</v>
      </c>
      <c r="J426" s="19">
        <f t="shared" ca="1" si="41"/>
        <v>23</v>
      </c>
      <c r="K426" s="17" t="s">
        <v>40</v>
      </c>
      <c r="L426" s="20">
        <v>36</v>
      </c>
      <c r="M426" s="26" t="s">
        <v>44</v>
      </c>
      <c r="N426">
        <v>97</v>
      </c>
    </row>
    <row r="427" spans="1:14">
      <c r="A427" s="24">
        <f t="shared" si="45"/>
        <v>426</v>
      </c>
      <c r="B427" s="66" t="s">
        <v>2</v>
      </c>
      <c r="C427" s="66" t="s">
        <v>384</v>
      </c>
      <c r="D427" s="66" t="s">
        <v>372</v>
      </c>
      <c r="E427" s="21">
        <f t="shared" ca="1" si="46"/>
        <v>40951</v>
      </c>
      <c r="F427" s="6">
        <f>DATE(36,11,5)</f>
        <v>13459</v>
      </c>
      <c r="G427" s="7">
        <f t="shared" ca="1" si="42"/>
        <v>76</v>
      </c>
      <c r="H427" s="7">
        <f t="shared" ca="1" si="43"/>
        <v>-9</v>
      </c>
      <c r="I427" s="8">
        <f t="shared" ca="1" si="44"/>
        <v>7</v>
      </c>
      <c r="J427" s="9">
        <f t="shared" ca="1" si="41"/>
        <v>75</v>
      </c>
      <c r="K427" s="7" t="s">
        <v>40</v>
      </c>
      <c r="L427" s="10">
        <v>36</v>
      </c>
      <c r="M427" s="24" t="s">
        <v>40</v>
      </c>
      <c r="N427">
        <v>98</v>
      </c>
    </row>
    <row r="428" spans="1:14">
      <c r="A428" s="25">
        <f t="shared" si="45"/>
        <v>427</v>
      </c>
      <c r="B428" s="67" t="s">
        <v>2</v>
      </c>
      <c r="C428" s="67" t="s">
        <v>218</v>
      </c>
      <c r="D428" s="67" t="s">
        <v>384</v>
      </c>
      <c r="E428" s="22">
        <f t="shared" ca="1" si="46"/>
        <v>40951</v>
      </c>
      <c r="F428" s="11">
        <f>DATE(41,7,23)</f>
        <v>15180</v>
      </c>
      <c r="G428" s="12">
        <f t="shared" ca="1" si="42"/>
        <v>71</v>
      </c>
      <c r="H428" s="12">
        <f t="shared" ca="1" si="43"/>
        <v>-5</v>
      </c>
      <c r="I428" s="13">
        <f t="shared" ca="1" si="44"/>
        <v>-11</v>
      </c>
      <c r="J428" s="14">
        <f t="shared" ca="1" si="41"/>
        <v>70</v>
      </c>
      <c r="K428" s="12" t="s">
        <v>41</v>
      </c>
      <c r="L428" s="15">
        <v>36</v>
      </c>
      <c r="M428" s="25" t="s">
        <v>40</v>
      </c>
      <c r="N428">
        <v>98</v>
      </c>
    </row>
    <row r="429" spans="1:14">
      <c r="A429" s="25">
        <f t="shared" si="45"/>
        <v>428</v>
      </c>
      <c r="B429" s="67" t="s">
        <v>2</v>
      </c>
      <c r="C429" s="67" t="s">
        <v>114</v>
      </c>
      <c r="D429" s="67" t="s">
        <v>384</v>
      </c>
      <c r="E429" s="22">
        <f t="shared" ca="1" si="46"/>
        <v>40951</v>
      </c>
      <c r="F429" s="11">
        <f>DATE(61,9,7)</f>
        <v>22531</v>
      </c>
      <c r="G429" s="12">
        <f t="shared" ca="1" si="42"/>
        <v>51</v>
      </c>
      <c r="H429" s="12">
        <f t="shared" ca="1" si="43"/>
        <v>-7</v>
      </c>
      <c r="I429" s="13">
        <f t="shared" ca="1" si="44"/>
        <v>5</v>
      </c>
      <c r="J429" s="14">
        <f t="shared" ca="1" si="41"/>
        <v>50</v>
      </c>
      <c r="K429" s="12" t="s">
        <v>40</v>
      </c>
      <c r="L429" s="15">
        <v>36</v>
      </c>
      <c r="M429" s="25" t="s">
        <v>40</v>
      </c>
      <c r="N429">
        <v>98</v>
      </c>
    </row>
    <row r="430" spans="1:14">
      <c r="A430" s="25">
        <f t="shared" si="45"/>
        <v>429</v>
      </c>
      <c r="B430" s="67" t="s">
        <v>2</v>
      </c>
      <c r="C430" s="67" t="s">
        <v>175</v>
      </c>
      <c r="D430" s="67" t="s">
        <v>114</v>
      </c>
      <c r="E430" s="22">
        <f t="shared" ca="1" si="46"/>
        <v>40951</v>
      </c>
      <c r="F430" s="32"/>
      <c r="G430" s="12">
        <f t="shared" ca="1" si="42"/>
        <v>112</v>
      </c>
      <c r="H430" s="12">
        <f t="shared" ca="1" si="43"/>
        <v>1</v>
      </c>
      <c r="I430" s="13">
        <f t="shared" ca="1" si="44"/>
        <v>12</v>
      </c>
      <c r="J430" s="14">
        <f t="shared" ca="1" si="41"/>
        <v>112</v>
      </c>
      <c r="K430" s="12" t="s">
        <v>41</v>
      </c>
      <c r="L430" s="15">
        <v>36</v>
      </c>
      <c r="M430" s="25" t="s">
        <v>40</v>
      </c>
      <c r="N430">
        <v>98</v>
      </c>
    </row>
    <row r="431" spans="1:14">
      <c r="A431" s="25">
        <f t="shared" si="45"/>
        <v>430</v>
      </c>
      <c r="B431" s="67" t="s">
        <v>2</v>
      </c>
      <c r="C431" s="67" t="s">
        <v>385</v>
      </c>
      <c r="D431" s="67" t="s">
        <v>114</v>
      </c>
      <c r="E431" s="22">
        <f t="shared" ca="1" si="46"/>
        <v>40951</v>
      </c>
      <c r="F431" s="11">
        <f>DATE(87,10,5)</f>
        <v>32055</v>
      </c>
      <c r="G431" s="12">
        <f t="shared" ca="1" si="42"/>
        <v>25</v>
      </c>
      <c r="H431" s="12">
        <f t="shared" ca="1" si="43"/>
        <v>-8</v>
      </c>
      <c r="I431" s="13">
        <f t="shared" ca="1" si="44"/>
        <v>7</v>
      </c>
      <c r="J431" s="14">
        <f t="shared" ca="1" si="41"/>
        <v>24</v>
      </c>
      <c r="K431" s="12" t="s">
        <v>41</v>
      </c>
      <c r="L431" s="15">
        <v>36</v>
      </c>
      <c r="M431" s="25" t="s">
        <v>44</v>
      </c>
      <c r="N431">
        <v>98</v>
      </c>
    </row>
    <row r="432" spans="1:14" ht="15.75" thickBot="1">
      <c r="A432" s="26">
        <f t="shared" si="45"/>
        <v>431</v>
      </c>
      <c r="B432" s="67" t="s">
        <v>2</v>
      </c>
      <c r="C432" s="68" t="s">
        <v>386</v>
      </c>
      <c r="D432" s="68" t="s">
        <v>114</v>
      </c>
      <c r="E432" s="23">
        <f t="shared" ca="1" si="46"/>
        <v>40951</v>
      </c>
      <c r="F432" s="16">
        <f>DATE(91,7,5)</f>
        <v>33424</v>
      </c>
      <c r="G432" s="17">
        <f t="shared" ca="1" si="42"/>
        <v>21</v>
      </c>
      <c r="H432" s="17">
        <f t="shared" ca="1" si="43"/>
        <v>-5</v>
      </c>
      <c r="I432" s="18">
        <f t="shared" ca="1" si="44"/>
        <v>7</v>
      </c>
      <c r="J432" s="19">
        <f t="shared" ca="1" si="41"/>
        <v>20</v>
      </c>
      <c r="K432" s="17" t="s">
        <v>40</v>
      </c>
      <c r="L432" s="20">
        <v>36</v>
      </c>
      <c r="M432" s="26" t="s">
        <v>44</v>
      </c>
      <c r="N432">
        <v>98</v>
      </c>
    </row>
    <row r="433" spans="1:14">
      <c r="A433" s="24">
        <f t="shared" si="45"/>
        <v>432</v>
      </c>
      <c r="B433" s="66" t="s">
        <v>2</v>
      </c>
      <c r="C433" s="66" t="s">
        <v>387</v>
      </c>
      <c r="D433" s="66" t="s">
        <v>94</v>
      </c>
      <c r="E433" s="21">
        <f t="shared" ca="1" si="46"/>
        <v>40951</v>
      </c>
      <c r="F433" s="6">
        <f>DATE(56,6,4)</f>
        <v>20610</v>
      </c>
      <c r="G433" s="7">
        <f t="shared" ca="1" si="42"/>
        <v>56</v>
      </c>
      <c r="H433" s="7">
        <f t="shared" ca="1" si="43"/>
        <v>-4</v>
      </c>
      <c r="I433" s="8">
        <f t="shared" ca="1" si="44"/>
        <v>8</v>
      </c>
      <c r="J433" s="9">
        <f t="shared" ca="1" si="41"/>
        <v>55</v>
      </c>
      <c r="K433" s="7" t="s">
        <v>40</v>
      </c>
      <c r="L433" s="10">
        <v>36</v>
      </c>
      <c r="M433" s="24" t="s">
        <v>40</v>
      </c>
      <c r="N433">
        <v>99</v>
      </c>
    </row>
    <row r="434" spans="1:14">
      <c r="A434" s="25">
        <f t="shared" si="45"/>
        <v>433</v>
      </c>
      <c r="B434" s="67" t="s">
        <v>2</v>
      </c>
      <c r="C434" s="67" t="s">
        <v>388</v>
      </c>
      <c r="D434" s="67" t="s">
        <v>387</v>
      </c>
      <c r="E434" s="22">
        <f t="shared" ca="1" si="46"/>
        <v>40951</v>
      </c>
      <c r="F434" s="11">
        <f>DATE(56,4,20)</f>
        <v>20565</v>
      </c>
      <c r="G434" s="12">
        <f t="shared" ca="1" si="42"/>
        <v>56</v>
      </c>
      <c r="H434" s="12">
        <f t="shared" ca="1" si="43"/>
        <v>-2</v>
      </c>
      <c r="I434" s="13">
        <f t="shared" ca="1" si="44"/>
        <v>-8</v>
      </c>
      <c r="J434" s="14">
        <f t="shared" ca="1" si="41"/>
        <v>55</v>
      </c>
      <c r="K434" s="12" t="s">
        <v>41</v>
      </c>
      <c r="L434" s="15">
        <v>36</v>
      </c>
      <c r="M434" s="25" t="s">
        <v>40</v>
      </c>
      <c r="N434">
        <v>99</v>
      </c>
    </row>
    <row r="435" spans="1:14">
      <c r="A435" s="25">
        <f t="shared" si="45"/>
        <v>434</v>
      </c>
      <c r="B435" s="67" t="s">
        <v>2</v>
      </c>
      <c r="C435" s="67" t="s">
        <v>305</v>
      </c>
      <c r="D435" s="67" t="s">
        <v>387</v>
      </c>
      <c r="E435" s="22">
        <f t="shared" ca="1" si="46"/>
        <v>40951</v>
      </c>
      <c r="F435" s="11">
        <f>DATE(82,1,7)</f>
        <v>29958</v>
      </c>
      <c r="G435" s="12">
        <f t="shared" ca="1" si="42"/>
        <v>30</v>
      </c>
      <c r="H435" s="12">
        <f t="shared" ca="1" si="43"/>
        <v>1</v>
      </c>
      <c r="I435" s="13">
        <f t="shared" ca="1" si="44"/>
        <v>5</v>
      </c>
      <c r="J435" s="14">
        <f t="shared" ca="1" si="41"/>
        <v>30</v>
      </c>
      <c r="K435" s="12" t="s">
        <v>40</v>
      </c>
      <c r="L435" s="15">
        <v>36</v>
      </c>
      <c r="M435" s="25" t="s">
        <v>44</v>
      </c>
      <c r="N435">
        <v>99</v>
      </c>
    </row>
    <row r="436" spans="1:14">
      <c r="A436" s="25">
        <f t="shared" si="45"/>
        <v>435</v>
      </c>
      <c r="B436" s="67" t="s">
        <v>2</v>
      </c>
      <c r="C436" s="67" t="s">
        <v>389</v>
      </c>
      <c r="D436" s="67" t="s">
        <v>387</v>
      </c>
      <c r="E436" s="22">
        <f t="shared" ca="1" si="46"/>
        <v>40951</v>
      </c>
      <c r="F436" s="11">
        <f>DATE(86,6,4)</f>
        <v>31567</v>
      </c>
      <c r="G436" s="12">
        <f t="shared" ca="1" si="42"/>
        <v>26</v>
      </c>
      <c r="H436" s="12">
        <f t="shared" ca="1" si="43"/>
        <v>-4</v>
      </c>
      <c r="I436" s="13">
        <f t="shared" ca="1" si="44"/>
        <v>8</v>
      </c>
      <c r="J436" s="14">
        <f t="shared" ca="1" si="41"/>
        <v>25</v>
      </c>
      <c r="K436" s="12" t="s">
        <v>40</v>
      </c>
      <c r="L436" s="15">
        <v>36</v>
      </c>
      <c r="M436" s="25" t="s">
        <v>44</v>
      </c>
      <c r="N436">
        <v>99</v>
      </c>
    </row>
    <row r="437" spans="1:14" ht="15.75" thickBot="1">
      <c r="A437" s="26">
        <f t="shared" si="45"/>
        <v>436</v>
      </c>
      <c r="B437" s="67" t="s">
        <v>2</v>
      </c>
      <c r="C437" s="68" t="s">
        <v>234</v>
      </c>
      <c r="D437" s="68" t="s">
        <v>387</v>
      </c>
      <c r="E437" s="23">
        <f t="shared" ca="1" si="46"/>
        <v>40951</v>
      </c>
      <c r="F437" s="16">
        <f>DATE(88,8,11)</f>
        <v>32366</v>
      </c>
      <c r="G437" s="17">
        <f t="shared" ca="1" si="42"/>
        <v>24</v>
      </c>
      <c r="H437" s="17">
        <f t="shared" ca="1" si="43"/>
        <v>-6</v>
      </c>
      <c r="I437" s="18">
        <f t="shared" ca="1" si="44"/>
        <v>1</v>
      </c>
      <c r="J437" s="19">
        <f t="shared" ca="1" si="41"/>
        <v>23</v>
      </c>
      <c r="K437" s="17" t="s">
        <v>40</v>
      </c>
      <c r="L437" s="20">
        <v>36</v>
      </c>
      <c r="M437" s="26" t="s">
        <v>44</v>
      </c>
      <c r="N437">
        <v>99</v>
      </c>
    </row>
    <row r="438" spans="1:14">
      <c r="A438" s="24">
        <f t="shared" si="45"/>
        <v>437</v>
      </c>
      <c r="B438" s="66" t="s">
        <v>2</v>
      </c>
      <c r="C438" s="66" t="s">
        <v>93</v>
      </c>
      <c r="D438" s="66" t="s">
        <v>390</v>
      </c>
      <c r="E438" s="21">
        <f t="shared" ca="1" si="46"/>
        <v>40951</v>
      </c>
      <c r="F438" s="6">
        <f>DATE(60,3,21)</f>
        <v>21996</v>
      </c>
      <c r="G438" s="7">
        <f t="shared" ca="1" si="42"/>
        <v>52</v>
      </c>
      <c r="H438" s="7">
        <f t="shared" ca="1" si="43"/>
        <v>-1</v>
      </c>
      <c r="I438" s="8">
        <f t="shared" ca="1" si="44"/>
        <v>-9</v>
      </c>
      <c r="J438" s="9">
        <f t="shared" ca="1" si="41"/>
        <v>51</v>
      </c>
      <c r="K438" s="7" t="s">
        <v>40</v>
      </c>
      <c r="L438" s="10">
        <v>37</v>
      </c>
      <c r="M438" s="24" t="s">
        <v>40</v>
      </c>
      <c r="N438">
        <v>100</v>
      </c>
    </row>
    <row r="439" spans="1:14">
      <c r="A439" s="25">
        <f t="shared" si="45"/>
        <v>438</v>
      </c>
      <c r="B439" s="67" t="s">
        <v>2</v>
      </c>
      <c r="C439" s="67" t="s">
        <v>62</v>
      </c>
      <c r="D439" s="67" t="s">
        <v>93</v>
      </c>
      <c r="E439" s="22">
        <f t="shared" ca="1" si="46"/>
        <v>40951</v>
      </c>
      <c r="F439" s="11">
        <f>DATE(66,3,7)</f>
        <v>24173</v>
      </c>
      <c r="G439" s="12">
        <f t="shared" ca="1" si="42"/>
        <v>46</v>
      </c>
      <c r="H439" s="12">
        <f t="shared" ca="1" si="43"/>
        <v>-1</v>
      </c>
      <c r="I439" s="13">
        <f t="shared" ca="1" si="44"/>
        <v>5</v>
      </c>
      <c r="J439" s="14">
        <f t="shared" ca="1" si="41"/>
        <v>45</v>
      </c>
      <c r="K439" s="12" t="s">
        <v>41</v>
      </c>
      <c r="L439" s="15">
        <v>37</v>
      </c>
      <c r="M439" s="25" t="s">
        <v>40</v>
      </c>
      <c r="N439">
        <v>100</v>
      </c>
    </row>
    <row r="440" spans="1:14" ht="15.75" thickBot="1">
      <c r="A440" s="26">
        <f t="shared" si="45"/>
        <v>439</v>
      </c>
      <c r="B440" s="67" t="s">
        <v>2</v>
      </c>
      <c r="C440" s="68" t="s">
        <v>75</v>
      </c>
      <c r="D440" s="68" t="s">
        <v>93</v>
      </c>
      <c r="E440" s="23">
        <f t="shared" ca="1" si="46"/>
        <v>40951</v>
      </c>
      <c r="F440" s="16">
        <f>DATE(94,4,1)</f>
        <v>34425</v>
      </c>
      <c r="G440" s="17">
        <f t="shared" ca="1" si="42"/>
        <v>18</v>
      </c>
      <c r="H440" s="17">
        <f t="shared" ca="1" si="43"/>
        <v>-2</v>
      </c>
      <c r="I440" s="18">
        <f t="shared" ca="1" si="44"/>
        <v>11</v>
      </c>
      <c r="J440" s="19">
        <f t="shared" ca="1" si="41"/>
        <v>17</v>
      </c>
      <c r="K440" s="17" t="s">
        <v>41</v>
      </c>
      <c r="L440" s="20">
        <v>37</v>
      </c>
      <c r="M440" s="26" t="s">
        <v>44</v>
      </c>
      <c r="N440">
        <v>100</v>
      </c>
    </row>
    <row r="441" spans="1:14">
      <c r="A441" s="24">
        <f t="shared" si="45"/>
        <v>440</v>
      </c>
      <c r="B441" s="66" t="s">
        <v>2</v>
      </c>
      <c r="C441" s="66" t="s">
        <v>96</v>
      </c>
      <c r="D441" s="66" t="s">
        <v>391</v>
      </c>
      <c r="E441" s="21">
        <f t="shared" ca="1" si="46"/>
        <v>40951</v>
      </c>
      <c r="F441" s="6">
        <f>DATE(63,8,22)</f>
        <v>23245</v>
      </c>
      <c r="G441" s="7">
        <f t="shared" ca="1" si="42"/>
        <v>49</v>
      </c>
      <c r="H441" s="7">
        <f t="shared" ca="1" si="43"/>
        <v>-6</v>
      </c>
      <c r="I441" s="8">
        <f t="shared" ca="1" si="44"/>
        <v>-10</v>
      </c>
      <c r="J441" s="9">
        <f t="shared" ca="1" si="41"/>
        <v>48</v>
      </c>
      <c r="K441" s="7" t="s">
        <v>40</v>
      </c>
      <c r="L441" s="10">
        <v>37</v>
      </c>
      <c r="M441" s="24" t="s">
        <v>40</v>
      </c>
      <c r="N441">
        <v>101</v>
      </c>
    </row>
    <row r="442" spans="1:14">
      <c r="A442" s="25">
        <f t="shared" si="45"/>
        <v>441</v>
      </c>
      <c r="B442" s="67" t="s">
        <v>2</v>
      </c>
      <c r="C442" s="67" t="s">
        <v>95</v>
      </c>
      <c r="D442" s="67" t="s">
        <v>96</v>
      </c>
      <c r="E442" s="22">
        <f t="shared" ca="1" si="46"/>
        <v>40951</v>
      </c>
      <c r="F442" s="11">
        <f>DATE(70,8,9)</f>
        <v>25789</v>
      </c>
      <c r="G442" s="12">
        <f t="shared" ca="1" si="42"/>
        <v>42</v>
      </c>
      <c r="H442" s="12">
        <f t="shared" ca="1" si="43"/>
        <v>-6</v>
      </c>
      <c r="I442" s="13">
        <f t="shared" ca="1" si="44"/>
        <v>3</v>
      </c>
      <c r="J442" s="14">
        <f t="shared" ca="1" si="41"/>
        <v>41</v>
      </c>
      <c r="K442" s="12" t="s">
        <v>41</v>
      </c>
      <c r="L442" s="15">
        <v>37</v>
      </c>
      <c r="M442" s="25" t="s">
        <v>40</v>
      </c>
      <c r="N442">
        <v>101</v>
      </c>
    </row>
    <row r="443" spans="1:14">
      <c r="A443" s="25">
        <f t="shared" si="45"/>
        <v>442</v>
      </c>
      <c r="B443" s="67" t="s">
        <v>2</v>
      </c>
      <c r="C443" s="67" t="s">
        <v>392</v>
      </c>
      <c r="D443" s="67" t="s">
        <v>96</v>
      </c>
      <c r="E443" s="22">
        <f t="shared" ca="1" si="46"/>
        <v>40951</v>
      </c>
      <c r="F443" s="11">
        <f>DATE(89,11,14)</f>
        <v>32826</v>
      </c>
      <c r="G443" s="12">
        <f t="shared" ca="1" si="42"/>
        <v>23</v>
      </c>
      <c r="H443" s="12">
        <f t="shared" ca="1" si="43"/>
        <v>-9</v>
      </c>
      <c r="I443" s="13">
        <f t="shared" ca="1" si="44"/>
        <v>-2</v>
      </c>
      <c r="J443" s="14">
        <f t="shared" ca="1" si="41"/>
        <v>22</v>
      </c>
      <c r="K443" s="12" t="s">
        <v>40</v>
      </c>
      <c r="L443" s="15">
        <v>37</v>
      </c>
      <c r="M443" s="25" t="s">
        <v>44</v>
      </c>
      <c r="N443">
        <v>101</v>
      </c>
    </row>
    <row r="444" spans="1:14">
      <c r="A444" s="25">
        <f t="shared" si="45"/>
        <v>443</v>
      </c>
      <c r="B444" s="67" t="s">
        <v>2</v>
      </c>
      <c r="C444" s="67" t="s">
        <v>234</v>
      </c>
      <c r="D444" s="67" t="s">
        <v>96</v>
      </c>
      <c r="E444" s="22">
        <f t="shared" ca="1" si="46"/>
        <v>40951</v>
      </c>
      <c r="F444" s="11">
        <f>DATE(92,8,7)</f>
        <v>33823</v>
      </c>
      <c r="G444" s="12">
        <f t="shared" ca="1" si="42"/>
        <v>20</v>
      </c>
      <c r="H444" s="12">
        <f t="shared" ca="1" si="43"/>
        <v>-6</v>
      </c>
      <c r="I444" s="13">
        <f t="shared" ca="1" si="44"/>
        <v>5</v>
      </c>
      <c r="J444" s="14">
        <f t="shared" ca="1" si="41"/>
        <v>19</v>
      </c>
      <c r="K444" s="12" t="s">
        <v>40</v>
      </c>
      <c r="L444" s="15">
        <v>37</v>
      </c>
      <c r="M444" s="25" t="s">
        <v>44</v>
      </c>
      <c r="N444">
        <v>101</v>
      </c>
    </row>
    <row r="445" spans="1:14" ht="15.75" thickBot="1">
      <c r="A445" s="26">
        <f t="shared" si="45"/>
        <v>444</v>
      </c>
      <c r="B445" s="67" t="s">
        <v>2</v>
      </c>
      <c r="C445" s="68" t="s">
        <v>393</v>
      </c>
      <c r="D445" s="68" t="s">
        <v>96</v>
      </c>
      <c r="E445" s="23">
        <f t="shared" ca="1" si="46"/>
        <v>40951</v>
      </c>
      <c r="F445" s="16">
        <f>DATE(98,11,4)</f>
        <v>36103</v>
      </c>
      <c r="G445" s="17">
        <f t="shared" ca="1" si="42"/>
        <v>14</v>
      </c>
      <c r="H445" s="17">
        <f t="shared" ca="1" si="43"/>
        <v>-9</v>
      </c>
      <c r="I445" s="18">
        <f t="shared" ca="1" si="44"/>
        <v>8</v>
      </c>
      <c r="J445" s="19">
        <f t="shared" ca="1" si="41"/>
        <v>13</v>
      </c>
      <c r="K445" s="17" t="s">
        <v>41</v>
      </c>
      <c r="L445" s="20">
        <v>37</v>
      </c>
      <c r="M445" s="26" t="s">
        <v>44</v>
      </c>
      <c r="N445">
        <v>101</v>
      </c>
    </row>
    <row r="446" spans="1:14">
      <c r="A446" s="24">
        <f t="shared" si="45"/>
        <v>445</v>
      </c>
      <c r="B446" s="66" t="s">
        <v>2</v>
      </c>
      <c r="C446" s="66" t="s">
        <v>109</v>
      </c>
      <c r="D446" s="66" t="s">
        <v>394</v>
      </c>
      <c r="E446" s="21">
        <f t="shared" ca="1" si="46"/>
        <v>40951</v>
      </c>
      <c r="F446" s="6">
        <f>DATE(49,3,5)</f>
        <v>17962</v>
      </c>
      <c r="G446" s="7">
        <f t="shared" ca="1" si="42"/>
        <v>63</v>
      </c>
      <c r="H446" s="7">
        <f t="shared" ca="1" si="43"/>
        <v>-1</v>
      </c>
      <c r="I446" s="8">
        <f t="shared" ca="1" si="44"/>
        <v>7</v>
      </c>
      <c r="J446" s="9">
        <f t="shared" ca="1" si="41"/>
        <v>62</v>
      </c>
      <c r="K446" s="7" t="s">
        <v>40</v>
      </c>
      <c r="L446" s="10">
        <v>37</v>
      </c>
      <c r="M446" s="24" t="s">
        <v>40</v>
      </c>
      <c r="N446">
        <v>102</v>
      </c>
    </row>
    <row r="447" spans="1:14">
      <c r="A447" s="25">
        <f t="shared" si="45"/>
        <v>446</v>
      </c>
      <c r="B447" s="67" t="s">
        <v>2</v>
      </c>
      <c r="C447" s="67" t="s">
        <v>395</v>
      </c>
      <c r="D447" s="67" t="s">
        <v>109</v>
      </c>
      <c r="E447" s="22">
        <f t="shared" ca="1" si="46"/>
        <v>40951</v>
      </c>
      <c r="F447" s="11">
        <f>DATE(52,3,12)</f>
        <v>19065</v>
      </c>
      <c r="G447" s="12">
        <f t="shared" ca="1" si="42"/>
        <v>60</v>
      </c>
      <c r="H447" s="12">
        <f t="shared" ca="1" si="43"/>
        <v>-1</v>
      </c>
      <c r="I447" s="13">
        <f t="shared" ca="1" si="44"/>
        <v>0</v>
      </c>
      <c r="J447" s="14">
        <f t="shared" ca="1" si="41"/>
        <v>59</v>
      </c>
      <c r="K447" s="12" t="s">
        <v>41</v>
      </c>
      <c r="L447" s="15">
        <v>37</v>
      </c>
      <c r="M447" s="25" t="s">
        <v>40</v>
      </c>
      <c r="N447">
        <v>102</v>
      </c>
    </row>
    <row r="448" spans="1:14">
      <c r="A448" s="25">
        <f t="shared" si="45"/>
        <v>447</v>
      </c>
      <c r="B448" s="67" t="s">
        <v>2</v>
      </c>
      <c r="C448" s="67" t="s">
        <v>396</v>
      </c>
      <c r="D448" s="67" t="s">
        <v>109</v>
      </c>
      <c r="E448" s="22">
        <f t="shared" ca="1" si="46"/>
        <v>40951</v>
      </c>
      <c r="F448" s="11">
        <f>DATE(73,4,1)</f>
        <v>26755</v>
      </c>
      <c r="G448" s="12">
        <f t="shared" ca="1" si="42"/>
        <v>39</v>
      </c>
      <c r="H448" s="12">
        <f t="shared" ca="1" si="43"/>
        <v>-2</v>
      </c>
      <c r="I448" s="13">
        <f t="shared" ca="1" si="44"/>
        <v>11</v>
      </c>
      <c r="J448" s="14">
        <f t="shared" ca="1" si="41"/>
        <v>38</v>
      </c>
      <c r="K448" s="12" t="s">
        <v>40</v>
      </c>
      <c r="L448" s="15">
        <v>37</v>
      </c>
      <c r="M448" s="25" t="s">
        <v>40</v>
      </c>
      <c r="N448">
        <v>102</v>
      </c>
    </row>
    <row r="449" spans="1:14">
      <c r="A449" s="25">
        <f t="shared" si="45"/>
        <v>448</v>
      </c>
      <c r="B449" s="67" t="s">
        <v>2</v>
      </c>
      <c r="C449" s="67" t="s">
        <v>397</v>
      </c>
      <c r="D449" s="67" t="s">
        <v>396</v>
      </c>
      <c r="E449" s="22">
        <f t="shared" ca="1" si="46"/>
        <v>40951</v>
      </c>
      <c r="F449" s="11">
        <f>DATE(78,11,15)</f>
        <v>28809</v>
      </c>
      <c r="G449" s="12">
        <f t="shared" ca="1" si="42"/>
        <v>34</v>
      </c>
      <c r="H449" s="12">
        <f t="shared" ca="1" si="43"/>
        <v>-9</v>
      </c>
      <c r="I449" s="13">
        <f t="shared" ca="1" si="44"/>
        <v>-3</v>
      </c>
      <c r="J449" s="14">
        <f t="shared" ca="1" si="41"/>
        <v>33</v>
      </c>
      <c r="K449" s="12" t="s">
        <v>41</v>
      </c>
      <c r="L449" s="15">
        <v>37</v>
      </c>
      <c r="M449" s="25" t="s">
        <v>40</v>
      </c>
      <c r="N449">
        <v>102</v>
      </c>
    </row>
    <row r="450" spans="1:14" ht="15.75" thickBot="1">
      <c r="A450" s="26">
        <f t="shared" si="45"/>
        <v>449</v>
      </c>
      <c r="B450" s="67" t="s">
        <v>2</v>
      </c>
      <c r="C450" s="68" t="s">
        <v>398</v>
      </c>
      <c r="D450" s="68" t="s">
        <v>396</v>
      </c>
      <c r="E450" s="23">
        <f t="shared" ca="1" si="46"/>
        <v>40951</v>
      </c>
      <c r="F450" s="16">
        <f>DATE(2002,12,9)</f>
        <v>37599</v>
      </c>
      <c r="G450" s="17">
        <f t="shared" ca="1" si="42"/>
        <v>10</v>
      </c>
      <c r="H450" s="17">
        <f t="shared" ca="1" si="43"/>
        <v>-10</v>
      </c>
      <c r="I450" s="18">
        <f t="shared" ca="1" si="44"/>
        <v>3</v>
      </c>
      <c r="J450" s="19">
        <f t="shared" ca="1" si="41"/>
        <v>9</v>
      </c>
      <c r="K450" s="17" t="s">
        <v>40</v>
      </c>
      <c r="L450" s="20">
        <v>37</v>
      </c>
      <c r="M450" s="26" t="s">
        <v>44</v>
      </c>
      <c r="N450">
        <v>102</v>
      </c>
    </row>
    <row r="451" spans="1:14">
      <c r="A451" s="24">
        <f t="shared" si="45"/>
        <v>450</v>
      </c>
      <c r="B451" s="66" t="s">
        <v>2</v>
      </c>
      <c r="C451" s="66" t="s">
        <v>123</v>
      </c>
      <c r="D451" s="66" t="s">
        <v>358</v>
      </c>
      <c r="E451" s="21">
        <f t="shared" ca="1" si="46"/>
        <v>40951</v>
      </c>
      <c r="F451" s="6">
        <f>DATE(65,6,17)</f>
        <v>23910</v>
      </c>
      <c r="G451" s="7">
        <f t="shared" ca="1" si="42"/>
        <v>47</v>
      </c>
      <c r="H451" s="7">
        <f t="shared" ca="1" si="43"/>
        <v>-4</v>
      </c>
      <c r="I451" s="8">
        <f t="shared" ca="1" si="44"/>
        <v>-5</v>
      </c>
      <c r="J451" s="9">
        <f t="shared" ref="J451:J514" ca="1" si="47">IF(H451&lt;0,G451-1,IF(H451&gt;0,G451,IF(I451&lt;0,G451-1,G451)))</f>
        <v>46</v>
      </c>
      <c r="K451" s="7" t="s">
        <v>40</v>
      </c>
      <c r="L451" s="10">
        <v>38</v>
      </c>
      <c r="M451" s="24" t="s">
        <v>40</v>
      </c>
      <c r="N451">
        <v>103</v>
      </c>
    </row>
    <row r="452" spans="1:14">
      <c r="A452" s="25">
        <f t="shared" si="45"/>
        <v>451</v>
      </c>
      <c r="B452" s="67" t="s">
        <v>2</v>
      </c>
      <c r="C452" s="67" t="s">
        <v>218</v>
      </c>
      <c r="D452" s="67" t="s">
        <v>123</v>
      </c>
      <c r="E452" s="22">
        <f t="shared" ca="1" si="46"/>
        <v>40951</v>
      </c>
      <c r="F452" s="11">
        <f>DATE(65,12,3)</f>
        <v>24079</v>
      </c>
      <c r="G452" s="12">
        <f t="shared" ca="1" si="42"/>
        <v>47</v>
      </c>
      <c r="H452" s="12">
        <f t="shared" ca="1" si="43"/>
        <v>-10</v>
      </c>
      <c r="I452" s="13">
        <f t="shared" ca="1" si="44"/>
        <v>9</v>
      </c>
      <c r="J452" s="14">
        <f t="shared" ca="1" si="47"/>
        <v>46</v>
      </c>
      <c r="K452" s="12" t="s">
        <v>41</v>
      </c>
      <c r="L452" s="15">
        <v>38</v>
      </c>
      <c r="M452" s="25" t="s">
        <v>40</v>
      </c>
      <c r="N452">
        <v>103</v>
      </c>
    </row>
    <row r="453" spans="1:14">
      <c r="A453" s="25">
        <f t="shared" si="45"/>
        <v>452</v>
      </c>
      <c r="B453" s="67" t="s">
        <v>2</v>
      </c>
      <c r="C453" s="67" t="s">
        <v>313</v>
      </c>
      <c r="D453" s="67" t="s">
        <v>123</v>
      </c>
      <c r="E453" s="22">
        <f t="shared" ca="1" si="46"/>
        <v>40951</v>
      </c>
      <c r="F453" s="11">
        <f>DATE(87,10,19)</f>
        <v>32069</v>
      </c>
      <c r="G453" s="12">
        <f t="shared" ca="1" si="42"/>
        <v>25</v>
      </c>
      <c r="H453" s="12">
        <f t="shared" ca="1" si="43"/>
        <v>-8</v>
      </c>
      <c r="I453" s="13">
        <f t="shared" ca="1" si="44"/>
        <v>-7</v>
      </c>
      <c r="J453" s="14">
        <f t="shared" ca="1" si="47"/>
        <v>24</v>
      </c>
      <c r="K453" s="12" t="s">
        <v>41</v>
      </c>
      <c r="L453" s="15">
        <v>38</v>
      </c>
      <c r="M453" s="25" t="s">
        <v>44</v>
      </c>
      <c r="N453">
        <v>103</v>
      </c>
    </row>
    <row r="454" spans="1:14" ht="15.75" thickBot="1">
      <c r="A454" s="26">
        <f t="shared" si="45"/>
        <v>453</v>
      </c>
      <c r="B454" s="67" t="s">
        <v>2</v>
      </c>
      <c r="C454" s="68" t="s">
        <v>183</v>
      </c>
      <c r="D454" s="68" t="s">
        <v>123</v>
      </c>
      <c r="E454" s="23">
        <f t="shared" ca="1" si="46"/>
        <v>40951</v>
      </c>
      <c r="F454" s="16">
        <f>DATE(92,10,10)</f>
        <v>33887</v>
      </c>
      <c r="G454" s="17">
        <f t="shared" ca="1" si="42"/>
        <v>20</v>
      </c>
      <c r="H454" s="17">
        <f t="shared" ca="1" si="43"/>
        <v>-8</v>
      </c>
      <c r="I454" s="18">
        <f t="shared" ca="1" si="44"/>
        <v>2</v>
      </c>
      <c r="J454" s="19">
        <f t="shared" ca="1" si="47"/>
        <v>19</v>
      </c>
      <c r="K454" s="17" t="s">
        <v>40</v>
      </c>
      <c r="L454" s="20">
        <v>38</v>
      </c>
      <c r="M454" s="26" t="s">
        <v>44</v>
      </c>
      <c r="N454">
        <v>103</v>
      </c>
    </row>
    <row r="455" spans="1:14">
      <c r="A455" s="24">
        <f t="shared" si="45"/>
        <v>454</v>
      </c>
      <c r="B455" s="66" t="s">
        <v>2</v>
      </c>
      <c r="C455" s="66" t="s">
        <v>399</v>
      </c>
      <c r="D455" s="66" t="s">
        <v>372</v>
      </c>
      <c r="E455" s="21">
        <f t="shared" ca="1" si="46"/>
        <v>40951</v>
      </c>
      <c r="F455" s="6">
        <f>DATE(41,9,14)</f>
        <v>15233</v>
      </c>
      <c r="G455" s="7">
        <f t="shared" ca="1" si="42"/>
        <v>71</v>
      </c>
      <c r="H455" s="7">
        <f t="shared" ca="1" si="43"/>
        <v>-7</v>
      </c>
      <c r="I455" s="8">
        <f t="shared" ca="1" si="44"/>
        <v>-2</v>
      </c>
      <c r="J455" s="9">
        <f t="shared" ca="1" si="47"/>
        <v>70</v>
      </c>
      <c r="K455" s="7" t="s">
        <v>40</v>
      </c>
      <c r="L455" s="10">
        <v>38</v>
      </c>
      <c r="M455" s="24" t="s">
        <v>40</v>
      </c>
      <c r="N455">
        <v>104</v>
      </c>
    </row>
    <row r="456" spans="1:14">
      <c r="A456" s="25">
        <f t="shared" si="45"/>
        <v>455</v>
      </c>
      <c r="B456" s="67" t="s">
        <v>2</v>
      </c>
      <c r="C456" s="67" t="s">
        <v>400</v>
      </c>
      <c r="D456" s="67" t="s">
        <v>399</v>
      </c>
      <c r="E456" s="22">
        <f t="shared" ca="1" si="46"/>
        <v>40951</v>
      </c>
      <c r="F456" s="11">
        <f>DATE(44,11,15)</f>
        <v>16391</v>
      </c>
      <c r="G456" s="12">
        <f t="shared" ca="1" si="42"/>
        <v>68</v>
      </c>
      <c r="H456" s="12">
        <f t="shared" ca="1" si="43"/>
        <v>-9</v>
      </c>
      <c r="I456" s="13">
        <f t="shared" ca="1" si="44"/>
        <v>-3</v>
      </c>
      <c r="J456" s="14">
        <f t="shared" ca="1" si="47"/>
        <v>67</v>
      </c>
      <c r="K456" s="12" t="s">
        <v>41</v>
      </c>
      <c r="L456" s="15">
        <v>38</v>
      </c>
      <c r="M456" s="25" t="s">
        <v>40</v>
      </c>
      <c r="N456">
        <v>104</v>
      </c>
    </row>
    <row r="457" spans="1:14">
      <c r="A457" s="25">
        <f t="shared" si="45"/>
        <v>456</v>
      </c>
      <c r="B457" s="67" t="s">
        <v>2</v>
      </c>
      <c r="C457" s="67" t="s">
        <v>401</v>
      </c>
      <c r="D457" s="67" t="s">
        <v>399</v>
      </c>
      <c r="E457" s="22">
        <f t="shared" ca="1" si="46"/>
        <v>40951</v>
      </c>
      <c r="F457" s="11">
        <f>DATE(69,6,12)</f>
        <v>25366</v>
      </c>
      <c r="G457" s="12">
        <f t="shared" ca="1" si="42"/>
        <v>43</v>
      </c>
      <c r="H457" s="12">
        <f t="shared" ca="1" si="43"/>
        <v>-4</v>
      </c>
      <c r="I457" s="13">
        <f t="shared" ca="1" si="44"/>
        <v>0</v>
      </c>
      <c r="J457" s="14">
        <f t="shared" ca="1" si="47"/>
        <v>42</v>
      </c>
      <c r="K457" s="12" t="s">
        <v>40</v>
      </c>
      <c r="L457" s="15">
        <v>38</v>
      </c>
      <c r="M457" s="25" t="s">
        <v>40</v>
      </c>
      <c r="N457">
        <v>104</v>
      </c>
    </row>
    <row r="458" spans="1:14">
      <c r="A458" s="25">
        <f t="shared" si="45"/>
        <v>457</v>
      </c>
      <c r="B458" s="67" t="s">
        <v>2</v>
      </c>
      <c r="C458" s="67" t="s">
        <v>402</v>
      </c>
      <c r="D458" s="67" t="s">
        <v>401</v>
      </c>
      <c r="E458" s="22">
        <f t="shared" ca="1" si="46"/>
        <v>40951</v>
      </c>
      <c r="F458" s="11">
        <f>DATE(74,3,20)</f>
        <v>27108</v>
      </c>
      <c r="G458" s="12">
        <f t="shared" ca="1" si="42"/>
        <v>38</v>
      </c>
      <c r="H458" s="12">
        <f t="shared" ca="1" si="43"/>
        <v>-1</v>
      </c>
      <c r="I458" s="13">
        <f t="shared" ca="1" si="44"/>
        <v>-8</v>
      </c>
      <c r="J458" s="14">
        <f t="shared" ca="1" si="47"/>
        <v>37</v>
      </c>
      <c r="K458" s="12" t="s">
        <v>41</v>
      </c>
      <c r="L458" s="15">
        <v>38</v>
      </c>
      <c r="M458" s="25" t="s">
        <v>40</v>
      </c>
      <c r="N458">
        <v>104</v>
      </c>
    </row>
    <row r="459" spans="1:14">
      <c r="A459" s="25">
        <f t="shared" si="45"/>
        <v>458</v>
      </c>
      <c r="B459" s="67" t="s">
        <v>2</v>
      </c>
      <c r="C459" s="67" t="s">
        <v>403</v>
      </c>
      <c r="D459" s="67" t="s">
        <v>401</v>
      </c>
      <c r="E459" s="22">
        <f t="shared" ca="1" si="46"/>
        <v>40951</v>
      </c>
      <c r="F459" s="11">
        <f>DATE(98,1,21)</f>
        <v>35816</v>
      </c>
      <c r="G459" s="12">
        <f t="shared" ca="1" si="42"/>
        <v>14</v>
      </c>
      <c r="H459" s="12">
        <f t="shared" ca="1" si="43"/>
        <v>1</v>
      </c>
      <c r="I459" s="13">
        <f t="shared" ca="1" si="44"/>
        <v>-9</v>
      </c>
      <c r="J459" s="14">
        <f t="shared" ca="1" si="47"/>
        <v>14</v>
      </c>
      <c r="K459" s="12" t="s">
        <v>41</v>
      </c>
      <c r="L459" s="15">
        <v>38</v>
      </c>
      <c r="M459" s="25" t="s">
        <v>44</v>
      </c>
      <c r="N459">
        <v>104</v>
      </c>
    </row>
    <row r="460" spans="1:14">
      <c r="A460" s="25">
        <f t="shared" si="45"/>
        <v>459</v>
      </c>
      <c r="B460" s="67" t="s">
        <v>2</v>
      </c>
      <c r="C460" s="67" t="s">
        <v>404</v>
      </c>
      <c r="D460" s="67" t="s">
        <v>401</v>
      </c>
      <c r="E460" s="22">
        <f t="shared" ca="1" si="46"/>
        <v>40951</v>
      </c>
      <c r="F460" s="11">
        <f>DATE(2000,6,21)</f>
        <v>36698</v>
      </c>
      <c r="G460" s="12">
        <f t="shared" ca="1" si="42"/>
        <v>12</v>
      </c>
      <c r="H460" s="12">
        <f t="shared" ca="1" si="43"/>
        <v>-4</v>
      </c>
      <c r="I460" s="13">
        <f t="shared" ca="1" si="44"/>
        <v>-9</v>
      </c>
      <c r="J460" s="14">
        <f t="shared" ca="1" si="47"/>
        <v>11</v>
      </c>
      <c r="K460" s="12" t="s">
        <v>41</v>
      </c>
      <c r="L460" s="15">
        <v>38</v>
      </c>
      <c r="M460" s="25" t="s">
        <v>44</v>
      </c>
      <c r="N460">
        <v>104</v>
      </c>
    </row>
    <row r="461" spans="1:14">
      <c r="A461" s="25">
        <f t="shared" si="45"/>
        <v>460</v>
      </c>
      <c r="B461" s="67" t="s">
        <v>2</v>
      </c>
      <c r="C461" s="67" t="s">
        <v>405</v>
      </c>
      <c r="D461" s="67" t="s">
        <v>399</v>
      </c>
      <c r="E461" s="22">
        <f t="shared" ca="1" si="46"/>
        <v>40951</v>
      </c>
      <c r="F461" s="11">
        <f>DATE(77,3,16)</f>
        <v>28200</v>
      </c>
      <c r="G461" s="12">
        <f t="shared" ca="1" si="42"/>
        <v>35</v>
      </c>
      <c r="H461" s="12">
        <f t="shared" ca="1" si="43"/>
        <v>-1</v>
      </c>
      <c r="I461" s="13">
        <f t="shared" ca="1" si="44"/>
        <v>-4</v>
      </c>
      <c r="J461" s="14">
        <f t="shared" ca="1" si="47"/>
        <v>34</v>
      </c>
      <c r="K461" s="12" t="s">
        <v>40</v>
      </c>
      <c r="L461" s="15">
        <v>38</v>
      </c>
      <c r="M461" s="25" t="s">
        <v>44</v>
      </c>
      <c r="N461">
        <v>104</v>
      </c>
    </row>
    <row r="462" spans="1:14" ht="15.75" thickBot="1">
      <c r="A462" s="26">
        <f t="shared" si="45"/>
        <v>461</v>
      </c>
      <c r="B462" s="67" t="s">
        <v>2</v>
      </c>
      <c r="C462" s="68" t="s">
        <v>406</v>
      </c>
      <c r="D462" s="68" t="s">
        <v>405</v>
      </c>
      <c r="E462" s="23">
        <f t="shared" ca="1" si="46"/>
        <v>40951</v>
      </c>
      <c r="F462" s="16">
        <f>DATE(83,1,3)</f>
        <v>30319</v>
      </c>
      <c r="G462" s="17">
        <f t="shared" ca="1" si="42"/>
        <v>29</v>
      </c>
      <c r="H462" s="17">
        <f t="shared" ca="1" si="43"/>
        <v>1</v>
      </c>
      <c r="I462" s="18">
        <f t="shared" ca="1" si="44"/>
        <v>9</v>
      </c>
      <c r="J462" s="19">
        <f t="shared" ca="1" si="47"/>
        <v>29</v>
      </c>
      <c r="K462" s="17" t="s">
        <v>41</v>
      </c>
      <c r="L462" s="20">
        <v>38</v>
      </c>
      <c r="M462" s="26" t="s">
        <v>44</v>
      </c>
      <c r="N462">
        <v>104</v>
      </c>
    </row>
    <row r="463" spans="1:14">
      <c r="A463" s="24">
        <f t="shared" si="45"/>
        <v>462</v>
      </c>
      <c r="B463" s="66" t="s">
        <v>2</v>
      </c>
      <c r="C463" s="66" t="s">
        <v>407</v>
      </c>
      <c r="D463" s="66" t="s">
        <v>408</v>
      </c>
      <c r="E463" s="21">
        <f t="shared" ca="1" si="46"/>
        <v>40951</v>
      </c>
      <c r="F463" s="6">
        <f>DATE(49,3,3)</f>
        <v>17960</v>
      </c>
      <c r="G463" s="7">
        <f t="shared" ca="1" si="42"/>
        <v>63</v>
      </c>
      <c r="H463" s="7">
        <f t="shared" ca="1" si="43"/>
        <v>-1</v>
      </c>
      <c r="I463" s="8">
        <f t="shared" ca="1" si="44"/>
        <v>9</v>
      </c>
      <c r="J463" s="9">
        <f t="shared" ca="1" si="47"/>
        <v>62</v>
      </c>
      <c r="K463" s="7" t="s">
        <v>41</v>
      </c>
      <c r="L463" s="10">
        <v>39</v>
      </c>
      <c r="M463" s="24" t="s">
        <v>40</v>
      </c>
      <c r="N463">
        <v>105</v>
      </c>
    </row>
    <row r="464" spans="1:14">
      <c r="A464" s="25">
        <f t="shared" si="45"/>
        <v>463</v>
      </c>
      <c r="B464" s="67" t="s">
        <v>2</v>
      </c>
      <c r="C464" s="67" t="s">
        <v>305</v>
      </c>
      <c r="D464" s="67" t="s">
        <v>408</v>
      </c>
      <c r="E464" s="22">
        <f t="shared" ca="1" si="46"/>
        <v>40951</v>
      </c>
      <c r="F464" s="11">
        <f>DATE(70,8,16)</f>
        <v>25796</v>
      </c>
      <c r="G464" s="12">
        <f t="shared" ca="1" si="42"/>
        <v>42</v>
      </c>
      <c r="H464" s="12">
        <f t="shared" ca="1" si="43"/>
        <v>-6</v>
      </c>
      <c r="I464" s="13">
        <f t="shared" ca="1" si="44"/>
        <v>-4</v>
      </c>
      <c r="J464" s="14">
        <f t="shared" ca="1" si="47"/>
        <v>41</v>
      </c>
      <c r="K464" s="12" t="s">
        <v>40</v>
      </c>
      <c r="L464" s="15">
        <v>39</v>
      </c>
      <c r="M464" s="25" t="s">
        <v>40</v>
      </c>
      <c r="N464">
        <v>105</v>
      </c>
    </row>
    <row r="465" spans="1:14">
      <c r="A465" s="25">
        <f t="shared" si="45"/>
        <v>464</v>
      </c>
      <c r="B465" s="67" t="s">
        <v>2</v>
      </c>
      <c r="C465" s="67" t="s">
        <v>122</v>
      </c>
      <c r="D465" s="67" t="s">
        <v>305</v>
      </c>
      <c r="E465" s="22">
        <f t="shared" ca="1" si="46"/>
        <v>40951</v>
      </c>
      <c r="F465" s="11">
        <f>DATE(75,7,15)</f>
        <v>27590</v>
      </c>
      <c r="G465" s="12">
        <f t="shared" ca="1" si="42"/>
        <v>37</v>
      </c>
      <c r="H465" s="12">
        <f t="shared" ca="1" si="43"/>
        <v>-5</v>
      </c>
      <c r="I465" s="13">
        <f t="shared" ca="1" si="44"/>
        <v>-3</v>
      </c>
      <c r="J465" s="14">
        <f t="shared" ca="1" si="47"/>
        <v>36</v>
      </c>
      <c r="K465" s="12" t="s">
        <v>41</v>
      </c>
      <c r="L465" s="15">
        <v>39</v>
      </c>
      <c r="M465" s="25" t="s">
        <v>40</v>
      </c>
      <c r="N465">
        <v>105</v>
      </c>
    </row>
    <row r="466" spans="1:14">
      <c r="A466" s="25">
        <f t="shared" si="45"/>
        <v>465</v>
      </c>
      <c r="B466" s="67" t="s">
        <v>2</v>
      </c>
      <c r="C466" s="67" t="s">
        <v>203</v>
      </c>
      <c r="D466" s="67" t="s">
        <v>305</v>
      </c>
      <c r="E466" s="22">
        <f t="shared" ca="1" si="46"/>
        <v>40951</v>
      </c>
      <c r="F466" s="11">
        <f>DATE(98,2,14)</f>
        <v>35840</v>
      </c>
      <c r="G466" s="12">
        <f t="shared" ca="1" si="42"/>
        <v>14</v>
      </c>
      <c r="H466" s="12">
        <f t="shared" ca="1" si="43"/>
        <v>0</v>
      </c>
      <c r="I466" s="13">
        <f t="shared" ca="1" si="44"/>
        <v>-2</v>
      </c>
      <c r="J466" s="14">
        <f t="shared" ca="1" si="47"/>
        <v>13</v>
      </c>
      <c r="K466" s="12" t="s">
        <v>40</v>
      </c>
      <c r="L466" s="15">
        <v>39</v>
      </c>
      <c r="M466" s="25" t="s">
        <v>44</v>
      </c>
      <c r="N466">
        <v>105</v>
      </c>
    </row>
    <row r="467" spans="1:14">
      <c r="A467" s="25">
        <f t="shared" si="45"/>
        <v>466</v>
      </c>
      <c r="B467" s="67" t="s">
        <v>2</v>
      </c>
      <c r="C467" s="67" t="s">
        <v>117</v>
      </c>
      <c r="D467" s="67" t="s">
        <v>305</v>
      </c>
      <c r="E467" s="22">
        <f t="shared" ca="1" si="46"/>
        <v>40951</v>
      </c>
      <c r="F467" s="11">
        <f>DATE(4,8,20)</f>
        <v>1694</v>
      </c>
      <c r="G467" s="12">
        <f t="shared" ca="1" si="42"/>
        <v>108</v>
      </c>
      <c r="H467" s="12">
        <f t="shared" ca="1" si="43"/>
        <v>-6</v>
      </c>
      <c r="I467" s="13">
        <f t="shared" ca="1" si="44"/>
        <v>-8</v>
      </c>
      <c r="J467" s="14">
        <f t="shared" ca="1" si="47"/>
        <v>107</v>
      </c>
      <c r="K467" s="12" t="s">
        <v>41</v>
      </c>
      <c r="L467" s="15">
        <v>39</v>
      </c>
      <c r="M467" s="25" t="s">
        <v>44</v>
      </c>
      <c r="N467">
        <v>105</v>
      </c>
    </row>
    <row r="468" spans="1:14">
      <c r="A468" s="25">
        <f t="shared" si="45"/>
        <v>467</v>
      </c>
      <c r="B468" s="67" t="s">
        <v>2</v>
      </c>
      <c r="C468" s="67" t="s">
        <v>234</v>
      </c>
      <c r="D468" s="67" t="s">
        <v>408</v>
      </c>
      <c r="E468" s="22">
        <f t="shared" ca="1" si="46"/>
        <v>40951</v>
      </c>
      <c r="F468" s="11">
        <f>DATE(76,5,27)</f>
        <v>27907</v>
      </c>
      <c r="G468" s="12">
        <f t="shared" ca="1" si="42"/>
        <v>36</v>
      </c>
      <c r="H468" s="12">
        <f t="shared" ca="1" si="43"/>
        <v>-3</v>
      </c>
      <c r="I468" s="13">
        <f t="shared" ca="1" si="44"/>
        <v>-15</v>
      </c>
      <c r="J468" s="14">
        <f t="shared" ca="1" si="47"/>
        <v>35</v>
      </c>
      <c r="K468" s="12" t="s">
        <v>40</v>
      </c>
      <c r="L468" s="15">
        <v>39</v>
      </c>
      <c r="M468" s="25" t="s">
        <v>40</v>
      </c>
      <c r="N468">
        <v>105</v>
      </c>
    </row>
    <row r="469" spans="1:14" ht="15.75" thickBot="1">
      <c r="A469" s="26">
        <f t="shared" si="45"/>
        <v>468</v>
      </c>
      <c r="B469" s="67" t="s">
        <v>2</v>
      </c>
      <c r="C469" s="68" t="s">
        <v>409</v>
      </c>
      <c r="D469" s="68" t="s">
        <v>234</v>
      </c>
      <c r="E469" s="23">
        <f t="shared" ca="1" si="46"/>
        <v>40951</v>
      </c>
      <c r="F469" s="16">
        <f>DATE(80,11,20)</f>
        <v>29545</v>
      </c>
      <c r="G469" s="17">
        <f t="shared" ca="1" si="42"/>
        <v>32</v>
      </c>
      <c r="H469" s="17">
        <f t="shared" ca="1" si="43"/>
        <v>-9</v>
      </c>
      <c r="I469" s="18">
        <f t="shared" ca="1" si="44"/>
        <v>-8</v>
      </c>
      <c r="J469" s="19">
        <f t="shared" ca="1" si="47"/>
        <v>31</v>
      </c>
      <c r="K469" s="17" t="s">
        <v>41</v>
      </c>
      <c r="L469" s="20">
        <v>39</v>
      </c>
      <c r="M469" s="26" t="s">
        <v>40</v>
      </c>
      <c r="N469">
        <v>105</v>
      </c>
    </row>
    <row r="470" spans="1:14">
      <c r="A470" s="24">
        <f t="shared" si="45"/>
        <v>469</v>
      </c>
      <c r="B470" s="66" t="s">
        <v>2</v>
      </c>
      <c r="C470" s="66" t="s">
        <v>410</v>
      </c>
      <c r="D470" s="66" t="s">
        <v>411</v>
      </c>
      <c r="E470" s="21">
        <f t="shared" ca="1" si="46"/>
        <v>40951</v>
      </c>
      <c r="F470" s="6">
        <f>DATE(53,9,15)</f>
        <v>19617</v>
      </c>
      <c r="G470" s="7">
        <f t="shared" ca="1" si="42"/>
        <v>59</v>
      </c>
      <c r="H470" s="7">
        <f t="shared" ca="1" si="43"/>
        <v>-7</v>
      </c>
      <c r="I470" s="8">
        <f t="shared" ca="1" si="44"/>
        <v>-3</v>
      </c>
      <c r="J470" s="9">
        <f t="shared" ca="1" si="47"/>
        <v>58</v>
      </c>
      <c r="K470" s="7" t="s">
        <v>40</v>
      </c>
      <c r="L470" s="10">
        <v>39</v>
      </c>
      <c r="M470" s="24" t="s">
        <v>40</v>
      </c>
      <c r="N470">
        <v>106</v>
      </c>
    </row>
    <row r="471" spans="1:14">
      <c r="A471" s="25">
        <f t="shared" si="45"/>
        <v>470</v>
      </c>
      <c r="B471" s="67" t="s">
        <v>2</v>
      </c>
      <c r="C471" s="67" t="s">
        <v>192</v>
      </c>
      <c r="D471" s="67" t="s">
        <v>410</v>
      </c>
      <c r="E471" s="22">
        <f t="shared" ca="1" si="46"/>
        <v>40951</v>
      </c>
      <c r="F471" s="11">
        <f>DATE(54,10,19)</f>
        <v>20016</v>
      </c>
      <c r="G471" s="12">
        <f t="shared" ca="1" si="42"/>
        <v>58</v>
      </c>
      <c r="H471" s="12">
        <f t="shared" ca="1" si="43"/>
        <v>-8</v>
      </c>
      <c r="I471" s="13">
        <f t="shared" ca="1" si="44"/>
        <v>-7</v>
      </c>
      <c r="J471" s="14">
        <f t="shared" ca="1" si="47"/>
        <v>57</v>
      </c>
      <c r="K471" s="12" t="s">
        <v>41</v>
      </c>
      <c r="L471" s="15">
        <v>39</v>
      </c>
      <c r="M471" s="25" t="s">
        <v>40</v>
      </c>
      <c r="N471">
        <v>106</v>
      </c>
    </row>
    <row r="472" spans="1:14" ht="15.75" thickBot="1">
      <c r="A472" s="26">
        <f t="shared" si="45"/>
        <v>471</v>
      </c>
      <c r="B472" s="67" t="s">
        <v>2</v>
      </c>
      <c r="C472" s="68" t="s">
        <v>140</v>
      </c>
      <c r="D472" s="68" t="s">
        <v>410</v>
      </c>
      <c r="E472" s="23">
        <f t="shared" ca="1" si="46"/>
        <v>40951</v>
      </c>
      <c r="F472" s="16">
        <f>DATE(84,7,28)</f>
        <v>30891</v>
      </c>
      <c r="G472" s="17">
        <f t="shared" ca="1" si="42"/>
        <v>28</v>
      </c>
      <c r="H472" s="17">
        <f t="shared" ca="1" si="43"/>
        <v>-5</v>
      </c>
      <c r="I472" s="18">
        <f t="shared" ca="1" si="44"/>
        <v>-16</v>
      </c>
      <c r="J472" s="19">
        <f t="shared" ca="1" si="47"/>
        <v>27</v>
      </c>
      <c r="K472" s="17" t="s">
        <v>40</v>
      </c>
      <c r="L472" s="20">
        <v>39</v>
      </c>
      <c r="M472" s="26" t="s">
        <v>44</v>
      </c>
      <c r="N472">
        <v>106</v>
      </c>
    </row>
    <row r="473" spans="1:14">
      <c r="A473" s="24">
        <f t="shared" si="45"/>
        <v>472</v>
      </c>
      <c r="B473" s="66" t="s">
        <v>2</v>
      </c>
      <c r="C473" s="66" t="s">
        <v>412</v>
      </c>
      <c r="D473" s="66" t="s">
        <v>372</v>
      </c>
      <c r="E473" s="21">
        <f t="shared" ca="1" si="46"/>
        <v>40951</v>
      </c>
      <c r="F473" s="6">
        <f>DATE(50,2,25)</f>
        <v>18319</v>
      </c>
      <c r="G473" s="7">
        <f t="shared" ref="G473:G536" ca="1" si="48">YEAR(E473)-YEAR(F473)</f>
        <v>62</v>
      </c>
      <c r="H473" s="7">
        <f t="shared" ref="H473:H536" ca="1" si="49">MONTH(E473)-MONTH(F473)</f>
        <v>0</v>
      </c>
      <c r="I473" s="8">
        <f t="shared" ref="I473:I536" ca="1" si="50">DAY(E473)-DAY(F473)</f>
        <v>-13</v>
      </c>
      <c r="J473" s="9">
        <f t="shared" ca="1" si="47"/>
        <v>61</v>
      </c>
      <c r="K473" s="7" t="s">
        <v>40</v>
      </c>
      <c r="L473" s="10">
        <v>40</v>
      </c>
      <c r="M473" s="24" t="s">
        <v>40</v>
      </c>
      <c r="N473">
        <v>107</v>
      </c>
    </row>
    <row r="474" spans="1:14">
      <c r="A474" s="25">
        <f t="shared" si="45"/>
        <v>473</v>
      </c>
      <c r="B474" s="67" t="s">
        <v>2</v>
      </c>
      <c r="C474" s="67" t="s">
        <v>102</v>
      </c>
      <c r="D474" s="67" t="s">
        <v>412</v>
      </c>
      <c r="E474" s="22">
        <f t="shared" ca="1" si="46"/>
        <v>40951</v>
      </c>
      <c r="F474" s="11">
        <f>DATE(52,12,25)</f>
        <v>19353</v>
      </c>
      <c r="G474" s="12">
        <f t="shared" ca="1" si="48"/>
        <v>60</v>
      </c>
      <c r="H474" s="12">
        <f t="shared" ca="1" si="49"/>
        <v>-10</v>
      </c>
      <c r="I474" s="13">
        <f t="shared" ca="1" si="50"/>
        <v>-13</v>
      </c>
      <c r="J474" s="14">
        <f t="shared" ca="1" si="47"/>
        <v>59</v>
      </c>
      <c r="K474" s="12" t="s">
        <v>41</v>
      </c>
      <c r="L474" s="15">
        <v>40</v>
      </c>
      <c r="M474" s="25" t="s">
        <v>40</v>
      </c>
      <c r="N474">
        <v>107</v>
      </c>
    </row>
    <row r="475" spans="1:14">
      <c r="A475" s="25">
        <f t="shared" si="45"/>
        <v>474</v>
      </c>
      <c r="B475" s="67" t="s">
        <v>2</v>
      </c>
      <c r="C475" s="67" t="s">
        <v>169</v>
      </c>
      <c r="D475" s="67" t="s">
        <v>412</v>
      </c>
      <c r="E475" s="22">
        <f t="shared" ca="1" si="46"/>
        <v>40951</v>
      </c>
      <c r="F475" s="11">
        <f>DATE(76,3,13)</f>
        <v>27832</v>
      </c>
      <c r="G475" s="12">
        <f t="shared" ca="1" si="48"/>
        <v>36</v>
      </c>
      <c r="H475" s="12">
        <f t="shared" ca="1" si="49"/>
        <v>-1</v>
      </c>
      <c r="I475" s="13">
        <f t="shared" ca="1" si="50"/>
        <v>-1</v>
      </c>
      <c r="J475" s="14">
        <f t="shared" ca="1" si="47"/>
        <v>35</v>
      </c>
      <c r="K475" s="12" t="s">
        <v>40</v>
      </c>
      <c r="L475" s="15">
        <v>40</v>
      </c>
      <c r="M475" s="25" t="s">
        <v>40</v>
      </c>
      <c r="N475">
        <v>107</v>
      </c>
    </row>
    <row r="476" spans="1:14">
      <c r="A476" s="25">
        <f t="shared" si="45"/>
        <v>475</v>
      </c>
      <c r="B476" s="67" t="s">
        <v>2</v>
      </c>
      <c r="C476" s="67" t="s">
        <v>231</v>
      </c>
      <c r="D476" s="67" t="s">
        <v>169</v>
      </c>
      <c r="E476" s="22">
        <f t="shared" ca="1" si="46"/>
        <v>40951</v>
      </c>
      <c r="F476" s="11">
        <f>DATE(78,4,10)</f>
        <v>28590</v>
      </c>
      <c r="G476" s="12">
        <f t="shared" ca="1" si="48"/>
        <v>34</v>
      </c>
      <c r="H476" s="12">
        <f t="shared" ca="1" si="49"/>
        <v>-2</v>
      </c>
      <c r="I476" s="13">
        <f t="shared" ca="1" si="50"/>
        <v>2</v>
      </c>
      <c r="J476" s="14">
        <f t="shared" ca="1" si="47"/>
        <v>33</v>
      </c>
      <c r="K476" s="12" t="s">
        <v>41</v>
      </c>
      <c r="L476" s="15">
        <v>40</v>
      </c>
      <c r="M476" s="25" t="s">
        <v>40</v>
      </c>
      <c r="N476">
        <v>107</v>
      </c>
    </row>
    <row r="477" spans="1:14">
      <c r="A477" s="25">
        <f t="shared" si="45"/>
        <v>476</v>
      </c>
      <c r="B477" s="67" t="s">
        <v>2</v>
      </c>
      <c r="C477" s="67" t="s">
        <v>413</v>
      </c>
      <c r="D477" s="67" t="s">
        <v>169</v>
      </c>
      <c r="E477" s="22">
        <f t="shared" ca="1" si="46"/>
        <v>40951</v>
      </c>
      <c r="F477" s="11">
        <f>DATE(2002,10,26)</f>
        <v>37555</v>
      </c>
      <c r="G477" s="12">
        <f t="shared" ca="1" si="48"/>
        <v>10</v>
      </c>
      <c r="H477" s="12">
        <f t="shared" ca="1" si="49"/>
        <v>-8</v>
      </c>
      <c r="I477" s="13">
        <f t="shared" ca="1" si="50"/>
        <v>-14</v>
      </c>
      <c r="J477" s="14">
        <f t="shared" ca="1" si="47"/>
        <v>9</v>
      </c>
      <c r="K477" s="12" t="s">
        <v>41</v>
      </c>
      <c r="L477" s="15">
        <v>40</v>
      </c>
      <c r="M477" s="25" t="s">
        <v>44</v>
      </c>
      <c r="N477">
        <v>107</v>
      </c>
    </row>
    <row r="478" spans="1:14">
      <c r="A478" s="25">
        <f t="shared" ref="A478:A541" si="51">A477+1</f>
        <v>477</v>
      </c>
      <c r="B478" s="67" t="s">
        <v>2</v>
      </c>
      <c r="C478" s="67" t="s">
        <v>301</v>
      </c>
      <c r="D478" s="67" t="s">
        <v>412</v>
      </c>
      <c r="E478" s="22">
        <f t="shared" ca="1" si="46"/>
        <v>40951</v>
      </c>
      <c r="F478" s="11">
        <f>DATE(80,2,24)</f>
        <v>29275</v>
      </c>
      <c r="G478" s="12">
        <f t="shared" ca="1" si="48"/>
        <v>32</v>
      </c>
      <c r="H478" s="12">
        <f t="shared" ca="1" si="49"/>
        <v>0</v>
      </c>
      <c r="I478" s="13">
        <f t="shared" ca="1" si="50"/>
        <v>-12</v>
      </c>
      <c r="J478" s="14">
        <f t="shared" ca="1" si="47"/>
        <v>31</v>
      </c>
      <c r="K478" s="12" t="s">
        <v>40</v>
      </c>
      <c r="L478" s="15">
        <v>40</v>
      </c>
      <c r="M478" s="25" t="s">
        <v>40</v>
      </c>
      <c r="N478">
        <v>107</v>
      </c>
    </row>
    <row r="479" spans="1:14" ht="15.75" thickBot="1">
      <c r="A479" s="26">
        <f t="shared" si="51"/>
        <v>478</v>
      </c>
      <c r="B479" s="67" t="s">
        <v>2</v>
      </c>
      <c r="C479" s="68" t="s">
        <v>288</v>
      </c>
      <c r="D479" s="68" t="s">
        <v>301</v>
      </c>
      <c r="E479" s="23">
        <f t="shared" ca="1" si="46"/>
        <v>40951</v>
      </c>
      <c r="F479" s="16">
        <f>DATE(83,6,22)</f>
        <v>30489</v>
      </c>
      <c r="G479" s="17">
        <f t="shared" ca="1" si="48"/>
        <v>29</v>
      </c>
      <c r="H479" s="17">
        <f t="shared" ca="1" si="49"/>
        <v>-4</v>
      </c>
      <c r="I479" s="18">
        <f t="shared" ca="1" si="50"/>
        <v>-10</v>
      </c>
      <c r="J479" s="19">
        <f t="shared" ca="1" si="47"/>
        <v>28</v>
      </c>
      <c r="K479" s="17" t="s">
        <v>41</v>
      </c>
      <c r="L479" s="20">
        <v>40</v>
      </c>
      <c r="M479" s="26" t="s">
        <v>40</v>
      </c>
      <c r="N479">
        <v>107</v>
      </c>
    </row>
    <row r="480" spans="1:14">
      <c r="A480" s="24">
        <f t="shared" si="51"/>
        <v>479</v>
      </c>
      <c r="B480" s="66" t="s">
        <v>2</v>
      </c>
      <c r="C480" s="66" t="s">
        <v>414</v>
      </c>
      <c r="D480" s="66" t="s">
        <v>209</v>
      </c>
      <c r="E480" s="21">
        <f t="shared" ca="1" si="46"/>
        <v>40951</v>
      </c>
      <c r="F480" s="6">
        <f>DATE(41,8,10)</f>
        <v>15198</v>
      </c>
      <c r="G480" s="7">
        <f t="shared" ca="1" si="48"/>
        <v>71</v>
      </c>
      <c r="H480" s="7">
        <f t="shared" ca="1" si="49"/>
        <v>-6</v>
      </c>
      <c r="I480" s="8">
        <f t="shared" ca="1" si="50"/>
        <v>2</v>
      </c>
      <c r="J480" s="9">
        <f t="shared" ca="1" si="47"/>
        <v>70</v>
      </c>
      <c r="K480" s="7" t="s">
        <v>40</v>
      </c>
      <c r="L480" s="10">
        <v>40</v>
      </c>
      <c r="M480" s="24" t="s">
        <v>40</v>
      </c>
      <c r="N480">
        <v>108</v>
      </c>
    </row>
    <row r="481" spans="1:14">
      <c r="A481" s="25">
        <f t="shared" si="51"/>
        <v>480</v>
      </c>
      <c r="B481" s="67" t="s">
        <v>2</v>
      </c>
      <c r="C481" s="67" t="s">
        <v>415</v>
      </c>
      <c r="D481" s="67" t="s">
        <v>414</v>
      </c>
      <c r="E481" s="22">
        <f t="shared" ca="1" si="46"/>
        <v>40951</v>
      </c>
      <c r="F481" s="11">
        <f>DATE(40,8,9)</f>
        <v>14832</v>
      </c>
      <c r="G481" s="12">
        <f t="shared" ca="1" si="48"/>
        <v>72</v>
      </c>
      <c r="H481" s="12">
        <f t="shared" ca="1" si="49"/>
        <v>-6</v>
      </c>
      <c r="I481" s="13">
        <f t="shared" ca="1" si="50"/>
        <v>3</v>
      </c>
      <c r="J481" s="14">
        <f t="shared" ca="1" si="47"/>
        <v>71</v>
      </c>
      <c r="K481" s="12" t="s">
        <v>41</v>
      </c>
      <c r="L481" s="15">
        <v>40</v>
      </c>
      <c r="M481" s="25" t="s">
        <v>40</v>
      </c>
      <c r="N481">
        <v>108</v>
      </c>
    </row>
    <row r="482" spans="1:14">
      <c r="A482" s="25">
        <f t="shared" si="51"/>
        <v>481</v>
      </c>
      <c r="B482" s="67" t="s">
        <v>2</v>
      </c>
      <c r="C482" s="67" t="s">
        <v>416</v>
      </c>
      <c r="D482" s="67" t="s">
        <v>414</v>
      </c>
      <c r="E482" s="22">
        <f t="shared" ref="E482:E545" ca="1" si="52">TODAY()</f>
        <v>40951</v>
      </c>
      <c r="F482" s="11">
        <f>DATE(70,2,3)</f>
        <v>25602</v>
      </c>
      <c r="G482" s="12">
        <f t="shared" ca="1" si="48"/>
        <v>42</v>
      </c>
      <c r="H482" s="12">
        <f t="shared" ca="1" si="49"/>
        <v>0</v>
      </c>
      <c r="I482" s="13">
        <f t="shared" ca="1" si="50"/>
        <v>9</v>
      </c>
      <c r="J482" s="14">
        <f t="shared" ca="1" si="47"/>
        <v>42</v>
      </c>
      <c r="K482" s="12" t="s">
        <v>40</v>
      </c>
      <c r="L482" s="15">
        <v>40</v>
      </c>
      <c r="M482" s="25" t="s">
        <v>40</v>
      </c>
      <c r="N482">
        <v>108</v>
      </c>
    </row>
    <row r="483" spans="1:14">
      <c r="A483" s="25">
        <f t="shared" si="51"/>
        <v>482</v>
      </c>
      <c r="B483" s="67" t="s">
        <v>2</v>
      </c>
      <c r="C483" s="67" t="s">
        <v>364</v>
      </c>
      <c r="D483" s="67" t="s">
        <v>416</v>
      </c>
      <c r="E483" s="22">
        <f t="shared" ca="1" si="52"/>
        <v>40951</v>
      </c>
      <c r="F483" s="11">
        <f>DATE(74,3,16)</f>
        <v>27104</v>
      </c>
      <c r="G483" s="12">
        <f t="shared" ca="1" si="48"/>
        <v>38</v>
      </c>
      <c r="H483" s="12">
        <f t="shared" ca="1" si="49"/>
        <v>-1</v>
      </c>
      <c r="I483" s="13">
        <f t="shared" ca="1" si="50"/>
        <v>-4</v>
      </c>
      <c r="J483" s="14">
        <f t="shared" ca="1" si="47"/>
        <v>37</v>
      </c>
      <c r="K483" s="12" t="s">
        <v>41</v>
      </c>
      <c r="L483" s="15">
        <v>40</v>
      </c>
      <c r="M483" s="25" t="s">
        <v>40</v>
      </c>
      <c r="N483">
        <v>108</v>
      </c>
    </row>
    <row r="484" spans="1:14">
      <c r="A484" s="25">
        <f t="shared" si="51"/>
        <v>483</v>
      </c>
      <c r="B484" s="67" t="s">
        <v>2</v>
      </c>
      <c r="C484" s="67" t="s">
        <v>351</v>
      </c>
      <c r="D484" s="67" t="s">
        <v>416</v>
      </c>
      <c r="E484" s="22">
        <f t="shared" ca="1" si="52"/>
        <v>40951</v>
      </c>
      <c r="F484" s="11">
        <f>DATE(97,1,22)</f>
        <v>35452</v>
      </c>
      <c r="G484" s="12">
        <f t="shared" ca="1" si="48"/>
        <v>15</v>
      </c>
      <c r="H484" s="12">
        <f t="shared" ca="1" si="49"/>
        <v>1</v>
      </c>
      <c r="I484" s="13">
        <f t="shared" ca="1" si="50"/>
        <v>-10</v>
      </c>
      <c r="J484" s="14">
        <f t="shared" ca="1" si="47"/>
        <v>15</v>
      </c>
      <c r="K484" s="12" t="s">
        <v>41</v>
      </c>
      <c r="L484" s="15">
        <v>40</v>
      </c>
      <c r="M484" s="25" t="s">
        <v>44</v>
      </c>
      <c r="N484">
        <v>108</v>
      </c>
    </row>
    <row r="485" spans="1:14" ht="15.75" thickBot="1">
      <c r="A485" s="26">
        <f t="shared" si="51"/>
        <v>484</v>
      </c>
      <c r="B485" s="67" t="s">
        <v>2</v>
      </c>
      <c r="C485" s="68" t="s">
        <v>202</v>
      </c>
      <c r="D485" s="68" t="s">
        <v>416</v>
      </c>
      <c r="E485" s="23">
        <f t="shared" ca="1" si="52"/>
        <v>40951</v>
      </c>
      <c r="F485" s="16">
        <f>DATE(83,6,22)</f>
        <v>30489</v>
      </c>
      <c r="G485" s="17">
        <f t="shared" ca="1" si="48"/>
        <v>29</v>
      </c>
      <c r="H485" s="17">
        <f t="shared" ca="1" si="49"/>
        <v>-4</v>
      </c>
      <c r="I485" s="18">
        <f t="shared" ca="1" si="50"/>
        <v>-10</v>
      </c>
      <c r="J485" s="19">
        <f t="shared" ca="1" si="47"/>
        <v>28</v>
      </c>
      <c r="K485" s="17" t="s">
        <v>41</v>
      </c>
      <c r="L485" s="20">
        <v>40</v>
      </c>
      <c r="M485" s="26" t="s">
        <v>44</v>
      </c>
      <c r="N485">
        <v>108</v>
      </c>
    </row>
    <row r="486" spans="1:14">
      <c r="A486" s="24">
        <f t="shared" si="51"/>
        <v>485</v>
      </c>
      <c r="B486" s="66" t="s">
        <v>7</v>
      </c>
      <c r="C486" s="66" t="s">
        <v>162</v>
      </c>
      <c r="D486" s="66" t="s">
        <v>417</v>
      </c>
      <c r="E486" s="21">
        <f t="shared" ca="1" si="52"/>
        <v>40951</v>
      </c>
      <c r="F486" s="6">
        <f>DATE(47,10,22)</f>
        <v>17462</v>
      </c>
      <c r="G486" s="7">
        <f t="shared" ca="1" si="48"/>
        <v>65</v>
      </c>
      <c r="H486" s="7">
        <f t="shared" ca="1" si="49"/>
        <v>-8</v>
      </c>
      <c r="I486" s="8">
        <f t="shared" ca="1" si="50"/>
        <v>-10</v>
      </c>
      <c r="J486" s="9">
        <f t="shared" ca="1" si="47"/>
        <v>64</v>
      </c>
      <c r="K486" s="7" t="s">
        <v>40</v>
      </c>
      <c r="L486" s="10">
        <v>41</v>
      </c>
      <c r="M486" s="24" t="s">
        <v>40</v>
      </c>
      <c r="N486">
        <v>109</v>
      </c>
    </row>
    <row r="487" spans="1:14">
      <c r="A487" s="25">
        <f t="shared" si="51"/>
        <v>486</v>
      </c>
      <c r="B487" s="67" t="s">
        <v>7</v>
      </c>
      <c r="C487" s="67" t="s">
        <v>418</v>
      </c>
      <c r="D487" s="67" t="s">
        <v>162</v>
      </c>
      <c r="E487" s="22">
        <f t="shared" ca="1" si="52"/>
        <v>40951</v>
      </c>
      <c r="F487" s="11">
        <f>DATE(54,9,24)</f>
        <v>19991</v>
      </c>
      <c r="G487" s="12">
        <f t="shared" ca="1" si="48"/>
        <v>58</v>
      </c>
      <c r="H487" s="12">
        <f t="shared" ca="1" si="49"/>
        <v>-7</v>
      </c>
      <c r="I487" s="13">
        <f t="shared" ca="1" si="50"/>
        <v>-12</v>
      </c>
      <c r="J487" s="14">
        <f t="shared" ca="1" si="47"/>
        <v>57</v>
      </c>
      <c r="K487" s="12" t="s">
        <v>41</v>
      </c>
      <c r="L487" s="15">
        <v>41</v>
      </c>
      <c r="M487" s="25" t="s">
        <v>40</v>
      </c>
      <c r="N487">
        <v>109</v>
      </c>
    </row>
    <row r="488" spans="1:14">
      <c r="A488" s="25">
        <f t="shared" si="51"/>
        <v>487</v>
      </c>
      <c r="B488" s="67" t="s">
        <v>7</v>
      </c>
      <c r="C488" s="67" t="s">
        <v>305</v>
      </c>
      <c r="D488" s="67" t="s">
        <v>162</v>
      </c>
      <c r="E488" s="22">
        <f t="shared" ca="1" si="52"/>
        <v>40951</v>
      </c>
      <c r="F488" s="11">
        <f>DATE(75,2,7)</f>
        <v>27432</v>
      </c>
      <c r="G488" s="12">
        <f t="shared" ca="1" si="48"/>
        <v>37</v>
      </c>
      <c r="H488" s="12">
        <f t="shared" ca="1" si="49"/>
        <v>0</v>
      </c>
      <c r="I488" s="13">
        <f t="shared" ca="1" si="50"/>
        <v>5</v>
      </c>
      <c r="J488" s="14">
        <f t="shared" ca="1" si="47"/>
        <v>37</v>
      </c>
      <c r="K488" s="12" t="s">
        <v>40</v>
      </c>
      <c r="L488" s="15">
        <v>41</v>
      </c>
      <c r="M488" s="25" t="s">
        <v>40</v>
      </c>
      <c r="N488">
        <v>109</v>
      </c>
    </row>
    <row r="489" spans="1:14">
      <c r="A489" s="25">
        <f t="shared" si="51"/>
        <v>488</v>
      </c>
      <c r="B489" s="67" t="s">
        <v>7</v>
      </c>
      <c r="C489" s="67" t="s">
        <v>419</v>
      </c>
      <c r="D489" s="67" t="s">
        <v>162</v>
      </c>
      <c r="E489" s="22">
        <f t="shared" ca="1" si="52"/>
        <v>40951</v>
      </c>
      <c r="F489" s="11">
        <f>DATE(77,7,11)</f>
        <v>28317</v>
      </c>
      <c r="G489" s="12">
        <f t="shared" ca="1" si="48"/>
        <v>35</v>
      </c>
      <c r="H489" s="12">
        <f t="shared" ca="1" si="49"/>
        <v>-5</v>
      </c>
      <c r="I489" s="13">
        <f t="shared" ca="1" si="50"/>
        <v>1</v>
      </c>
      <c r="J489" s="14">
        <f t="shared" ca="1" si="47"/>
        <v>34</v>
      </c>
      <c r="K489" s="12" t="s">
        <v>41</v>
      </c>
      <c r="L489" s="15">
        <v>41</v>
      </c>
      <c r="M489" s="25" t="s">
        <v>40</v>
      </c>
      <c r="N489">
        <v>109</v>
      </c>
    </row>
    <row r="490" spans="1:14">
      <c r="A490" s="25">
        <f t="shared" si="51"/>
        <v>489</v>
      </c>
      <c r="B490" s="67" t="s">
        <v>7</v>
      </c>
      <c r="C490" s="67" t="s">
        <v>420</v>
      </c>
      <c r="D490" s="67" t="s">
        <v>305</v>
      </c>
      <c r="E490" s="22">
        <f t="shared" ca="1" si="52"/>
        <v>40951</v>
      </c>
      <c r="F490" s="11">
        <f>DATE(4,8,25)</f>
        <v>1699</v>
      </c>
      <c r="G490" s="12">
        <f t="shared" ca="1" si="48"/>
        <v>108</v>
      </c>
      <c r="H490" s="12">
        <f t="shared" ca="1" si="49"/>
        <v>-6</v>
      </c>
      <c r="I490" s="13">
        <f t="shared" ca="1" si="50"/>
        <v>-13</v>
      </c>
      <c r="J490" s="14">
        <f t="shared" ca="1" si="47"/>
        <v>107</v>
      </c>
      <c r="K490" s="12" t="s">
        <v>41</v>
      </c>
      <c r="L490" s="15">
        <v>41</v>
      </c>
      <c r="M490" s="25" t="s">
        <v>44</v>
      </c>
      <c r="N490">
        <v>109</v>
      </c>
    </row>
    <row r="491" spans="1:14">
      <c r="A491" s="25">
        <f t="shared" si="51"/>
        <v>490</v>
      </c>
      <c r="B491" s="67" t="s">
        <v>7</v>
      </c>
      <c r="C491" s="67" t="s">
        <v>421</v>
      </c>
      <c r="D491" s="67" t="s">
        <v>305</v>
      </c>
      <c r="E491" s="22">
        <f t="shared" ca="1" si="52"/>
        <v>40951</v>
      </c>
      <c r="F491" s="11">
        <f>DATE(76,8,12)</f>
        <v>27984</v>
      </c>
      <c r="G491" s="12">
        <f t="shared" ca="1" si="48"/>
        <v>36</v>
      </c>
      <c r="H491" s="12">
        <f t="shared" ca="1" si="49"/>
        <v>-6</v>
      </c>
      <c r="I491" s="13">
        <f t="shared" ca="1" si="50"/>
        <v>0</v>
      </c>
      <c r="J491" s="14">
        <f t="shared" ca="1" si="47"/>
        <v>35</v>
      </c>
      <c r="K491" s="12" t="s">
        <v>40</v>
      </c>
      <c r="L491" s="15">
        <v>41</v>
      </c>
      <c r="M491" s="25" t="s">
        <v>40</v>
      </c>
      <c r="N491">
        <v>109</v>
      </c>
    </row>
    <row r="492" spans="1:14">
      <c r="A492" s="25">
        <f t="shared" si="51"/>
        <v>491</v>
      </c>
      <c r="B492" s="67" t="s">
        <v>7</v>
      </c>
      <c r="C492" s="67" t="s">
        <v>422</v>
      </c>
      <c r="D492" s="67" t="s">
        <v>421</v>
      </c>
      <c r="E492" s="22">
        <f t="shared" ca="1" si="52"/>
        <v>40951</v>
      </c>
      <c r="F492" s="11">
        <f>DATE(81,12,6)</f>
        <v>29926</v>
      </c>
      <c r="G492" s="12">
        <f t="shared" ca="1" si="48"/>
        <v>31</v>
      </c>
      <c r="H492" s="12">
        <f t="shared" ca="1" si="49"/>
        <v>-10</v>
      </c>
      <c r="I492" s="13">
        <f t="shared" ca="1" si="50"/>
        <v>6</v>
      </c>
      <c r="J492" s="14">
        <f t="shared" ca="1" si="47"/>
        <v>30</v>
      </c>
      <c r="K492" s="12" t="s">
        <v>41</v>
      </c>
      <c r="L492" s="15">
        <v>41</v>
      </c>
      <c r="M492" s="25" t="s">
        <v>40</v>
      </c>
      <c r="N492">
        <v>109</v>
      </c>
    </row>
    <row r="493" spans="1:14" ht="15.75" thickBot="1">
      <c r="A493" s="26">
        <f t="shared" si="51"/>
        <v>492</v>
      </c>
      <c r="B493" s="67" t="s">
        <v>7</v>
      </c>
      <c r="C493" s="68" t="s">
        <v>120</v>
      </c>
      <c r="D493" s="68" t="s">
        <v>421</v>
      </c>
      <c r="E493" s="23">
        <f t="shared" ca="1" si="52"/>
        <v>40951</v>
      </c>
      <c r="F493" s="16">
        <f>DATE(2004,8,25)</f>
        <v>38224</v>
      </c>
      <c r="G493" s="17">
        <f t="shared" ca="1" si="48"/>
        <v>8</v>
      </c>
      <c r="H493" s="17">
        <f t="shared" ca="1" si="49"/>
        <v>-6</v>
      </c>
      <c r="I493" s="18">
        <f t="shared" ca="1" si="50"/>
        <v>-13</v>
      </c>
      <c r="J493" s="19">
        <f t="shared" ca="1" si="47"/>
        <v>7</v>
      </c>
      <c r="K493" s="17" t="s">
        <v>40</v>
      </c>
      <c r="L493" s="20">
        <v>41</v>
      </c>
      <c r="M493" s="26" t="s">
        <v>44</v>
      </c>
      <c r="N493">
        <v>109</v>
      </c>
    </row>
    <row r="494" spans="1:14" ht="15.75" thickBot="1">
      <c r="A494" s="43">
        <f t="shared" si="51"/>
        <v>493</v>
      </c>
      <c r="B494" s="69" t="s">
        <v>7</v>
      </c>
      <c r="C494" s="69" t="s">
        <v>305</v>
      </c>
      <c r="D494" s="69" t="s">
        <v>423</v>
      </c>
      <c r="E494" s="37">
        <f t="shared" ca="1" si="52"/>
        <v>40951</v>
      </c>
      <c r="F494" s="38">
        <f>DATE(83,3,18)</f>
        <v>30393</v>
      </c>
      <c r="G494" s="39">
        <f t="shared" ca="1" si="48"/>
        <v>29</v>
      </c>
      <c r="H494" s="39">
        <f t="shared" ca="1" si="49"/>
        <v>-1</v>
      </c>
      <c r="I494" s="40">
        <f t="shared" ca="1" si="50"/>
        <v>-6</v>
      </c>
      <c r="J494" s="41">
        <f t="shared" ca="1" si="47"/>
        <v>28</v>
      </c>
      <c r="K494" s="39" t="s">
        <v>40</v>
      </c>
      <c r="L494" s="42">
        <v>41</v>
      </c>
      <c r="M494" s="43" t="s">
        <v>44</v>
      </c>
      <c r="N494">
        <v>110</v>
      </c>
    </row>
    <row r="495" spans="1:14">
      <c r="A495" s="24">
        <f t="shared" si="51"/>
        <v>494</v>
      </c>
      <c r="B495" s="66" t="s">
        <v>7</v>
      </c>
      <c r="C495" s="66" t="s">
        <v>424</v>
      </c>
      <c r="D495" s="66" t="s">
        <v>425</v>
      </c>
      <c r="E495" s="21">
        <f t="shared" ca="1" si="52"/>
        <v>40951</v>
      </c>
      <c r="F495" s="6">
        <f>DATE(52,5,24)</f>
        <v>19138</v>
      </c>
      <c r="G495" s="7">
        <f t="shared" ca="1" si="48"/>
        <v>60</v>
      </c>
      <c r="H495" s="7">
        <f t="shared" ca="1" si="49"/>
        <v>-3</v>
      </c>
      <c r="I495" s="8">
        <f t="shared" ca="1" si="50"/>
        <v>-12</v>
      </c>
      <c r="J495" s="9">
        <f t="shared" ca="1" si="47"/>
        <v>59</v>
      </c>
      <c r="K495" s="7" t="s">
        <v>40</v>
      </c>
      <c r="L495" s="10">
        <v>41</v>
      </c>
      <c r="M495" s="24" t="s">
        <v>40</v>
      </c>
      <c r="N495">
        <v>111</v>
      </c>
    </row>
    <row r="496" spans="1:14">
      <c r="A496" s="25">
        <f t="shared" si="51"/>
        <v>495</v>
      </c>
      <c r="B496" s="67" t="s">
        <v>7</v>
      </c>
      <c r="C496" s="67" t="s">
        <v>426</v>
      </c>
      <c r="D496" s="67" t="s">
        <v>424</v>
      </c>
      <c r="E496" s="22">
        <f t="shared" ca="1" si="52"/>
        <v>40951</v>
      </c>
      <c r="F496" s="11">
        <f>DATE(56,10,11)</f>
        <v>20739</v>
      </c>
      <c r="G496" s="12">
        <f t="shared" ca="1" si="48"/>
        <v>56</v>
      </c>
      <c r="H496" s="12">
        <f t="shared" ca="1" si="49"/>
        <v>-8</v>
      </c>
      <c r="I496" s="13">
        <f t="shared" ca="1" si="50"/>
        <v>1</v>
      </c>
      <c r="J496" s="14">
        <f t="shared" ca="1" si="47"/>
        <v>55</v>
      </c>
      <c r="K496" s="12" t="s">
        <v>41</v>
      </c>
      <c r="L496" s="15">
        <v>41</v>
      </c>
      <c r="M496" s="25" t="s">
        <v>40</v>
      </c>
      <c r="N496">
        <v>111</v>
      </c>
    </row>
    <row r="497" spans="1:14">
      <c r="A497" s="25">
        <f t="shared" si="51"/>
        <v>496</v>
      </c>
      <c r="B497" s="67" t="s">
        <v>7</v>
      </c>
      <c r="C497" s="67" t="s">
        <v>427</v>
      </c>
      <c r="D497" s="67" t="s">
        <v>424</v>
      </c>
      <c r="E497" s="22">
        <f t="shared" ca="1" si="52"/>
        <v>40951</v>
      </c>
      <c r="F497" s="11">
        <f>DATE(81,1,6)</f>
        <v>29592</v>
      </c>
      <c r="G497" s="12">
        <f t="shared" ca="1" si="48"/>
        <v>31</v>
      </c>
      <c r="H497" s="12">
        <f t="shared" ca="1" si="49"/>
        <v>1</v>
      </c>
      <c r="I497" s="13">
        <f t="shared" ca="1" si="50"/>
        <v>6</v>
      </c>
      <c r="J497" s="14">
        <f t="shared" ca="1" si="47"/>
        <v>31</v>
      </c>
      <c r="K497" s="12" t="s">
        <v>40</v>
      </c>
      <c r="L497" s="15">
        <v>41</v>
      </c>
      <c r="M497" s="25" t="s">
        <v>44</v>
      </c>
      <c r="N497">
        <v>111</v>
      </c>
    </row>
    <row r="498" spans="1:14" ht="15.75" thickBot="1">
      <c r="A498" s="26">
        <f t="shared" si="51"/>
        <v>497</v>
      </c>
      <c r="B498" s="67" t="s">
        <v>7</v>
      </c>
      <c r="C498" s="68" t="s">
        <v>225</v>
      </c>
      <c r="D498" s="68" t="s">
        <v>424</v>
      </c>
      <c r="E498" s="23">
        <f t="shared" ca="1" si="52"/>
        <v>40951</v>
      </c>
      <c r="F498" s="16">
        <f>DATE(85,8,21)</f>
        <v>31280</v>
      </c>
      <c r="G498" s="17">
        <f t="shared" ca="1" si="48"/>
        <v>27</v>
      </c>
      <c r="H498" s="17">
        <f t="shared" ca="1" si="49"/>
        <v>-6</v>
      </c>
      <c r="I498" s="18">
        <f t="shared" ca="1" si="50"/>
        <v>-9</v>
      </c>
      <c r="J498" s="19">
        <f t="shared" ca="1" si="47"/>
        <v>26</v>
      </c>
      <c r="K498" s="17" t="s">
        <v>40</v>
      </c>
      <c r="L498" s="20">
        <v>41</v>
      </c>
      <c r="M498" s="26" t="s">
        <v>44</v>
      </c>
      <c r="N498">
        <v>111</v>
      </c>
    </row>
    <row r="499" spans="1:14">
      <c r="A499" s="24">
        <f t="shared" si="51"/>
        <v>498</v>
      </c>
      <c r="B499" s="66" t="s">
        <v>7</v>
      </c>
      <c r="C499" s="66" t="s">
        <v>181</v>
      </c>
      <c r="D499" s="66" t="s">
        <v>94</v>
      </c>
      <c r="E499" s="21">
        <f t="shared" ca="1" si="52"/>
        <v>40951</v>
      </c>
      <c r="F499" s="6">
        <f>DATE(51,10,3)</f>
        <v>18904</v>
      </c>
      <c r="G499" s="7">
        <f t="shared" ca="1" si="48"/>
        <v>61</v>
      </c>
      <c r="H499" s="7">
        <f t="shared" ca="1" si="49"/>
        <v>-8</v>
      </c>
      <c r="I499" s="8">
        <f t="shared" ca="1" si="50"/>
        <v>9</v>
      </c>
      <c r="J499" s="9">
        <f t="shared" ca="1" si="47"/>
        <v>60</v>
      </c>
      <c r="K499" s="7" t="s">
        <v>40</v>
      </c>
      <c r="L499" s="10">
        <v>42</v>
      </c>
      <c r="M499" s="24" t="s">
        <v>40</v>
      </c>
      <c r="N499">
        <v>112</v>
      </c>
    </row>
    <row r="500" spans="1:14">
      <c r="A500" s="25">
        <f t="shared" si="51"/>
        <v>499</v>
      </c>
      <c r="B500" s="67" t="s">
        <v>7</v>
      </c>
      <c r="C500" s="67" t="s">
        <v>428</v>
      </c>
      <c r="D500" s="67" t="s">
        <v>181</v>
      </c>
      <c r="E500" s="22">
        <f t="shared" ca="1" si="52"/>
        <v>40951</v>
      </c>
      <c r="F500" s="11">
        <f>DATE(60,10,10)</f>
        <v>22199</v>
      </c>
      <c r="G500" s="12">
        <f t="shared" ca="1" si="48"/>
        <v>52</v>
      </c>
      <c r="H500" s="12">
        <f t="shared" ca="1" si="49"/>
        <v>-8</v>
      </c>
      <c r="I500" s="13">
        <f t="shared" ca="1" si="50"/>
        <v>2</v>
      </c>
      <c r="J500" s="14">
        <f t="shared" ca="1" si="47"/>
        <v>51</v>
      </c>
      <c r="K500" s="12" t="s">
        <v>41</v>
      </c>
      <c r="L500" s="15">
        <v>42</v>
      </c>
      <c r="M500" s="25" t="s">
        <v>40</v>
      </c>
      <c r="N500">
        <v>112</v>
      </c>
    </row>
    <row r="501" spans="1:14">
      <c r="A501" s="25">
        <f t="shared" si="51"/>
        <v>500</v>
      </c>
      <c r="B501" s="67" t="s">
        <v>7</v>
      </c>
      <c r="C501" s="67" t="s">
        <v>422</v>
      </c>
      <c r="D501" s="67" t="s">
        <v>181</v>
      </c>
      <c r="E501" s="22">
        <f t="shared" ca="1" si="52"/>
        <v>40951</v>
      </c>
      <c r="F501" s="11">
        <f>DATE(82,9,11)</f>
        <v>30205</v>
      </c>
      <c r="G501" s="12">
        <f t="shared" ca="1" si="48"/>
        <v>30</v>
      </c>
      <c r="H501" s="12">
        <f t="shared" ca="1" si="49"/>
        <v>-7</v>
      </c>
      <c r="I501" s="13">
        <f t="shared" ca="1" si="50"/>
        <v>1</v>
      </c>
      <c r="J501" s="14">
        <f t="shared" ca="1" si="47"/>
        <v>29</v>
      </c>
      <c r="K501" s="12" t="s">
        <v>41</v>
      </c>
      <c r="L501" s="15">
        <v>42</v>
      </c>
      <c r="M501" s="25" t="s">
        <v>44</v>
      </c>
      <c r="N501">
        <v>112</v>
      </c>
    </row>
    <row r="502" spans="1:14">
      <c r="A502" s="25">
        <f t="shared" si="51"/>
        <v>501</v>
      </c>
      <c r="B502" s="67" t="s">
        <v>7</v>
      </c>
      <c r="C502" s="67" t="s">
        <v>211</v>
      </c>
      <c r="D502" s="67" t="s">
        <v>181</v>
      </c>
      <c r="E502" s="22">
        <f t="shared" ca="1" si="52"/>
        <v>40951</v>
      </c>
      <c r="F502" s="11">
        <f>DATE(87,1,9)</f>
        <v>31786</v>
      </c>
      <c r="G502" s="12">
        <f t="shared" ca="1" si="48"/>
        <v>25</v>
      </c>
      <c r="H502" s="12">
        <f t="shared" ca="1" si="49"/>
        <v>1</v>
      </c>
      <c r="I502" s="13">
        <f t="shared" ca="1" si="50"/>
        <v>3</v>
      </c>
      <c r="J502" s="14">
        <f t="shared" ca="1" si="47"/>
        <v>25</v>
      </c>
      <c r="K502" s="12" t="s">
        <v>41</v>
      </c>
      <c r="L502" s="15">
        <v>42</v>
      </c>
      <c r="M502" s="25" t="s">
        <v>44</v>
      </c>
      <c r="N502">
        <v>112</v>
      </c>
    </row>
    <row r="503" spans="1:14" ht="15.75" thickBot="1">
      <c r="A503" s="26">
        <f t="shared" si="51"/>
        <v>502</v>
      </c>
      <c r="B503" s="67" t="s">
        <v>7</v>
      </c>
      <c r="C503" s="68" t="s">
        <v>163</v>
      </c>
      <c r="D503" s="68" t="s">
        <v>181</v>
      </c>
      <c r="E503" s="23">
        <f t="shared" ca="1" si="52"/>
        <v>40951</v>
      </c>
      <c r="F503" s="16">
        <f>DATE(94,12,30)</f>
        <v>34698</v>
      </c>
      <c r="G503" s="17">
        <f t="shared" ca="1" si="48"/>
        <v>18</v>
      </c>
      <c r="H503" s="17">
        <f t="shared" ca="1" si="49"/>
        <v>-10</v>
      </c>
      <c r="I503" s="18">
        <f t="shared" ca="1" si="50"/>
        <v>-18</v>
      </c>
      <c r="J503" s="19">
        <f t="shared" ca="1" si="47"/>
        <v>17</v>
      </c>
      <c r="K503" s="17" t="s">
        <v>41</v>
      </c>
      <c r="L503" s="20">
        <v>42</v>
      </c>
      <c r="M503" s="26" t="s">
        <v>44</v>
      </c>
      <c r="N503">
        <v>112</v>
      </c>
    </row>
    <row r="504" spans="1:14">
      <c r="A504" s="24">
        <f t="shared" si="51"/>
        <v>503</v>
      </c>
      <c r="B504" s="66" t="s">
        <v>7</v>
      </c>
      <c r="C504" s="66" t="s">
        <v>332</v>
      </c>
      <c r="D504" s="66" t="s">
        <v>429</v>
      </c>
      <c r="E504" s="21">
        <f t="shared" ca="1" si="52"/>
        <v>40951</v>
      </c>
      <c r="F504" s="6">
        <f>DATE(39,7,1)</f>
        <v>14427</v>
      </c>
      <c r="G504" s="7">
        <f t="shared" ca="1" si="48"/>
        <v>73</v>
      </c>
      <c r="H504" s="7">
        <f t="shared" ca="1" si="49"/>
        <v>-5</v>
      </c>
      <c r="I504" s="8">
        <f t="shared" ca="1" si="50"/>
        <v>11</v>
      </c>
      <c r="J504" s="9">
        <f t="shared" ca="1" si="47"/>
        <v>72</v>
      </c>
      <c r="K504" s="7" t="s">
        <v>40</v>
      </c>
      <c r="L504" s="10">
        <v>42</v>
      </c>
      <c r="M504" s="24" t="s">
        <v>40</v>
      </c>
      <c r="N504">
        <v>113</v>
      </c>
    </row>
    <row r="505" spans="1:14">
      <c r="A505" s="25">
        <f t="shared" si="51"/>
        <v>504</v>
      </c>
      <c r="B505" s="67" t="s">
        <v>7</v>
      </c>
      <c r="C505" s="67" t="s">
        <v>430</v>
      </c>
      <c r="D505" s="67" t="s">
        <v>332</v>
      </c>
      <c r="E505" s="22">
        <f t="shared" ca="1" si="52"/>
        <v>40951</v>
      </c>
      <c r="F505" s="11">
        <f>DATE(49,12,11)</f>
        <v>18243</v>
      </c>
      <c r="G505" s="12">
        <f t="shared" ca="1" si="48"/>
        <v>63</v>
      </c>
      <c r="H505" s="12">
        <f t="shared" ca="1" si="49"/>
        <v>-10</v>
      </c>
      <c r="I505" s="13">
        <f t="shared" ca="1" si="50"/>
        <v>1</v>
      </c>
      <c r="J505" s="14">
        <f t="shared" ca="1" si="47"/>
        <v>62</v>
      </c>
      <c r="K505" s="12" t="s">
        <v>41</v>
      </c>
      <c r="L505" s="15">
        <v>42</v>
      </c>
      <c r="M505" s="25" t="s">
        <v>40</v>
      </c>
      <c r="N505">
        <v>113</v>
      </c>
    </row>
    <row r="506" spans="1:14">
      <c r="A506" s="25">
        <f t="shared" si="51"/>
        <v>505</v>
      </c>
      <c r="B506" s="67" t="s">
        <v>7</v>
      </c>
      <c r="C506" s="67" t="s">
        <v>251</v>
      </c>
      <c r="D506" s="67" t="s">
        <v>332</v>
      </c>
      <c r="E506" s="22">
        <f t="shared" ca="1" si="52"/>
        <v>40951</v>
      </c>
      <c r="F506" s="11">
        <f>DATE(79,6,4)</f>
        <v>29010</v>
      </c>
      <c r="G506" s="12">
        <f t="shared" ca="1" si="48"/>
        <v>33</v>
      </c>
      <c r="H506" s="12">
        <f t="shared" ca="1" si="49"/>
        <v>-4</v>
      </c>
      <c r="I506" s="13">
        <f t="shared" ca="1" si="50"/>
        <v>8</v>
      </c>
      <c r="J506" s="14">
        <f t="shared" ca="1" si="47"/>
        <v>32</v>
      </c>
      <c r="K506" s="12" t="s">
        <v>40</v>
      </c>
      <c r="L506" s="15">
        <v>42</v>
      </c>
      <c r="M506" s="25" t="s">
        <v>44</v>
      </c>
      <c r="N506">
        <v>113</v>
      </c>
    </row>
    <row r="507" spans="1:14">
      <c r="A507" s="25">
        <f t="shared" si="51"/>
        <v>506</v>
      </c>
      <c r="B507" s="67" t="s">
        <v>7</v>
      </c>
      <c r="C507" s="67" t="s">
        <v>431</v>
      </c>
      <c r="D507" s="67" t="s">
        <v>429</v>
      </c>
      <c r="E507" s="22">
        <f t="shared" ca="1" si="52"/>
        <v>40951</v>
      </c>
      <c r="F507" s="32"/>
      <c r="G507" s="12">
        <f t="shared" ca="1" si="48"/>
        <v>112</v>
      </c>
      <c r="H507" s="12">
        <f t="shared" ca="1" si="49"/>
        <v>1</v>
      </c>
      <c r="I507" s="13">
        <f t="shared" ca="1" si="50"/>
        <v>12</v>
      </c>
      <c r="J507" s="14">
        <f t="shared" ca="1" si="47"/>
        <v>112</v>
      </c>
      <c r="K507" s="12" t="s">
        <v>41</v>
      </c>
      <c r="L507" s="15">
        <v>42</v>
      </c>
      <c r="M507" s="25" t="s">
        <v>40</v>
      </c>
      <c r="N507">
        <v>113</v>
      </c>
    </row>
    <row r="508" spans="1:14">
      <c r="A508" s="25">
        <f t="shared" si="51"/>
        <v>507</v>
      </c>
      <c r="B508" s="67" t="s">
        <v>7</v>
      </c>
      <c r="C508" s="67" t="s">
        <v>432</v>
      </c>
      <c r="D508" s="67" t="s">
        <v>332</v>
      </c>
      <c r="E508" s="22">
        <f t="shared" ca="1" si="52"/>
        <v>40951</v>
      </c>
      <c r="F508" s="11">
        <f>DATE(68,3,31)</f>
        <v>24928</v>
      </c>
      <c r="G508" s="12">
        <f t="shared" ca="1" si="48"/>
        <v>44</v>
      </c>
      <c r="H508" s="12">
        <f t="shared" ca="1" si="49"/>
        <v>-1</v>
      </c>
      <c r="I508" s="13">
        <f t="shared" ca="1" si="50"/>
        <v>-19</v>
      </c>
      <c r="J508" s="14">
        <f t="shared" ca="1" si="47"/>
        <v>43</v>
      </c>
      <c r="K508" s="12" t="s">
        <v>40</v>
      </c>
      <c r="L508" s="15">
        <v>42</v>
      </c>
      <c r="M508" s="25" t="s">
        <v>40</v>
      </c>
      <c r="N508">
        <v>113</v>
      </c>
    </row>
    <row r="509" spans="1:14" ht="15.75" thickBot="1">
      <c r="A509" s="26">
        <f t="shared" si="51"/>
        <v>508</v>
      </c>
      <c r="B509" s="67" t="s">
        <v>7</v>
      </c>
      <c r="C509" s="68" t="s">
        <v>433</v>
      </c>
      <c r="D509" s="68" t="s">
        <v>432</v>
      </c>
      <c r="E509" s="23">
        <f t="shared" ca="1" si="52"/>
        <v>40951</v>
      </c>
      <c r="F509" s="16">
        <f>DATE(69,5,23)</f>
        <v>25346</v>
      </c>
      <c r="G509" s="17">
        <f t="shared" ca="1" si="48"/>
        <v>43</v>
      </c>
      <c r="H509" s="17">
        <f t="shared" ca="1" si="49"/>
        <v>-3</v>
      </c>
      <c r="I509" s="18">
        <f t="shared" ca="1" si="50"/>
        <v>-11</v>
      </c>
      <c r="J509" s="19">
        <f t="shared" ca="1" si="47"/>
        <v>42</v>
      </c>
      <c r="K509" s="17" t="s">
        <v>41</v>
      </c>
      <c r="L509" s="20">
        <v>42</v>
      </c>
      <c r="M509" s="26" t="s">
        <v>40</v>
      </c>
      <c r="N509">
        <v>113</v>
      </c>
    </row>
    <row r="510" spans="1:14">
      <c r="A510" s="24">
        <f t="shared" si="51"/>
        <v>509</v>
      </c>
      <c r="B510" s="66" t="s">
        <v>7</v>
      </c>
      <c r="C510" s="66" t="s">
        <v>434</v>
      </c>
      <c r="D510" s="66" t="s">
        <v>435</v>
      </c>
      <c r="E510" s="21">
        <f t="shared" ca="1" si="52"/>
        <v>40951</v>
      </c>
      <c r="F510" s="6">
        <f>DATE(60,2,2)</f>
        <v>21948</v>
      </c>
      <c r="G510" s="7">
        <f t="shared" ca="1" si="48"/>
        <v>52</v>
      </c>
      <c r="H510" s="7">
        <f t="shared" ca="1" si="49"/>
        <v>0</v>
      </c>
      <c r="I510" s="8">
        <f t="shared" ca="1" si="50"/>
        <v>10</v>
      </c>
      <c r="J510" s="9">
        <f t="shared" ca="1" si="47"/>
        <v>52</v>
      </c>
      <c r="K510" s="7" t="s">
        <v>40</v>
      </c>
      <c r="L510" s="10">
        <v>42</v>
      </c>
      <c r="M510" s="24" t="s">
        <v>40</v>
      </c>
      <c r="N510">
        <v>114</v>
      </c>
    </row>
    <row r="511" spans="1:14">
      <c r="A511" s="25">
        <f t="shared" si="51"/>
        <v>510</v>
      </c>
      <c r="B511" s="67" t="s">
        <v>7</v>
      </c>
      <c r="C511" s="67" t="s">
        <v>222</v>
      </c>
      <c r="D511" s="67" t="s">
        <v>436</v>
      </c>
      <c r="E511" s="22">
        <f t="shared" ca="1" si="52"/>
        <v>40951</v>
      </c>
      <c r="F511" s="11">
        <f>DATE(64,8,21)</f>
        <v>23610</v>
      </c>
      <c r="G511" s="12">
        <f t="shared" ca="1" si="48"/>
        <v>48</v>
      </c>
      <c r="H511" s="12">
        <f t="shared" ca="1" si="49"/>
        <v>-6</v>
      </c>
      <c r="I511" s="13">
        <f t="shared" ca="1" si="50"/>
        <v>-9</v>
      </c>
      <c r="J511" s="14">
        <f t="shared" ca="1" si="47"/>
        <v>47</v>
      </c>
      <c r="K511" s="12" t="s">
        <v>41</v>
      </c>
      <c r="L511" s="15">
        <v>42</v>
      </c>
      <c r="M511" s="25" t="s">
        <v>40</v>
      </c>
      <c r="N511">
        <v>114</v>
      </c>
    </row>
    <row r="512" spans="1:14" ht="15.75" thickBot="1">
      <c r="A512" s="26">
        <f t="shared" si="51"/>
        <v>511</v>
      </c>
      <c r="B512" s="67" t="s">
        <v>7</v>
      </c>
      <c r="C512" s="68" t="s">
        <v>437</v>
      </c>
      <c r="D512" s="68" t="s">
        <v>436</v>
      </c>
      <c r="E512" s="23">
        <f t="shared" ca="1" si="52"/>
        <v>40951</v>
      </c>
      <c r="F512" s="16">
        <f>DATE(97,10,9)</f>
        <v>35712</v>
      </c>
      <c r="G512" s="17">
        <f t="shared" ca="1" si="48"/>
        <v>15</v>
      </c>
      <c r="H512" s="17">
        <f t="shared" ca="1" si="49"/>
        <v>-8</v>
      </c>
      <c r="I512" s="18">
        <f t="shared" ca="1" si="50"/>
        <v>3</v>
      </c>
      <c r="J512" s="19">
        <f t="shared" ca="1" si="47"/>
        <v>14</v>
      </c>
      <c r="K512" s="17" t="s">
        <v>40</v>
      </c>
      <c r="L512" s="20">
        <v>42</v>
      </c>
      <c r="M512" s="26" t="s">
        <v>44</v>
      </c>
      <c r="N512">
        <v>114</v>
      </c>
    </row>
    <row r="513" spans="1:14">
      <c r="A513" s="24">
        <f t="shared" si="51"/>
        <v>512</v>
      </c>
      <c r="B513" s="66" t="s">
        <v>7</v>
      </c>
      <c r="C513" s="66" t="s">
        <v>415</v>
      </c>
      <c r="D513" s="66" t="s">
        <v>438</v>
      </c>
      <c r="E513" s="21">
        <f t="shared" ca="1" si="52"/>
        <v>40951</v>
      </c>
      <c r="F513" s="45"/>
      <c r="G513" s="7">
        <f t="shared" ca="1" si="48"/>
        <v>112</v>
      </c>
      <c r="H513" s="7">
        <f t="shared" ca="1" si="49"/>
        <v>1</v>
      </c>
      <c r="I513" s="8">
        <f t="shared" ca="1" si="50"/>
        <v>12</v>
      </c>
      <c r="J513" s="9">
        <f t="shared" ca="1" si="47"/>
        <v>112</v>
      </c>
      <c r="K513" s="7" t="s">
        <v>41</v>
      </c>
      <c r="L513" s="10">
        <v>43</v>
      </c>
      <c r="M513" s="24" t="s">
        <v>40</v>
      </c>
      <c r="N513">
        <v>115</v>
      </c>
    </row>
    <row r="514" spans="1:14">
      <c r="A514" s="25">
        <f t="shared" si="51"/>
        <v>513</v>
      </c>
      <c r="B514" s="67" t="s">
        <v>7</v>
      </c>
      <c r="C514" s="67" t="s">
        <v>439</v>
      </c>
      <c r="D514" s="67" t="s">
        <v>438</v>
      </c>
      <c r="E514" s="22">
        <f t="shared" ca="1" si="52"/>
        <v>40951</v>
      </c>
      <c r="F514" s="11">
        <f>DATE(57,6,7)</f>
        <v>20978</v>
      </c>
      <c r="G514" s="12">
        <f t="shared" ca="1" si="48"/>
        <v>55</v>
      </c>
      <c r="H514" s="12">
        <f t="shared" ca="1" si="49"/>
        <v>-4</v>
      </c>
      <c r="I514" s="13">
        <f t="shared" ca="1" si="50"/>
        <v>5</v>
      </c>
      <c r="J514" s="14">
        <f t="shared" ca="1" si="47"/>
        <v>54</v>
      </c>
      <c r="K514" s="12" t="s">
        <v>40</v>
      </c>
      <c r="L514" s="15">
        <v>43</v>
      </c>
      <c r="M514" s="25" t="s">
        <v>40</v>
      </c>
      <c r="N514">
        <v>115</v>
      </c>
    </row>
    <row r="515" spans="1:14">
      <c r="A515" s="25">
        <f t="shared" si="51"/>
        <v>514</v>
      </c>
      <c r="B515" s="67" t="s">
        <v>7</v>
      </c>
      <c r="C515" s="67" t="s">
        <v>440</v>
      </c>
      <c r="D515" s="67" t="s">
        <v>439</v>
      </c>
      <c r="E515" s="22">
        <f t="shared" ca="1" si="52"/>
        <v>40951</v>
      </c>
      <c r="F515" s="11">
        <f>DATE(58,8,14)</f>
        <v>21411</v>
      </c>
      <c r="G515" s="12">
        <f t="shared" ca="1" si="48"/>
        <v>54</v>
      </c>
      <c r="H515" s="12">
        <f t="shared" ca="1" si="49"/>
        <v>-6</v>
      </c>
      <c r="I515" s="13">
        <f t="shared" ca="1" si="50"/>
        <v>-2</v>
      </c>
      <c r="J515" s="14">
        <f t="shared" ref="J515:J578" ca="1" si="53">IF(H515&lt;0,G515-1,IF(H515&gt;0,G515,IF(I515&lt;0,G515-1,G515)))</f>
        <v>53</v>
      </c>
      <c r="K515" s="12" t="s">
        <v>41</v>
      </c>
      <c r="L515" s="15">
        <v>43</v>
      </c>
      <c r="M515" s="25" t="s">
        <v>40</v>
      </c>
      <c r="N515">
        <v>115</v>
      </c>
    </row>
    <row r="516" spans="1:14">
      <c r="A516" s="25">
        <f t="shared" si="51"/>
        <v>515</v>
      </c>
      <c r="B516" s="67" t="s">
        <v>7</v>
      </c>
      <c r="C516" s="67" t="s">
        <v>410</v>
      </c>
      <c r="D516" s="67" t="s">
        <v>438</v>
      </c>
      <c r="E516" s="22">
        <f t="shared" ca="1" si="52"/>
        <v>40951</v>
      </c>
      <c r="F516" s="11">
        <f>DATE(65,9,8)</f>
        <v>23993</v>
      </c>
      <c r="G516" s="12">
        <f t="shared" ca="1" si="48"/>
        <v>47</v>
      </c>
      <c r="H516" s="12">
        <f t="shared" ca="1" si="49"/>
        <v>-7</v>
      </c>
      <c r="I516" s="13">
        <f t="shared" ca="1" si="50"/>
        <v>4</v>
      </c>
      <c r="J516" s="14">
        <f t="shared" ca="1" si="53"/>
        <v>46</v>
      </c>
      <c r="K516" s="12" t="s">
        <v>40</v>
      </c>
      <c r="L516" s="15">
        <v>43</v>
      </c>
      <c r="M516" s="25" t="s">
        <v>40</v>
      </c>
      <c r="N516">
        <v>115</v>
      </c>
    </row>
    <row r="517" spans="1:14">
      <c r="A517" s="25">
        <f t="shared" si="51"/>
        <v>516</v>
      </c>
      <c r="B517" s="67" t="s">
        <v>7</v>
      </c>
      <c r="C517" s="67" t="s">
        <v>441</v>
      </c>
      <c r="D517" s="67" t="s">
        <v>410</v>
      </c>
      <c r="E517" s="22">
        <f t="shared" ca="1" si="52"/>
        <v>40951</v>
      </c>
      <c r="F517" s="11">
        <f>DATE(66,4,22)</f>
        <v>24219</v>
      </c>
      <c r="G517" s="12">
        <f t="shared" ca="1" si="48"/>
        <v>46</v>
      </c>
      <c r="H517" s="12">
        <f t="shared" ca="1" si="49"/>
        <v>-2</v>
      </c>
      <c r="I517" s="13">
        <f t="shared" ca="1" si="50"/>
        <v>-10</v>
      </c>
      <c r="J517" s="14">
        <f t="shared" ca="1" si="53"/>
        <v>45</v>
      </c>
      <c r="K517" s="12" t="s">
        <v>41</v>
      </c>
      <c r="L517" s="15">
        <v>43</v>
      </c>
      <c r="M517" s="25" t="s">
        <v>40</v>
      </c>
      <c r="N517">
        <v>115</v>
      </c>
    </row>
    <row r="518" spans="1:14">
      <c r="A518" s="25">
        <f t="shared" si="51"/>
        <v>517</v>
      </c>
      <c r="B518" s="67" t="s">
        <v>7</v>
      </c>
      <c r="C518" s="67" t="s">
        <v>442</v>
      </c>
      <c r="D518" s="67" t="s">
        <v>410</v>
      </c>
      <c r="E518" s="22">
        <f t="shared" ca="1" si="52"/>
        <v>40951</v>
      </c>
      <c r="F518" s="11">
        <f>DATE(91,10,25)</f>
        <v>33536</v>
      </c>
      <c r="G518" s="12">
        <f t="shared" ca="1" si="48"/>
        <v>21</v>
      </c>
      <c r="H518" s="12">
        <f t="shared" ca="1" si="49"/>
        <v>-8</v>
      </c>
      <c r="I518" s="13">
        <f t="shared" ca="1" si="50"/>
        <v>-13</v>
      </c>
      <c r="J518" s="14">
        <f t="shared" ca="1" si="53"/>
        <v>20</v>
      </c>
      <c r="K518" s="12" t="s">
        <v>41</v>
      </c>
      <c r="L518" s="15">
        <v>43</v>
      </c>
      <c r="M518" s="25" t="s">
        <v>44</v>
      </c>
      <c r="N518">
        <v>115</v>
      </c>
    </row>
    <row r="519" spans="1:14" ht="15.75" thickBot="1">
      <c r="A519" s="26">
        <f t="shared" si="51"/>
        <v>518</v>
      </c>
      <c r="B519" s="67" t="s">
        <v>7</v>
      </c>
      <c r="C519" s="68" t="s">
        <v>365</v>
      </c>
      <c r="D519" s="68" t="s">
        <v>410</v>
      </c>
      <c r="E519" s="23">
        <f t="shared" ca="1" si="52"/>
        <v>40951</v>
      </c>
      <c r="F519" s="16">
        <f>DATE(96,6,6)</f>
        <v>35222</v>
      </c>
      <c r="G519" s="17">
        <f t="shared" ca="1" si="48"/>
        <v>16</v>
      </c>
      <c r="H519" s="17">
        <f t="shared" ca="1" si="49"/>
        <v>-4</v>
      </c>
      <c r="I519" s="18">
        <f t="shared" ca="1" si="50"/>
        <v>6</v>
      </c>
      <c r="J519" s="19">
        <f t="shared" ca="1" si="53"/>
        <v>15</v>
      </c>
      <c r="K519" s="17" t="s">
        <v>40</v>
      </c>
      <c r="L519" s="20">
        <v>43</v>
      </c>
      <c r="M519" s="26" t="s">
        <v>44</v>
      </c>
      <c r="N519">
        <v>115</v>
      </c>
    </row>
    <row r="520" spans="1:14">
      <c r="A520" s="24">
        <f t="shared" si="51"/>
        <v>519</v>
      </c>
      <c r="B520" s="66" t="s">
        <v>7</v>
      </c>
      <c r="C520" s="66" t="s">
        <v>230</v>
      </c>
      <c r="D520" s="66" t="s">
        <v>425</v>
      </c>
      <c r="E520" s="21">
        <f t="shared" ca="1" si="52"/>
        <v>40951</v>
      </c>
      <c r="F520" s="45"/>
      <c r="G520" s="7">
        <f t="shared" ca="1" si="48"/>
        <v>112</v>
      </c>
      <c r="H520" s="7">
        <f t="shared" ca="1" si="49"/>
        <v>1</v>
      </c>
      <c r="I520" s="8">
        <f t="shared" ca="1" si="50"/>
        <v>12</v>
      </c>
      <c r="J520" s="9">
        <f t="shared" ca="1" si="53"/>
        <v>112</v>
      </c>
      <c r="K520" s="7" t="s">
        <v>40</v>
      </c>
      <c r="L520" s="10">
        <v>43</v>
      </c>
      <c r="M520" s="24" t="s">
        <v>40</v>
      </c>
      <c r="N520">
        <v>116</v>
      </c>
    </row>
    <row r="521" spans="1:14">
      <c r="A521" s="25">
        <f t="shared" si="51"/>
        <v>520</v>
      </c>
      <c r="B521" s="67" t="s">
        <v>7</v>
      </c>
      <c r="C521" s="67" t="s">
        <v>133</v>
      </c>
      <c r="D521" s="67" t="s">
        <v>443</v>
      </c>
      <c r="E521" s="22">
        <f t="shared" ca="1" si="52"/>
        <v>40951</v>
      </c>
      <c r="F521" s="32"/>
      <c r="G521" s="12">
        <f t="shared" ca="1" si="48"/>
        <v>112</v>
      </c>
      <c r="H521" s="12">
        <f t="shared" ca="1" si="49"/>
        <v>1</v>
      </c>
      <c r="I521" s="13">
        <f t="shared" ca="1" si="50"/>
        <v>12</v>
      </c>
      <c r="J521" s="14">
        <f t="shared" ca="1" si="53"/>
        <v>112</v>
      </c>
      <c r="K521" s="12" t="s">
        <v>41</v>
      </c>
      <c r="L521" s="15">
        <v>43</v>
      </c>
      <c r="M521" s="25" t="s">
        <v>40</v>
      </c>
      <c r="N521">
        <v>116</v>
      </c>
    </row>
    <row r="522" spans="1:14">
      <c r="A522" s="25">
        <f t="shared" si="51"/>
        <v>521</v>
      </c>
      <c r="B522" s="67" t="s">
        <v>7</v>
      </c>
      <c r="C522" s="67" t="s">
        <v>444</v>
      </c>
      <c r="D522" s="67" t="s">
        <v>443</v>
      </c>
      <c r="E522" s="22">
        <f t="shared" ca="1" si="52"/>
        <v>40951</v>
      </c>
      <c r="F522" s="11">
        <f>DATE(72,10,26)</f>
        <v>26598</v>
      </c>
      <c r="G522" s="12">
        <f t="shared" ca="1" si="48"/>
        <v>40</v>
      </c>
      <c r="H522" s="12">
        <f t="shared" ca="1" si="49"/>
        <v>-8</v>
      </c>
      <c r="I522" s="13">
        <f t="shared" ca="1" si="50"/>
        <v>-14</v>
      </c>
      <c r="J522" s="14">
        <f t="shared" ca="1" si="53"/>
        <v>39</v>
      </c>
      <c r="K522" s="12" t="s">
        <v>40</v>
      </c>
      <c r="L522" s="15">
        <v>43</v>
      </c>
      <c r="M522" s="25" t="s">
        <v>40</v>
      </c>
      <c r="N522">
        <v>116</v>
      </c>
    </row>
    <row r="523" spans="1:14">
      <c r="A523" s="25">
        <f t="shared" si="51"/>
        <v>522</v>
      </c>
      <c r="B523" s="67" t="s">
        <v>7</v>
      </c>
      <c r="C523" s="67" t="s">
        <v>62</v>
      </c>
      <c r="D523" s="67" t="s">
        <v>444</v>
      </c>
      <c r="E523" s="22">
        <f t="shared" ca="1" si="52"/>
        <v>40951</v>
      </c>
      <c r="F523" s="11">
        <f>DATE(80,1,4)</f>
        <v>29224</v>
      </c>
      <c r="G523" s="12">
        <f t="shared" ca="1" si="48"/>
        <v>32</v>
      </c>
      <c r="H523" s="12">
        <f t="shared" ca="1" si="49"/>
        <v>1</v>
      </c>
      <c r="I523" s="13">
        <f t="shared" ca="1" si="50"/>
        <v>8</v>
      </c>
      <c r="J523" s="14">
        <f t="shared" ca="1" si="53"/>
        <v>32</v>
      </c>
      <c r="K523" s="12" t="s">
        <v>41</v>
      </c>
      <c r="L523" s="15">
        <v>43</v>
      </c>
      <c r="M523" s="25" t="s">
        <v>40</v>
      </c>
      <c r="N523">
        <v>116</v>
      </c>
    </row>
    <row r="524" spans="1:14">
      <c r="A524" s="25">
        <f t="shared" si="51"/>
        <v>523</v>
      </c>
      <c r="B524" s="67" t="s">
        <v>7</v>
      </c>
      <c r="C524" s="67" t="s">
        <v>445</v>
      </c>
      <c r="D524" s="67" t="s">
        <v>444</v>
      </c>
      <c r="E524" s="22">
        <f t="shared" ca="1" si="52"/>
        <v>40951</v>
      </c>
      <c r="F524" s="11">
        <f>DATE(2004,12,16)</f>
        <v>38337</v>
      </c>
      <c r="G524" s="12">
        <f t="shared" ca="1" si="48"/>
        <v>8</v>
      </c>
      <c r="H524" s="12">
        <f t="shared" ca="1" si="49"/>
        <v>-10</v>
      </c>
      <c r="I524" s="13">
        <f t="shared" ca="1" si="50"/>
        <v>-4</v>
      </c>
      <c r="J524" s="14">
        <f t="shared" ca="1" si="53"/>
        <v>7</v>
      </c>
      <c r="K524" s="12" t="s">
        <v>40</v>
      </c>
      <c r="L524" s="15">
        <v>43</v>
      </c>
      <c r="M524" s="25" t="s">
        <v>44</v>
      </c>
      <c r="N524">
        <v>116</v>
      </c>
    </row>
    <row r="525" spans="1:14">
      <c r="A525" s="25">
        <f t="shared" si="51"/>
        <v>524</v>
      </c>
      <c r="B525" s="67" t="s">
        <v>7</v>
      </c>
      <c r="C525" s="67" t="s">
        <v>446</v>
      </c>
      <c r="D525" s="67" t="s">
        <v>443</v>
      </c>
      <c r="E525" s="22">
        <f t="shared" ca="1" si="52"/>
        <v>40951</v>
      </c>
      <c r="F525" s="11">
        <f>DATE(75,7,6)</f>
        <v>27581</v>
      </c>
      <c r="G525" s="12">
        <f t="shared" ca="1" si="48"/>
        <v>37</v>
      </c>
      <c r="H525" s="12">
        <f t="shared" ca="1" si="49"/>
        <v>-5</v>
      </c>
      <c r="I525" s="13">
        <f t="shared" ca="1" si="50"/>
        <v>6</v>
      </c>
      <c r="J525" s="14">
        <f t="shared" ca="1" si="53"/>
        <v>36</v>
      </c>
      <c r="K525" s="12" t="s">
        <v>40</v>
      </c>
      <c r="L525" s="15">
        <v>43</v>
      </c>
      <c r="M525" s="25" t="s">
        <v>40</v>
      </c>
      <c r="N525">
        <v>116</v>
      </c>
    </row>
    <row r="526" spans="1:14">
      <c r="A526" s="25">
        <f t="shared" si="51"/>
        <v>525</v>
      </c>
      <c r="B526" s="67" t="s">
        <v>7</v>
      </c>
      <c r="C526" s="67" t="s">
        <v>447</v>
      </c>
      <c r="D526" s="67" t="s">
        <v>446</v>
      </c>
      <c r="E526" s="22">
        <f t="shared" ca="1" si="52"/>
        <v>40951</v>
      </c>
      <c r="F526" s="11">
        <f>DATE(78,8,21)</f>
        <v>28723</v>
      </c>
      <c r="G526" s="12">
        <f t="shared" ca="1" si="48"/>
        <v>34</v>
      </c>
      <c r="H526" s="12">
        <f t="shared" ca="1" si="49"/>
        <v>-6</v>
      </c>
      <c r="I526" s="13">
        <f t="shared" ca="1" si="50"/>
        <v>-9</v>
      </c>
      <c r="J526" s="14">
        <f t="shared" ca="1" si="53"/>
        <v>33</v>
      </c>
      <c r="K526" s="12" t="s">
        <v>41</v>
      </c>
      <c r="L526" s="15">
        <v>43</v>
      </c>
      <c r="M526" s="25" t="s">
        <v>40</v>
      </c>
      <c r="N526">
        <v>116</v>
      </c>
    </row>
    <row r="527" spans="1:14">
      <c r="A527" s="25">
        <f t="shared" si="51"/>
        <v>526</v>
      </c>
      <c r="B527" s="67" t="s">
        <v>7</v>
      </c>
      <c r="C527" s="67" t="s">
        <v>305</v>
      </c>
      <c r="D527" s="67" t="s">
        <v>443</v>
      </c>
      <c r="E527" s="22">
        <f t="shared" ca="1" si="52"/>
        <v>40951</v>
      </c>
      <c r="F527" s="11">
        <f>DATE(78,6,20)</f>
        <v>28661</v>
      </c>
      <c r="G527" s="12">
        <f t="shared" ca="1" si="48"/>
        <v>34</v>
      </c>
      <c r="H527" s="12">
        <f t="shared" ca="1" si="49"/>
        <v>-4</v>
      </c>
      <c r="I527" s="13">
        <f t="shared" ca="1" si="50"/>
        <v>-8</v>
      </c>
      <c r="J527" s="14">
        <f t="shared" ca="1" si="53"/>
        <v>33</v>
      </c>
      <c r="K527" s="12" t="s">
        <v>40</v>
      </c>
      <c r="L527" s="15">
        <v>43</v>
      </c>
      <c r="M527" s="25" t="s">
        <v>44</v>
      </c>
      <c r="N527">
        <v>116</v>
      </c>
    </row>
    <row r="528" spans="1:14" ht="15.75" thickBot="1">
      <c r="A528" s="26">
        <f t="shared" si="51"/>
        <v>527</v>
      </c>
      <c r="B528" s="67" t="s">
        <v>7</v>
      </c>
      <c r="C528" s="68" t="s">
        <v>448</v>
      </c>
      <c r="D528" s="68" t="s">
        <v>443</v>
      </c>
      <c r="E528" s="23">
        <f t="shared" ca="1" si="52"/>
        <v>40951</v>
      </c>
      <c r="F528" s="16">
        <f>DATE(80,2,20)</f>
        <v>29271</v>
      </c>
      <c r="G528" s="17">
        <f t="shared" ca="1" si="48"/>
        <v>32</v>
      </c>
      <c r="H528" s="17">
        <f t="shared" ca="1" si="49"/>
        <v>0</v>
      </c>
      <c r="I528" s="18">
        <f t="shared" ca="1" si="50"/>
        <v>-8</v>
      </c>
      <c r="J528" s="19">
        <f t="shared" ca="1" si="53"/>
        <v>31</v>
      </c>
      <c r="K528" s="17" t="s">
        <v>40</v>
      </c>
      <c r="L528" s="20">
        <v>43</v>
      </c>
      <c r="M528" s="26" t="s">
        <v>44</v>
      </c>
      <c r="N528">
        <v>116</v>
      </c>
    </row>
    <row r="529" spans="1:14">
      <c r="A529" s="24">
        <f t="shared" si="51"/>
        <v>528</v>
      </c>
      <c r="B529" s="66" t="s">
        <v>7</v>
      </c>
      <c r="C529" s="66" t="s">
        <v>449</v>
      </c>
      <c r="D529" s="66" t="s">
        <v>450</v>
      </c>
      <c r="E529" s="21">
        <f t="shared" ca="1" si="52"/>
        <v>40951</v>
      </c>
      <c r="F529" s="6">
        <f>DATE(36,4,1)</f>
        <v>13241</v>
      </c>
      <c r="G529" s="7">
        <f t="shared" ca="1" si="48"/>
        <v>76</v>
      </c>
      <c r="H529" s="7">
        <f t="shared" ca="1" si="49"/>
        <v>-2</v>
      </c>
      <c r="I529" s="8">
        <f t="shared" ca="1" si="50"/>
        <v>11</v>
      </c>
      <c r="J529" s="9">
        <f t="shared" ca="1" si="53"/>
        <v>75</v>
      </c>
      <c r="K529" s="7" t="s">
        <v>40</v>
      </c>
      <c r="L529" s="10">
        <v>44</v>
      </c>
      <c r="M529" s="24" t="s">
        <v>40</v>
      </c>
      <c r="N529">
        <v>117</v>
      </c>
    </row>
    <row r="530" spans="1:14">
      <c r="A530" s="25">
        <f t="shared" si="51"/>
        <v>529</v>
      </c>
      <c r="B530" s="67" t="s">
        <v>7</v>
      </c>
      <c r="C530" s="67" t="s">
        <v>451</v>
      </c>
      <c r="D530" s="67" t="s">
        <v>449</v>
      </c>
      <c r="E530" s="22">
        <f t="shared" ca="1" si="52"/>
        <v>40951</v>
      </c>
      <c r="F530" s="32"/>
      <c r="G530" s="12">
        <f t="shared" ca="1" si="48"/>
        <v>112</v>
      </c>
      <c r="H530" s="12">
        <f t="shared" ca="1" si="49"/>
        <v>1</v>
      </c>
      <c r="I530" s="13">
        <f t="shared" ca="1" si="50"/>
        <v>12</v>
      </c>
      <c r="J530" s="14">
        <f t="shared" ca="1" si="53"/>
        <v>112</v>
      </c>
      <c r="K530" s="12" t="s">
        <v>41</v>
      </c>
      <c r="L530" s="15">
        <v>44</v>
      </c>
      <c r="M530" s="25" t="s">
        <v>40</v>
      </c>
      <c r="N530">
        <v>117</v>
      </c>
    </row>
    <row r="531" spans="1:14">
      <c r="A531" s="25">
        <f t="shared" si="51"/>
        <v>530</v>
      </c>
      <c r="B531" s="67" t="s">
        <v>7</v>
      </c>
      <c r="C531" s="67" t="s">
        <v>452</v>
      </c>
      <c r="D531" s="67" t="s">
        <v>449</v>
      </c>
      <c r="E531" s="22">
        <f t="shared" ca="1" si="52"/>
        <v>40951</v>
      </c>
      <c r="F531" s="11">
        <f>DATE(68,5,31)</f>
        <v>24989</v>
      </c>
      <c r="G531" s="12">
        <f t="shared" ca="1" si="48"/>
        <v>44</v>
      </c>
      <c r="H531" s="12">
        <f t="shared" ca="1" si="49"/>
        <v>-3</v>
      </c>
      <c r="I531" s="13">
        <f t="shared" ca="1" si="50"/>
        <v>-19</v>
      </c>
      <c r="J531" s="14">
        <f t="shared" ca="1" si="53"/>
        <v>43</v>
      </c>
      <c r="K531" s="12" t="s">
        <v>40</v>
      </c>
      <c r="L531" s="15">
        <v>44</v>
      </c>
      <c r="M531" s="25" t="s">
        <v>40</v>
      </c>
      <c r="N531">
        <v>117</v>
      </c>
    </row>
    <row r="532" spans="1:14">
      <c r="A532" s="25">
        <f t="shared" si="51"/>
        <v>531</v>
      </c>
      <c r="B532" s="67" t="s">
        <v>7</v>
      </c>
      <c r="C532" s="67" t="s">
        <v>342</v>
      </c>
      <c r="D532" s="67" t="s">
        <v>452</v>
      </c>
      <c r="E532" s="22">
        <f t="shared" ca="1" si="52"/>
        <v>40951</v>
      </c>
      <c r="F532" s="11">
        <f>DATE(71,2,19)</f>
        <v>25983</v>
      </c>
      <c r="G532" s="12">
        <f t="shared" ca="1" si="48"/>
        <v>41</v>
      </c>
      <c r="H532" s="12">
        <f t="shared" ca="1" si="49"/>
        <v>0</v>
      </c>
      <c r="I532" s="13">
        <f t="shared" ca="1" si="50"/>
        <v>-7</v>
      </c>
      <c r="J532" s="14">
        <f t="shared" ca="1" si="53"/>
        <v>40</v>
      </c>
      <c r="K532" s="12" t="s">
        <v>41</v>
      </c>
      <c r="L532" s="15">
        <v>44</v>
      </c>
      <c r="M532" s="25" t="s">
        <v>40</v>
      </c>
      <c r="N532">
        <v>117</v>
      </c>
    </row>
    <row r="533" spans="1:14">
      <c r="A533" s="25">
        <f t="shared" si="51"/>
        <v>532</v>
      </c>
      <c r="B533" s="67" t="s">
        <v>7</v>
      </c>
      <c r="C533" s="67" t="s">
        <v>453</v>
      </c>
      <c r="D533" s="67" t="s">
        <v>452</v>
      </c>
      <c r="E533" s="22">
        <f t="shared" ca="1" si="52"/>
        <v>40951</v>
      </c>
      <c r="F533" s="11">
        <f>DATE(97,2,28)</f>
        <v>35489</v>
      </c>
      <c r="G533" s="12">
        <f t="shared" ca="1" si="48"/>
        <v>15</v>
      </c>
      <c r="H533" s="12">
        <f t="shared" ca="1" si="49"/>
        <v>0</v>
      </c>
      <c r="I533" s="13">
        <f t="shared" ca="1" si="50"/>
        <v>-16</v>
      </c>
      <c r="J533" s="14">
        <f t="shared" ca="1" si="53"/>
        <v>14</v>
      </c>
      <c r="K533" s="12" t="s">
        <v>41</v>
      </c>
      <c r="L533" s="15">
        <v>44</v>
      </c>
      <c r="M533" s="25" t="s">
        <v>44</v>
      </c>
      <c r="N533">
        <v>117</v>
      </c>
    </row>
    <row r="534" spans="1:14">
      <c r="A534" s="25">
        <f t="shared" si="51"/>
        <v>533</v>
      </c>
      <c r="B534" s="67" t="s">
        <v>7</v>
      </c>
      <c r="C534" s="67" t="s">
        <v>454</v>
      </c>
      <c r="D534" s="67" t="s">
        <v>452</v>
      </c>
      <c r="E534" s="22">
        <f t="shared" ca="1" si="52"/>
        <v>40951</v>
      </c>
      <c r="F534" s="11">
        <f>DATE(99,6,14)</f>
        <v>36325</v>
      </c>
      <c r="G534" s="12">
        <f t="shared" ca="1" si="48"/>
        <v>13</v>
      </c>
      <c r="H534" s="12">
        <f t="shared" ca="1" si="49"/>
        <v>-4</v>
      </c>
      <c r="I534" s="13">
        <f t="shared" ca="1" si="50"/>
        <v>-2</v>
      </c>
      <c r="J534" s="14">
        <f t="shared" ca="1" si="53"/>
        <v>12</v>
      </c>
      <c r="K534" s="12" t="s">
        <v>41</v>
      </c>
      <c r="L534" s="15">
        <v>44</v>
      </c>
      <c r="M534" s="25" t="s">
        <v>44</v>
      </c>
      <c r="N534">
        <v>117</v>
      </c>
    </row>
    <row r="535" spans="1:14">
      <c r="A535" s="25">
        <f t="shared" si="51"/>
        <v>534</v>
      </c>
      <c r="B535" s="67" t="s">
        <v>7</v>
      </c>
      <c r="C535" s="67" t="s">
        <v>455</v>
      </c>
      <c r="D535" s="67" t="s">
        <v>452</v>
      </c>
      <c r="E535" s="22">
        <f t="shared" ca="1" si="52"/>
        <v>40951</v>
      </c>
      <c r="F535" s="11">
        <f>DATE(2005,7,23)</f>
        <v>38556</v>
      </c>
      <c r="G535" s="12">
        <f t="shared" ca="1" si="48"/>
        <v>7</v>
      </c>
      <c r="H535" s="12">
        <f t="shared" ca="1" si="49"/>
        <v>-5</v>
      </c>
      <c r="I535" s="13">
        <f t="shared" ca="1" si="50"/>
        <v>-11</v>
      </c>
      <c r="J535" s="14">
        <f t="shared" ca="1" si="53"/>
        <v>6</v>
      </c>
      <c r="K535" s="12" t="s">
        <v>41</v>
      </c>
      <c r="L535" s="15">
        <v>44</v>
      </c>
      <c r="M535" s="25" t="s">
        <v>44</v>
      </c>
      <c r="N535">
        <v>117</v>
      </c>
    </row>
    <row r="536" spans="1:14">
      <c r="A536" s="25">
        <f t="shared" si="51"/>
        <v>535</v>
      </c>
      <c r="B536" s="67" t="s">
        <v>7</v>
      </c>
      <c r="C536" s="67" t="s">
        <v>143</v>
      </c>
      <c r="D536" s="67" t="s">
        <v>449</v>
      </c>
      <c r="E536" s="22">
        <f t="shared" ca="1" si="52"/>
        <v>40951</v>
      </c>
      <c r="F536" s="11">
        <f>DATE(69,10,3)</f>
        <v>25479</v>
      </c>
      <c r="G536" s="12">
        <f t="shared" ca="1" si="48"/>
        <v>43</v>
      </c>
      <c r="H536" s="12">
        <f t="shared" ca="1" si="49"/>
        <v>-8</v>
      </c>
      <c r="I536" s="13">
        <f t="shared" ca="1" si="50"/>
        <v>9</v>
      </c>
      <c r="J536" s="14">
        <f t="shared" ca="1" si="53"/>
        <v>42</v>
      </c>
      <c r="K536" s="12" t="s">
        <v>41</v>
      </c>
      <c r="L536" s="15">
        <v>44</v>
      </c>
      <c r="M536" s="25" t="s">
        <v>44</v>
      </c>
      <c r="N536">
        <v>117</v>
      </c>
    </row>
    <row r="537" spans="1:14" ht="15.75" thickBot="1">
      <c r="A537" s="26">
        <f t="shared" si="51"/>
        <v>536</v>
      </c>
      <c r="B537" s="67" t="s">
        <v>7</v>
      </c>
      <c r="C537" s="68" t="s">
        <v>456</v>
      </c>
      <c r="D537" s="68" t="s">
        <v>449</v>
      </c>
      <c r="E537" s="23">
        <f t="shared" ca="1" si="52"/>
        <v>40951</v>
      </c>
      <c r="F537" s="16">
        <f>DATE(71,5,26)</f>
        <v>26079</v>
      </c>
      <c r="G537" s="17">
        <f t="shared" ref="G537:G600" ca="1" si="54">YEAR(E537)-YEAR(F537)</f>
        <v>41</v>
      </c>
      <c r="H537" s="17">
        <f t="shared" ref="H537:H600" ca="1" si="55">MONTH(E537)-MONTH(F537)</f>
        <v>-3</v>
      </c>
      <c r="I537" s="18">
        <f t="shared" ref="I537:I600" ca="1" si="56">DAY(E537)-DAY(F537)</f>
        <v>-14</v>
      </c>
      <c r="J537" s="19">
        <f t="shared" ca="1" si="53"/>
        <v>40</v>
      </c>
      <c r="K537" s="17" t="s">
        <v>41</v>
      </c>
      <c r="L537" s="20">
        <v>44</v>
      </c>
      <c r="M537" s="26" t="s">
        <v>44</v>
      </c>
      <c r="N537">
        <v>117</v>
      </c>
    </row>
    <row r="538" spans="1:14">
      <c r="A538" s="24">
        <f t="shared" si="51"/>
        <v>537</v>
      </c>
      <c r="B538" s="66" t="s">
        <v>7</v>
      </c>
      <c r="C538" s="66" t="s">
        <v>277</v>
      </c>
      <c r="D538" s="66" t="s">
        <v>457</v>
      </c>
      <c r="E538" s="21">
        <f t="shared" ca="1" si="52"/>
        <v>40951</v>
      </c>
      <c r="F538" s="6">
        <f>DATE(57,7,10)</f>
        <v>21011</v>
      </c>
      <c r="G538" s="7">
        <f t="shared" ca="1" si="54"/>
        <v>55</v>
      </c>
      <c r="H538" s="7">
        <f t="shared" ca="1" si="55"/>
        <v>-5</v>
      </c>
      <c r="I538" s="8">
        <f t="shared" ca="1" si="56"/>
        <v>2</v>
      </c>
      <c r="J538" s="9">
        <f t="shared" ca="1" si="53"/>
        <v>54</v>
      </c>
      <c r="K538" s="7" t="s">
        <v>40</v>
      </c>
      <c r="L538" s="10">
        <v>44</v>
      </c>
      <c r="M538" s="24" t="s">
        <v>40</v>
      </c>
      <c r="N538">
        <v>118</v>
      </c>
    </row>
    <row r="539" spans="1:14">
      <c r="A539" s="25">
        <f t="shared" si="51"/>
        <v>538</v>
      </c>
      <c r="B539" s="67" t="s">
        <v>7</v>
      </c>
      <c r="C539" s="67" t="s">
        <v>113</v>
      </c>
      <c r="D539" s="67" t="s">
        <v>277</v>
      </c>
      <c r="E539" s="22">
        <f t="shared" ca="1" si="52"/>
        <v>40951</v>
      </c>
      <c r="F539" s="11">
        <f>DATE(66,1,16)</f>
        <v>24123</v>
      </c>
      <c r="G539" s="12">
        <f t="shared" ca="1" si="54"/>
        <v>46</v>
      </c>
      <c r="H539" s="12">
        <f t="shared" ca="1" si="55"/>
        <v>1</v>
      </c>
      <c r="I539" s="13">
        <f t="shared" ca="1" si="56"/>
        <v>-4</v>
      </c>
      <c r="J539" s="14">
        <f t="shared" ca="1" si="53"/>
        <v>46</v>
      </c>
      <c r="K539" s="12" t="s">
        <v>41</v>
      </c>
      <c r="L539" s="15">
        <v>44</v>
      </c>
      <c r="M539" s="25" t="s">
        <v>40</v>
      </c>
      <c r="N539">
        <v>118</v>
      </c>
    </row>
    <row r="540" spans="1:14">
      <c r="A540" s="25">
        <f t="shared" si="51"/>
        <v>539</v>
      </c>
      <c r="B540" s="67" t="s">
        <v>7</v>
      </c>
      <c r="C540" s="67" t="s">
        <v>169</v>
      </c>
      <c r="D540" s="67" t="s">
        <v>277</v>
      </c>
      <c r="E540" s="22">
        <f t="shared" ca="1" si="52"/>
        <v>40951</v>
      </c>
      <c r="F540" s="11">
        <f>DATE(85,3,7)</f>
        <v>31113</v>
      </c>
      <c r="G540" s="12">
        <f t="shared" ca="1" si="54"/>
        <v>27</v>
      </c>
      <c r="H540" s="12">
        <f t="shared" ca="1" si="55"/>
        <v>-1</v>
      </c>
      <c r="I540" s="13">
        <f t="shared" ca="1" si="56"/>
        <v>5</v>
      </c>
      <c r="J540" s="14">
        <f t="shared" ca="1" si="53"/>
        <v>26</v>
      </c>
      <c r="K540" s="12" t="s">
        <v>40</v>
      </c>
      <c r="L540" s="15">
        <v>44</v>
      </c>
      <c r="M540" s="25" t="s">
        <v>44</v>
      </c>
      <c r="N540">
        <v>118</v>
      </c>
    </row>
    <row r="541" spans="1:14">
      <c r="A541" s="25">
        <f t="shared" si="51"/>
        <v>540</v>
      </c>
      <c r="B541" s="67" t="s">
        <v>7</v>
      </c>
      <c r="C541" s="67" t="s">
        <v>100</v>
      </c>
      <c r="D541" s="67" t="s">
        <v>277</v>
      </c>
      <c r="E541" s="22">
        <f t="shared" ca="1" si="52"/>
        <v>40951</v>
      </c>
      <c r="F541" s="11">
        <f>DATE(86,2,7)</f>
        <v>31450</v>
      </c>
      <c r="G541" s="12">
        <f t="shared" ca="1" si="54"/>
        <v>26</v>
      </c>
      <c r="H541" s="12">
        <f t="shared" ca="1" si="55"/>
        <v>0</v>
      </c>
      <c r="I541" s="13">
        <f t="shared" ca="1" si="56"/>
        <v>5</v>
      </c>
      <c r="J541" s="14">
        <f t="shared" ca="1" si="53"/>
        <v>26</v>
      </c>
      <c r="K541" s="12" t="s">
        <v>41</v>
      </c>
      <c r="L541" s="15">
        <v>44</v>
      </c>
      <c r="M541" s="25" t="s">
        <v>44</v>
      </c>
      <c r="N541">
        <v>118</v>
      </c>
    </row>
    <row r="542" spans="1:14">
      <c r="A542" s="25">
        <f t="shared" ref="A542:A605" si="57">A541+1</f>
        <v>541</v>
      </c>
      <c r="B542" s="67" t="s">
        <v>7</v>
      </c>
      <c r="C542" s="67" t="s">
        <v>458</v>
      </c>
      <c r="D542" s="67" t="s">
        <v>277</v>
      </c>
      <c r="E542" s="22">
        <f t="shared" ca="1" si="52"/>
        <v>40951</v>
      </c>
      <c r="F542" s="11">
        <f>DATE(87,9,12)</f>
        <v>32032</v>
      </c>
      <c r="G542" s="12">
        <f t="shared" ca="1" si="54"/>
        <v>25</v>
      </c>
      <c r="H542" s="12">
        <f t="shared" ca="1" si="55"/>
        <v>-7</v>
      </c>
      <c r="I542" s="13">
        <f t="shared" ca="1" si="56"/>
        <v>0</v>
      </c>
      <c r="J542" s="14">
        <f t="shared" ca="1" si="53"/>
        <v>24</v>
      </c>
      <c r="K542" s="12" t="s">
        <v>41</v>
      </c>
      <c r="L542" s="15">
        <v>44</v>
      </c>
      <c r="M542" s="25" t="s">
        <v>44</v>
      </c>
      <c r="N542">
        <v>118</v>
      </c>
    </row>
    <row r="543" spans="1:14" ht="15.75" thickBot="1">
      <c r="A543" s="26">
        <f t="shared" si="57"/>
        <v>542</v>
      </c>
      <c r="B543" s="67" t="s">
        <v>7</v>
      </c>
      <c r="C543" s="68" t="s">
        <v>459</v>
      </c>
      <c r="D543" s="68" t="s">
        <v>184</v>
      </c>
      <c r="E543" s="23">
        <f t="shared" ca="1" si="52"/>
        <v>40951</v>
      </c>
      <c r="F543" s="16">
        <f>DATE(82,9,25)</f>
        <v>30219</v>
      </c>
      <c r="G543" s="17">
        <f t="shared" ca="1" si="54"/>
        <v>30</v>
      </c>
      <c r="H543" s="17">
        <f t="shared" ca="1" si="55"/>
        <v>-7</v>
      </c>
      <c r="I543" s="18">
        <f t="shared" ca="1" si="56"/>
        <v>-13</v>
      </c>
      <c r="J543" s="19">
        <f t="shared" ca="1" si="53"/>
        <v>29</v>
      </c>
      <c r="K543" s="17" t="s">
        <v>40</v>
      </c>
      <c r="L543" s="20">
        <v>44</v>
      </c>
      <c r="M543" s="26" t="s">
        <v>44</v>
      </c>
      <c r="N543">
        <v>118</v>
      </c>
    </row>
    <row r="544" spans="1:14">
      <c r="A544" s="24">
        <f t="shared" si="57"/>
        <v>543</v>
      </c>
      <c r="B544" s="66" t="s">
        <v>7</v>
      </c>
      <c r="C544" s="66" t="s">
        <v>208</v>
      </c>
      <c r="D544" s="66" t="s">
        <v>134</v>
      </c>
      <c r="E544" s="21">
        <f t="shared" ca="1" si="52"/>
        <v>40951</v>
      </c>
      <c r="F544" s="6">
        <f>DATE(67,3,27)</f>
        <v>24558</v>
      </c>
      <c r="G544" s="7">
        <f t="shared" ca="1" si="54"/>
        <v>45</v>
      </c>
      <c r="H544" s="7">
        <f t="shared" ca="1" si="55"/>
        <v>-1</v>
      </c>
      <c r="I544" s="8">
        <f t="shared" ca="1" si="56"/>
        <v>-15</v>
      </c>
      <c r="J544" s="9">
        <f t="shared" ca="1" si="53"/>
        <v>44</v>
      </c>
      <c r="K544" s="7" t="s">
        <v>40</v>
      </c>
      <c r="L544" s="10">
        <v>45</v>
      </c>
      <c r="M544" s="24" t="s">
        <v>40</v>
      </c>
      <c r="N544">
        <v>119</v>
      </c>
    </row>
    <row r="545" spans="1:14">
      <c r="A545" s="25">
        <f t="shared" si="57"/>
        <v>544</v>
      </c>
      <c r="B545" s="67" t="s">
        <v>7</v>
      </c>
      <c r="C545" s="67" t="s">
        <v>170</v>
      </c>
      <c r="D545" s="67" t="s">
        <v>208</v>
      </c>
      <c r="E545" s="22">
        <f t="shared" ca="1" si="52"/>
        <v>40951</v>
      </c>
      <c r="F545" s="11">
        <f>DATE(72,8,6)</f>
        <v>26517</v>
      </c>
      <c r="G545" s="12">
        <f t="shared" ca="1" si="54"/>
        <v>40</v>
      </c>
      <c r="H545" s="12">
        <f t="shared" ca="1" si="55"/>
        <v>-6</v>
      </c>
      <c r="I545" s="13">
        <f t="shared" ca="1" si="56"/>
        <v>6</v>
      </c>
      <c r="J545" s="14">
        <f t="shared" ca="1" si="53"/>
        <v>39</v>
      </c>
      <c r="K545" s="12" t="s">
        <v>41</v>
      </c>
      <c r="L545" s="15">
        <v>45</v>
      </c>
      <c r="M545" s="25" t="s">
        <v>40</v>
      </c>
      <c r="N545">
        <v>119</v>
      </c>
    </row>
    <row r="546" spans="1:14" ht="15.75" thickBot="1">
      <c r="A546" s="26">
        <f t="shared" si="57"/>
        <v>545</v>
      </c>
      <c r="B546" s="67" t="s">
        <v>7</v>
      </c>
      <c r="C546" s="68" t="s">
        <v>460</v>
      </c>
      <c r="D546" s="68" t="s">
        <v>208</v>
      </c>
      <c r="E546" s="23">
        <f t="shared" ref="E546:E610" ca="1" si="58">TODAY()</f>
        <v>40951</v>
      </c>
      <c r="F546" s="16">
        <f>DATE(97,1,29)</f>
        <v>35459</v>
      </c>
      <c r="G546" s="17">
        <f t="shared" ca="1" si="54"/>
        <v>15</v>
      </c>
      <c r="H546" s="17">
        <f t="shared" ca="1" si="55"/>
        <v>1</v>
      </c>
      <c r="I546" s="18">
        <f t="shared" ca="1" si="56"/>
        <v>-17</v>
      </c>
      <c r="J546" s="19">
        <f t="shared" ca="1" si="53"/>
        <v>15</v>
      </c>
      <c r="K546" s="17" t="s">
        <v>40</v>
      </c>
      <c r="L546" s="20">
        <v>45</v>
      </c>
      <c r="M546" s="26" t="s">
        <v>40</v>
      </c>
      <c r="N546">
        <v>119</v>
      </c>
    </row>
    <row r="547" spans="1:14">
      <c r="A547" s="24">
        <f t="shared" si="57"/>
        <v>546</v>
      </c>
      <c r="B547" s="66" t="s">
        <v>7</v>
      </c>
      <c r="C547" s="66" t="s">
        <v>461</v>
      </c>
      <c r="D547" s="66" t="s">
        <v>443</v>
      </c>
      <c r="E547" s="21">
        <f t="shared" ca="1" si="58"/>
        <v>40951</v>
      </c>
      <c r="F547" s="45"/>
      <c r="G547" s="7">
        <f t="shared" ca="1" si="54"/>
        <v>112</v>
      </c>
      <c r="H547" s="7">
        <f t="shared" ca="1" si="55"/>
        <v>1</v>
      </c>
      <c r="I547" s="8">
        <f t="shared" ca="1" si="56"/>
        <v>12</v>
      </c>
      <c r="J547" s="9">
        <f t="shared" ca="1" si="53"/>
        <v>112</v>
      </c>
      <c r="K547" s="7" t="s">
        <v>41</v>
      </c>
      <c r="L547" s="10">
        <v>45</v>
      </c>
      <c r="M547" s="24" t="s">
        <v>40</v>
      </c>
      <c r="N547">
        <v>120</v>
      </c>
    </row>
    <row r="548" spans="1:14">
      <c r="A548" s="25">
        <f t="shared" si="57"/>
        <v>547</v>
      </c>
      <c r="B548" s="67" t="s">
        <v>7</v>
      </c>
      <c r="C548" s="67" t="s">
        <v>49</v>
      </c>
      <c r="D548" s="67" t="s">
        <v>443</v>
      </c>
      <c r="E548" s="22">
        <f t="shared" ca="1" si="58"/>
        <v>40951</v>
      </c>
      <c r="F548" s="11">
        <f>DATE(56,10,28)</f>
        <v>20756</v>
      </c>
      <c r="G548" s="12">
        <f t="shared" ca="1" si="54"/>
        <v>56</v>
      </c>
      <c r="H548" s="12">
        <f t="shared" ca="1" si="55"/>
        <v>-8</v>
      </c>
      <c r="I548" s="13">
        <f t="shared" ca="1" si="56"/>
        <v>-16</v>
      </c>
      <c r="J548" s="14">
        <f t="shared" ca="1" si="53"/>
        <v>55</v>
      </c>
      <c r="K548" s="12" t="s">
        <v>40</v>
      </c>
      <c r="L548" s="15">
        <v>45</v>
      </c>
      <c r="M548" s="25" t="s">
        <v>40</v>
      </c>
      <c r="N548">
        <v>120</v>
      </c>
    </row>
    <row r="549" spans="1:14">
      <c r="A549" s="25">
        <f t="shared" si="57"/>
        <v>548</v>
      </c>
      <c r="B549" s="67" t="s">
        <v>7</v>
      </c>
      <c r="C549" s="67" t="s">
        <v>462</v>
      </c>
      <c r="D549" s="67" t="s">
        <v>49</v>
      </c>
      <c r="E549" s="22">
        <f t="shared" ca="1" si="58"/>
        <v>40951</v>
      </c>
      <c r="F549" s="11">
        <f>DATE(63,3,31)</f>
        <v>23101</v>
      </c>
      <c r="G549" s="12">
        <f t="shared" ca="1" si="54"/>
        <v>49</v>
      </c>
      <c r="H549" s="12">
        <f t="shared" ca="1" si="55"/>
        <v>-1</v>
      </c>
      <c r="I549" s="13">
        <f t="shared" ca="1" si="56"/>
        <v>-19</v>
      </c>
      <c r="J549" s="14">
        <f t="shared" ca="1" si="53"/>
        <v>48</v>
      </c>
      <c r="K549" s="12" t="s">
        <v>41</v>
      </c>
      <c r="L549" s="15">
        <v>45</v>
      </c>
      <c r="M549" s="25" t="s">
        <v>40</v>
      </c>
      <c r="N549">
        <v>120</v>
      </c>
    </row>
    <row r="550" spans="1:14">
      <c r="A550" s="25">
        <f t="shared" si="57"/>
        <v>549</v>
      </c>
      <c r="B550" s="67" t="s">
        <v>7</v>
      </c>
      <c r="C550" s="67" t="s">
        <v>301</v>
      </c>
      <c r="D550" s="67" t="s">
        <v>49</v>
      </c>
      <c r="E550" s="22">
        <f t="shared" ca="1" si="58"/>
        <v>40951</v>
      </c>
      <c r="F550" s="11">
        <f>DATE(83,3,11)</f>
        <v>30386</v>
      </c>
      <c r="G550" s="12">
        <f t="shared" ca="1" si="54"/>
        <v>29</v>
      </c>
      <c r="H550" s="12">
        <f t="shared" ca="1" si="55"/>
        <v>-1</v>
      </c>
      <c r="I550" s="13">
        <f t="shared" ca="1" si="56"/>
        <v>1</v>
      </c>
      <c r="J550" s="14">
        <f t="shared" ca="1" si="53"/>
        <v>28</v>
      </c>
      <c r="K550" s="12" t="s">
        <v>40</v>
      </c>
      <c r="L550" s="15">
        <v>45</v>
      </c>
      <c r="M550" s="25" t="s">
        <v>44</v>
      </c>
      <c r="N550">
        <v>120</v>
      </c>
    </row>
    <row r="551" spans="1:14">
      <c r="A551" s="25">
        <f t="shared" si="57"/>
        <v>550</v>
      </c>
      <c r="B551" s="67" t="s">
        <v>7</v>
      </c>
      <c r="C551" s="67" t="s">
        <v>385</v>
      </c>
      <c r="D551" s="67" t="s">
        <v>49</v>
      </c>
      <c r="E551" s="22">
        <f t="shared" ca="1" si="58"/>
        <v>40951</v>
      </c>
      <c r="F551" s="11">
        <f>DATE(88,4,22)</f>
        <v>32255</v>
      </c>
      <c r="G551" s="12">
        <f t="shared" ca="1" si="54"/>
        <v>24</v>
      </c>
      <c r="H551" s="12">
        <f t="shared" ca="1" si="55"/>
        <v>-2</v>
      </c>
      <c r="I551" s="13">
        <f t="shared" ca="1" si="56"/>
        <v>-10</v>
      </c>
      <c r="J551" s="14">
        <f t="shared" ca="1" si="53"/>
        <v>23</v>
      </c>
      <c r="K551" s="12" t="s">
        <v>41</v>
      </c>
      <c r="L551" s="15">
        <v>45</v>
      </c>
      <c r="M551" s="25" t="s">
        <v>44</v>
      </c>
      <c r="N551">
        <v>120</v>
      </c>
    </row>
    <row r="552" spans="1:14">
      <c r="A552" s="25">
        <f t="shared" si="57"/>
        <v>551</v>
      </c>
      <c r="B552" s="67" t="s">
        <v>7</v>
      </c>
      <c r="C552" s="67" t="s">
        <v>463</v>
      </c>
      <c r="D552" s="67" t="s">
        <v>443</v>
      </c>
      <c r="E552" s="22">
        <f t="shared" ca="1" si="58"/>
        <v>40951</v>
      </c>
      <c r="F552" s="11">
        <f>DATE(58,9,13)</f>
        <v>21441</v>
      </c>
      <c r="G552" s="12">
        <f t="shared" ca="1" si="54"/>
        <v>54</v>
      </c>
      <c r="H552" s="12">
        <f t="shared" ca="1" si="55"/>
        <v>-7</v>
      </c>
      <c r="I552" s="13">
        <f t="shared" ca="1" si="56"/>
        <v>-1</v>
      </c>
      <c r="J552" s="14">
        <f t="shared" ca="1" si="53"/>
        <v>53</v>
      </c>
      <c r="K552" s="12" t="s">
        <v>40</v>
      </c>
      <c r="L552" s="15">
        <v>45</v>
      </c>
      <c r="M552" s="25" t="s">
        <v>40</v>
      </c>
      <c r="N552">
        <v>120</v>
      </c>
    </row>
    <row r="553" spans="1:14">
      <c r="A553" s="25">
        <f t="shared" si="57"/>
        <v>552</v>
      </c>
      <c r="B553" s="67" t="s">
        <v>7</v>
      </c>
      <c r="C553" s="67" t="s">
        <v>464</v>
      </c>
      <c r="D553" s="67" t="s">
        <v>463</v>
      </c>
      <c r="E553" s="22">
        <f t="shared" ca="1" si="58"/>
        <v>40951</v>
      </c>
      <c r="F553" s="11">
        <f>DATE(66,7,17)</f>
        <v>24305</v>
      </c>
      <c r="G553" s="12">
        <f t="shared" ca="1" si="54"/>
        <v>46</v>
      </c>
      <c r="H553" s="12">
        <f t="shared" ca="1" si="55"/>
        <v>-5</v>
      </c>
      <c r="I553" s="13">
        <f t="shared" ca="1" si="56"/>
        <v>-5</v>
      </c>
      <c r="J553" s="14">
        <f t="shared" ca="1" si="53"/>
        <v>45</v>
      </c>
      <c r="K553" s="12" t="s">
        <v>41</v>
      </c>
      <c r="L553" s="15">
        <v>45</v>
      </c>
      <c r="M553" s="25" t="s">
        <v>40</v>
      </c>
      <c r="N553">
        <v>120</v>
      </c>
    </row>
    <row r="554" spans="1:14">
      <c r="A554" s="25">
        <f t="shared" si="57"/>
        <v>553</v>
      </c>
      <c r="B554" s="67" t="s">
        <v>7</v>
      </c>
      <c r="C554" s="67" t="s">
        <v>183</v>
      </c>
      <c r="D554" s="67" t="s">
        <v>463</v>
      </c>
      <c r="E554" s="22">
        <f t="shared" ca="1" si="58"/>
        <v>40951</v>
      </c>
      <c r="F554" s="11">
        <f>DATE(85,1,19)</f>
        <v>31066</v>
      </c>
      <c r="G554" s="12">
        <f t="shared" ca="1" si="54"/>
        <v>27</v>
      </c>
      <c r="H554" s="12">
        <f t="shared" ca="1" si="55"/>
        <v>1</v>
      </c>
      <c r="I554" s="13">
        <f t="shared" ca="1" si="56"/>
        <v>-7</v>
      </c>
      <c r="J554" s="14">
        <f t="shared" ca="1" si="53"/>
        <v>27</v>
      </c>
      <c r="K554" s="12" t="s">
        <v>40</v>
      </c>
      <c r="L554" s="15">
        <v>45</v>
      </c>
      <c r="M554" s="25" t="s">
        <v>44</v>
      </c>
      <c r="N554">
        <v>120</v>
      </c>
    </row>
    <row r="555" spans="1:14">
      <c r="A555" s="25">
        <f t="shared" si="57"/>
        <v>554</v>
      </c>
      <c r="B555" s="67" t="s">
        <v>7</v>
      </c>
      <c r="C555" s="67" t="s">
        <v>465</v>
      </c>
      <c r="D555" s="67" t="s">
        <v>443</v>
      </c>
      <c r="E555" s="22">
        <f t="shared" ca="1" si="58"/>
        <v>40951</v>
      </c>
      <c r="F555" s="11">
        <f>DATE(62,10,6)</f>
        <v>22925</v>
      </c>
      <c r="G555" s="12">
        <f t="shared" ca="1" si="54"/>
        <v>50</v>
      </c>
      <c r="H555" s="12">
        <f t="shared" ca="1" si="55"/>
        <v>-8</v>
      </c>
      <c r="I555" s="13">
        <f t="shared" ca="1" si="56"/>
        <v>6</v>
      </c>
      <c r="J555" s="14">
        <f t="shared" ca="1" si="53"/>
        <v>49</v>
      </c>
      <c r="K555" s="12" t="s">
        <v>40</v>
      </c>
      <c r="L555" s="15">
        <v>45</v>
      </c>
      <c r="M555" s="25" t="s">
        <v>40</v>
      </c>
      <c r="N555">
        <v>120</v>
      </c>
    </row>
    <row r="556" spans="1:14">
      <c r="A556" s="25">
        <f t="shared" si="57"/>
        <v>555</v>
      </c>
      <c r="B556" s="67" t="s">
        <v>7</v>
      </c>
      <c r="C556" s="67" t="s">
        <v>81</v>
      </c>
      <c r="D556" s="67" t="s">
        <v>465</v>
      </c>
      <c r="E556" s="22">
        <f t="shared" ca="1" si="58"/>
        <v>40951</v>
      </c>
      <c r="F556" s="11">
        <f>DATE(66,10,16)</f>
        <v>24396</v>
      </c>
      <c r="G556" s="12">
        <f t="shared" ca="1" si="54"/>
        <v>46</v>
      </c>
      <c r="H556" s="12">
        <f t="shared" ca="1" si="55"/>
        <v>-8</v>
      </c>
      <c r="I556" s="13">
        <f t="shared" ca="1" si="56"/>
        <v>-4</v>
      </c>
      <c r="J556" s="14">
        <f t="shared" ca="1" si="53"/>
        <v>45</v>
      </c>
      <c r="K556" s="12" t="s">
        <v>41</v>
      </c>
      <c r="L556" s="15">
        <v>45</v>
      </c>
      <c r="M556" s="25" t="s">
        <v>40</v>
      </c>
      <c r="N556">
        <v>120</v>
      </c>
    </row>
    <row r="557" spans="1:14">
      <c r="A557" s="25">
        <f t="shared" si="57"/>
        <v>556</v>
      </c>
      <c r="B557" s="67" t="s">
        <v>7</v>
      </c>
      <c r="C557" s="67" t="s">
        <v>74</v>
      </c>
      <c r="D557" s="67" t="s">
        <v>465</v>
      </c>
      <c r="E557" s="22">
        <f t="shared" ca="1" si="58"/>
        <v>40951</v>
      </c>
      <c r="F557" s="44">
        <f>DATE(89,10,16)</f>
        <v>32797</v>
      </c>
      <c r="G557" s="12">
        <f t="shared" ca="1" si="54"/>
        <v>23</v>
      </c>
      <c r="H557" s="12">
        <f t="shared" ca="1" si="55"/>
        <v>-8</v>
      </c>
      <c r="I557" s="13">
        <f t="shared" ca="1" si="56"/>
        <v>-4</v>
      </c>
      <c r="J557" s="14">
        <f t="shared" ca="1" si="53"/>
        <v>22</v>
      </c>
      <c r="K557" s="12" t="s">
        <v>41</v>
      </c>
      <c r="L557" s="15">
        <v>45</v>
      </c>
      <c r="M557" s="25" t="s">
        <v>44</v>
      </c>
      <c r="N557">
        <v>120</v>
      </c>
    </row>
    <row r="558" spans="1:14">
      <c r="A558" s="25">
        <f t="shared" si="57"/>
        <v>557</v>
      </c>
      <c r="B558" s="67" t="s">
        <v>7</v>
      </c>
      <c r="C558" s="67" t="s">
        <v>361</v>
      </c>
      <c r="D558" s="67" t="s">
        <v>465</v>
      </c>
      <c r="E558" s="22">
        <f t="shared" ca="1" si="58"/>
        <v>40951</v>
      </c>
      <c r="F558" s="11">
        <f>DATE(92,5,26)</f>
        <v>33750</v>
      </c>
      <c r="G558" s="12">
        <f t="shared" ca="1" si="54"/>
        <v>20</v>
      </c>
      <c r="H558" s="12">
        <f t="shared" ca="1" si="55"/>
        <v>-3</v>
      </c>
      <c r="I558" s="13">
        <f t="shared" ca="1" si="56"/>
        <v>-14</v>
      </c>
      <c r="J558" s="14">
        <f t="shared" ca="1" si="53"/>
        <v>19</v>
      </c>
      <c r="K558" s="12" t="s">
        <v>41</v>
      </c>
      <c r="L558" s="15">
        <v>45</v>
      </c>
      <c r="M558" s="25" t="s">
        <v>44</v>
      </c>
      <c r="N558">
        <v>120</v>
      </c>
    </row>
    <row r="559" spans="1:14" ht="15.75" thickBot="1">
      <c r="A559" s="26">
        <f t="shared" si="57"/>
        <v>558</v>
      </c>
      <c r="B559" s="67" t="s">
        <v>7</v>
      </c>
      <c r="C559" s="68" t="s">
        <v>339</v>
      </c>
      <c r="D559" s="68" t="s">
        <v>465</v>
      </c>
      <c r="E559" s="23">
        <f t="shared" ca="1" si="58"/>
        <v>40951</v>
      </c>
      <c r="F559" s="16">
        <f>DATE(98,3,10)</f>
        <v>35864</v>
      </c>
      <c r="G559" s="17">
        <f t="shared" ca="1" si="54"/>
        <v>14</v>
      </c>
      <c r="H559" s="17">
        <f t="shared" ca="1" si="55"/>
        <v>-1</v>
      </c>
      <c r="I559" s="18">
        <f t="shared" ca="1" si="56"/>
        <v>2</v>
      </c>
      <c r="J559" s="19">
        <f t="shared" ca="1" si="53"/>
        <v>13</v>
      </c>
      <c r="K559" s="17" t="s">
        <v>40</v>
      </c>
      <c r="L559" s="20">
        <v>45</v>
      </c>
      <c r="M559" s="26" t="s">
        <v>44</v>
      </c>
      <c r="N559">
        <v>120</v>
      </c>
    </row>
    <row r="560" spans="1:14">
      <c r="A560" s="24">
        <f t="shared" si="57"/>
        <v>559</v>
      </c>
      <c r="B560" s="66" t="s">
        <v>7</v>
      </c>
      <c r="C560" s="66" t="s">
        <v>348</v>
      </c>
      <c r="D560" s="66" t="s">
        <v>435</v>
      </c>
      <c r="E560" s="21">
        <f t="shared" ca="1" si="58"/>
        <v>40951</v>
      </c>
      <c r="F560" s="6">
        <f>DATE(58,7,15)</f>
        <v>21381</v>
      </c>
      <c r="G560" s="7">
        <f t="shared" ca="1" si="54"/>
        <v>54</v>
      </c>
      <c r="H560" s="7">
        <f t="shared" ca="1" si="55"/>
        <v>-5</v>
      </c>
      <c r="I560" s="8">
        <f t="shared" ca="1" si="56"/>
        <v>-3</v>
      </c>
      <c r="J560" s="9">
        <f t="shared" ca="1" si="53"/>
        <v>53</v>
      </c>
      <c r="K560" s="7" t="s">
        <v>40</v>
      </c>
      <c r="L560" s="10">
        <v>46</v>
      </c>
      <c r="M560" s="24" t="s">
        <v>40</v>
      </c>
      <c r="N560">
        <v>121</v>
      </c>
    </row>
    <row r="561" spans="1:14">
      <c r="A561" s="25">
        <f t="shared" si="57"/>
        <v>560</v>
      </c>
      <c r="B561" s="67" t="s">
        <v>7</v>
      </c>
      <c r="C561" s="67" t="s">
        <v>364</v>
      </c>
      <c r="D561" s="67" t="s">
        <v>348</v>
      </c>
      <c r="E561" s="22">
        <f t="shared" ca="1" si="58"/>
        <v>40951</v>
      </c>
      <c r="F561" s="11">
        <f>DATE(66,10,12)</f>
        <v>24392</v>
      </c>
      <c r="G561" s="12">
        <f t="shared" ca="1" si="54"/>
        <v>46</v>
      </c>
      <c r="H561" s="12">
        <f t="shared" ca="1" si="55"/>
        <v>-8</v>
      </c>
      <c r="I561" s="13">
        <f t="shared" ca="1" si="56"/>
        <v>0</v>
      </c>
      <c r="J561" s="14">
        <f t="shared" ca="1" si="53"/>
        <v>45</v>
      </c>
      <c r="K561" s="12" t="s">
        <v>41</v>
      </c>
      <c r="L561" s="15">
        <v>46</v>
      </c>
      <c r="M561" s="25" t="s">
        <v>40</v>
      </c>
      <c r="N561">
        <v>121</v>
      </c>
    </row>
    <row r="562" spans="1:14" ht="15.75" thickBot="1">
      <c r="A562" s="26">
        <f t="shared" si="57"/>
        <v>561</v>
      </c>
      <c r="B562" s="67" t="s">
        <v>7</v>
      </c>
      <c r="C562" s="68" t="s">
        <v>466</v>
      </c>
      <c r="D562" s="68" t="s">
        <v>348</v>
      </c>
      <c r="E562" s="23">
        <f t="shared" ca="1" si="58"/>
        <v>40951</v>
      </c>
      <c r="F562" s="16">
        <f>DATE(92,11,23)</f>
        <v>33931</v>
      </c>
      <c r="G562" s="17">
        <f t="shared" ca="1" si="54"/>
        <v>20</v>
      </c>
      <c r="H562" s="17">
        <f t="shared" ca="1" si="55"/>
        <v>-9</v>
      </c>
      <c r="I562" s="18">
        <f t="shared" ca="1" si="56"/>
        <v>-11</v>
      </c>
      <c r="J562" s="19">
        <f t="shared" ca="1" si="53"/>
        <v>19</v>
      </c>
      <c r="K562" s="17" t="s">
        <v>40</v>
      </c>
      <c r="L562" s="20">
        <v>46</v>
      </c>
      <c r="M562" s="26" t="s">
        <v>44</v>
      </c>
      <c r="N562">
        <v>121</v>
      </c>
    </row>
    <row r="563" spans="1:14">
      <c r="A563" s="24">
        <f t="shared" si="57"/>
        <v>562</v>
      </c>
      <c r="B563" s="66" t="s">
        <v>7</v>
      </c>
      <c r="C563" s="66" t="s">
        <v>467</v>
      </c>
      <c r="D563" s="66" t="s">
        <v>417</v>
      </c>
      <c r="E563" s="21">
        <f t="shared" ca="1" si="58"/>
        <v>40951</v>
      </c>
      <c r="F563" s="6">
        <f>DATE(57,4,22)</f>
        <v>20932</v>
      </c>
      <c r="G563" s="7">
        <f t="shared" ca="1" si="54"/>
        <v>55</v>
      </c>
      <c r="H563" s="7">
        <f t="shared" ca="1" si="55"/>
        <v>-2</v>
      </c>
      <c r="I563" s="8">
        <f t="shared" ca="1" si="56"/>
        <v>-10</v>
      </c>
      <c r="J563" s="9">
        <f t="shared" ca="1" si="53"/>
        <v>54</v>
      </c>
      <c r="K563" s="7" t="s">
        <v>40</v>
      </c>
      <c r="L563" s="10">
        <v>46</v>
      </c>
      <c r="M563" s="24" t="s">
        <v>40</v>
      </c>
      <c r="N563">
        <v>122</v>
      </c>
    </row>
    <row r="564" spans="1:14">
      <c r="A564" s="25">
        <f t="shared" si="57"/>
        <v>563</v>
      </c>
      <c r="B564" s="67" t="s">
        <v>7</v>
      </c>
      <c r="C564" s="67" t="s">
        <v>113</v>
      </c>
      <c r="D564" s="67" t="s">
        <v>467</v>
      </c>
      <c r="E564" s="22">
        <f t="shared" ca="1" si="58"/>
        <v>40951</v>
      </c>
      <c r="F564" s="11">
        <f>DATE(62,9,17)</f>
        <v>22906</v>
      </c>
      <c r="G564" s="12">
        <f t="shared" ca="1" si="54"/>
        <v>50</v>
      </c>
      <c r="H564" s="12">
        <f t="shared" ca="1" si="55"/>
        <v>-7</v>
      </c>
      <c r="I564" s="13">
        <f t="shared" ca="1" si="56"/>
        <v>-5</v>
      </c>
      <c r="J564" s="14">
        <f t="shared" ca="1" si="53"/>
        <v>49</v>
      </c>
      <c r="K564" s="12" t="s">
        <v>40</v>
      </c>
      <c r="L564" s="15">
        <v>46</v>
      </c>
      <c r="M564" s="25" t="s">
        <v>40</v>
      </c>
      <c r="N564">
        <v>122</v>
      </c>
    </row>
    <row r="565" spans="1:14" ht="15.75" thickBot="1">
      <c r="A565" s="26">
        <f t="shared" si="57"/>
        <v>564</v>
      </c>
      <c r="B565" s="67" t="s">
        <v>7</v>
      </c>
      <c r="C565" s="68" t="s">
        <v>468</v>
      </c>
      <c r="D565" s="68" t="s">
        <v>467</v>
      </c>
      <c r="E565" s="23">
        <f t="shared" ca="1" si="58"/>
        <v>40951</v>
      </c>
      <c r="F565" s="16">
        <f>DATE(85,7,27)</f>
        <v>31255</v>
      </c>
      <c r="G565" s="17">
        <f t="shared" ca="1" si="54"/>
        <v>27</v>
      </c>
      <c r="H565" s="17">
        <f t="shared" ca="1" si="55"/>
        <v>-5</v>
      </c>
      <c r="I565" s="18">
        <f t="shared" ca="1" si="56"/>
        <v>-15</v>
      </c>
      <c r="J565" s="19">
        <f t="shared" ca="1" si="53"/>
        <v>26</v>
      </c>
      <c r="K565" s="17" t="s">
        <v>41</v>
      </c>
      <c r="L565" s="20">
        <v>46</v>
      </c>
      <c r="M565" s="26" t="s">
        <v>44</v>
      </c>
      <c r="N565">
        <v>122</v>
      </c>
    </row>
    <row r="566" spans="1:14">
      <c r="A566" s="24">
        <f t="shared" si="57"/>
        <v>565</v>
      </c>
      <c r="B566" s="66" t="s">
        <v>7</v>
      </c>
      <c r="C566" s="66" t="s">
        <v>463</v>
      </c>
      <c r="D566" s="66" t="s">
        <v>469</v>
      </c>
      <c r="E566" s="21">
        <f t="shared" ca="1" si="58"/>
        <v>40951</v>
      </c>
      <c r="F566" s="6">
        <f>DATE(56,12,23)</f>
        <v>20812</v>
      </c>
      <c r="G566" s="7">
        <f t="shared" ca="1" si="54"/>
        <v>56</v>
      </c>
      <c r="H566" s="7">
        <f t="shared" ca="1" si="55"/>
        <v>-10</v>
      </c>
      <c r="I566" s="8">
        <f t="shared" ca="1" si="56"/>
        <v>-11</v>
      </c>
      <c r="J566" s="9">
        <f t="shared" ca="1" si="53"/>
        <v>55</v>
      </c>
      <c r="K566" s="7" t="s">
        <v>40</v>
      </c>
      <c r="L566" s="10">
        <v>46</v>
      </c>
      <c r="M566" s="24" t="s">
        <v>40</v>
      </c>
      <c r="N566">
        <v>123</v>
      </c>
    </row>
    <row r="567" spans="1:14">
      <c r="A567" s="25">
        <f t="shared" si="57"/>
        <v>566</v>
      </c>
      <c r="B567" s="67" t="s">
        <v>7</v>
      </c>
      <c r="C567" s="67" t="s">
        <v>470</v>
      </c>
      <c r="D567" s="67" t="s">
        <v>463</v>
      </c>
      <c r="E567" s="22">
        <f t="shared" ca="1" si="58"/>
        <v>40951</v>
      </c>
      <c r="F567" s="11">
        <f>DATE(61,7,7)</f>
        <v>22469</v>
      </c>
      <c r="G567" s="12">
        <f t="shared" ca="1" si="54"/>
        <v>51</v>
      </c>
      <c r="H567" s="12">
        <f t="shared" ca="1" si="55"/>
        <v>-5</v>
      </c>
      <c r="I567" s="13">
        <f t="shared" ca="1" si="56"/>
        <v>5</v>
      </c>
      <c r="J567" s="14">
        <f t="shared" ca="1" si="53"/>
        <v>50</v>
      </c>
      <c r="K567" s="12" t="s">
        <v>41</v>
      </c>
      <c r="L567" s="15">
        <v>46</v>
      </c>
      <c r="M567" s="25" t="s">
        <v>40</v>
      </c>
      <c r="N567">
        <v>123</v>
      </c>
    </row>
    <row r="568" spans="1:14">
      <c r="A568" s="25">
        <f t="shared" si="57"/>
        <v>567</v>
      </c>
      <c r="B568" s="67" t="s">
        <v>7</v>
      </c>
      <c r="C568" s="67" t="s">
        <v>471</v>
      </c>
      <c r="D568" s="67" t="s">
        <v>463</v>
      </c>
      <c r="E568" s="22">
        <f t="shared" ca="1" si="58"/>
        <v>40951</v>
      </c>
      <c r="F568" s="11">
        <f>DATE(86,9,28)</f>
        <v>31683</v>
      </c>
      <c r="G568" s="12">
        <f t="shared" ca="1" si="54"/>
        <v>26</v>
      </c>
      <c r="H568" s="12">
        <f t="shared" ca="1" si="55"/>
        <v>-7</v>
      </c>
      <c r="I568" s="13">
        <f t="shared" ca="1" si="56"/>
        <v>-16</v>
      </c>
      <c r="J568" s="14">
        <f t="shared" ca="1" si="53"/>
        <v>25</v>
      </c>
      <c r="K568" s="12" t="s">
        <v>41</v>
      </c>
      <c r="L568" s="15">
        <v>46</v>
      </c>
      <c r="M568" s="25" t="s">
        <v>44</v>
      </c>
      <c r="N568">
        <v>123</v>
      </c>
    </row>
    <row r="569" spans="1:14" ht="15.75" thickBot="1">
      <c r="A569" s="26">
        <f t="shared" si="57"/>
        <v>568</v>
      </c>
      <c r="B569" s="67" t="s">
        <v>7</v>
      </c>
      <c r="C569" s="68" t="s">
        <v>472</v>
      </c>
      <c r="D569" s="68" t="s">
        <v>463</v>
      </c>
      <c r="E569" s="23">
        <f t="shared" ca="1" si="58"/>
        <v>40951</v>
      </c>
      <c r="F569" s="16">
        <f>DATE(93,9,17)</f>
        <v>34229</v>
      </c>
      <c r="G569" s="17">
        <f t="shared" ca="1" si="54"/>
        <v>19</v>
      </c>
      <c r="H569" s="17">
        <f t="shared" ca="1" si="55"/>
        <v>-7</v>
      </c>
      <c r="I569" s="18">
        <f t="shared" ca="1" si="56"/>
        <v>-5</v>
      </c>
      <c r="J569" s="19">
        <f t="shared" ca="1" si="53"/>
        <v>18</v>
      </c>
      <c r="K569" s="17" t="s">
        <v>40</v>
      </c>
      <c r="L569" s="20">
        <v>46</v>
      </c>
      <c r="M569" s="26" t="s">
        <v>44</v>
      </c>
      <c r="N569">
        <v>123</v>
      </c>
    </row>
    <row r="570" spans="1:14">
      <c r="A570" s="24">
        <f t="shared" si="57"/>
        <v>569</v>
      </c>
      <c r="B570" s="66" t="s">
        <v>7</v>
      </c>
      <c r="C570" s="66" t="s">
        <v>473</v>
      </c>
      <c r="D570" s="66" t="s">
        <v>65</v>
      </c>
      <c r="E570" s="21">
        <f t="shared" ca="1" si="58"/>
        <v>40951</v>
      </c>
      <c r="F570" s="6">
        <f>DATE(70,1,13)</f>
        <v>25581</v>
      </c>
      <c r="G570" s="7">
        <f t="shared" ca="1" si="54"/>
        <v>42</v>
      </c>
      <c r="H570" s="7">
        <f t="shared" ca="1" si="55"/>
        <v>1</v>
      </c>
      <c r="I570" s="8">
        <f t="shared" ca="1" si="56"/>
        <v>-1</v>
      </c>
      <c r="J570" s="9">
        <f t="shared" ca="1" si="53"/>
        <v>42</v>
      </c>
      <c r="K570" s="7" t="s">
        <v>40</v>
      </c>
      <c r="L570" s="10">
        <v>47</v>
      </c>
      <c r="M570" s="24" t="s">
        <v>40</v>
      </c>
      <c r="N570">
        <v>124</v>
      </c>
    </row>
    <row r="571" spans="1:14">
      <c r="A571" s="25">
        <f t="shared" si="57"/>
        <v>570</v>
      </c>
      <c r="B571" s="67" t="s">
        <v>7</v>
      </c>
      <c r="C571" s="67" t="s">
        <v>302</v>
      </c>
      <c r="D571" s="67" t="s">
        <v>473</v>
      </c>
      <c r="E571" s="22">
        <f t="shared" ca="1" si="58"/>
        <v>40951</v>
      </c>
      <c r="F571" s="11">
        <f>DATE(70,8,24)</f>
        <v>25804</v>
      </c>
      <c r="G571" s="12">
        <f t="shared" ca="1" si="54"/>
        <v>42</v>
      </c>
      <c r="H571" s="12">
        <f t="shared" ca="1" si="55"/>
        <v>-6</v>
      </c>
      <c r="I571" s="13">
        <f t="shared" ca="1" si="56"/>
        <v>-12</v>
      </c>
      <c r="J571" s="14">
        <f t="shared" ca="1" si="53"/>
        <v>41</v>
      </c>
      <c r="K571" s="12" t="s">
        <v>41</v>
      </c>
      <c r="L571" s="15">
        <v>47</v>
      </c>
      <c r="M571" s="25" t="s">
        <v>40</v>
      </c>
      <c r="N571">
        <v>124</v>
      </c>
    </row>
    <row r="572" spans="1:14">
      <c r="A572" s="25">
        <f t="shared" si="57"/>
        <v>571</v>
      </c>
      <c r="B572" s="67" t="s">
        <v>7</v>
      </c>
      <c r="C572" s="67" t="s">
        <v>151</v>
      </c>
      <c r="D572" s="67" t="s">
        <v>473</v>
      </c>
      <c r="E572" s="22">
        <f t="shared" ca="1" si="58"/>
        <v>40951</v>
      </c>
      <c r="F572" s="11">
        <f>DATE(98,7,4)</f>
        <v>35980</v>
      </c>
      <c r="G572" s="12">
        <f t="shared" ca="1" si="54"/>
        <v>14</v>
      </c>
      <c r="H572" s="12">
        <f t="shared" ca="1" si="55"/>
        <v>-5</v>
      </c>
      <c r="I572" s="13">
        <f t="shared" ca="1" si="56"/>
        <v>8</v>
      </c>
      <c r="J572" s="14">
        <f t="shared" ca="1" si="53"/>
        <v>13</v>
      </c>
      <c r="K572" s="12" t="s">
        <v>40</v>
      </c>
      <c r="L572" s="15">
        <v>47</v>
      </c>
      <c r="M572" s="25" t="s">
        <v>44</v>
      </c>
      <c r="N572">
        <v>124</v>
      </c>
    </row>
    <row r="573" spans="1:14" ht="15.75" thickBot="1">
      <c r="A573" s="26">
        <f t="shared" si="57"/>
        <v>572</v>
      </c>
      <c r="B573" s="67" t="s">
        <v>7</v>
      </c>
      <c r="C573" s="68" t="s">
        <v>474</v>
      </c>
      <c r="D573" s="68" t="s">
        <v>473</v>
      </c>
      <c r="E573" s="23">
        <f t="shared" ca="1" si="58"/>
        <v>40951</v>
      </c>
      <c r="F573" s="16">
        <f>DATE(2002,6,24)</f>
        <v>37431</v>
      </c>
      <c r="G573" s="17">
        <f t="shared" ca="1" si="54"/>
        <v>10</v>
      </c>
      <c r="H573" s="17">
        <f t="shared" ca="1" si="55"/>
        <v>-4</v>
      </c>
      <c r="I573" s="18">
        <f t="shared" ca="1" si="56"/>
        <v>-12</v>
      </c>
      <c r="J573" s="19">
        <f t="shared" ca="1" si="53"/>
        <v>9</v>
      </c>
      <c r="K573" s="17" t="s">
        <v>41</v>
      </c>
      <c r="L573" s="20">
        <v>47</v>
      </c>
      <c r="M573" s="26" t="s">
        <v>44</v>
      </c>
      <c r="N573">
        <v>124</v>
      </c>
    </row>
    <row r="574" spans="1:14">
      <c r="A574" s="24">
        <f t="shared" si="57"/>
        <v>573</v>
      </c>
      <c r="B574" s="66" t="s">
        <v>7</v>
      </c>
      <c r="C574" s="66" t="s">
        <v>475</v>
      </c>
      <c r="D574" s="66" t="s">
        <v>457</v>
      </c>
      <c r="E574" s="21">
        <f t="shared" ca="1" si="58"/>
        <v>40951</v>
      </c>
      <c r="F574" s="6">
        <f>DATE(60,12,27)</f>
        <v>22277</v>
      </c>
      <c r="G574" s="7">
        <f t="shared" ca="1" si="54"/>
        <v>52</v>
      </c>
      <c r="H574" s="7">
        <f t="shared" ca="1" si="55"/>
        <v>-10</v>
      </c>
      <c r="I574" s="8">
        <f t="shared" ca="1" si="56"/>
        <v>-15</v>
      </c>
      <c r="J574" s="9">
        <f t="shared" ca="1" si="53"/>
        <v>51</v>
      </c>
      <c r="K574" s="7" t="s">
        <v>40</v>
      </c>
      <c r="L574" s="10">
        <v>47</v>
      </c>
      <c r="M574" s="24" t="s">
        <v>40</v>
      </c>
      <c r="N574">
        <v>125</v>
      </c>
    </row>
    <row r="575" spans="1:14">
      <c r="A575" s="25">
        <f t="shared" si="57"/>
        <v>574</v>
      </c>
      <c r="B575" s="67" t="s">
        <v>7</v>
      </c>
      <c r="C575" s="67" t="s">
        <v>364</v>
      </c>
      <c r="D575" s="67" t="s">
        <v>475</v>
      </c>
      <c r="E575" s="22">
        <f t="shared" ca="1" si="58"/>
        <v>40951</v>
      </c>
      <c r="F575" s="11">
        <f>DATE(68,6,4)</f>
        <v>24993</v>
      </c>
      <c r="G575" s="12">
        <f t="shared" ca="1" si="54"/>
        <v>44</v>
      </c>
      <c r="H575" s="12">
        <f t="shared" ca="1" si="55"/>
        <v>-4</v>
      </c>
      <c r="I575" s="13">
        <f t="shared" ca="1" si="56"/>
        <v>8</v>
      </c>
      <c r="J575" s="14">
        <f t="shared" ca="1" si="53"/>
        <v>43</v>
      </c>
      <c r="K575" s="12" t="s">
        <v>41</v>
      </c>
      <c r="L575" s="15">
        <v>47</v>
      </c>
      <c r="M575" s="25" t="s">
        <v>40</v>
      </c>
      <c r="N575">
        <v>125</v>
      </c>
    </row>
    <row r="576" spans="1:14">
      <c r="A576" s="25">
        <f t="shared" si="57"/>
        <v>575</v>
      </c>
      <c r="B576" s="67" t="s">
        <v>7</v>
      </c>
      <c r="C576" s="67" t="s">
        <v>476</v>
      </c>
      <c r="D576" s="67" t="s">
        <v>475</v>
      </c>
      <c r="E576" s="22">
        <f t="shared" ca="1" si="58"/>
        <v>40951</v>
      </c>
      <c r="F576" s="11">
        <f>DATE(91,10,1)</f>
        <v>33512</v>
      </c>
      <c r="G576" s="12">
        <f t="shared" ca="1" si="54"/>
        <v>21</v>
      </c>
      <c r="H576" s="12">
        <f t="shared" ca="1" si="55"/>
        <v>-8</v>
      </c>
      <c r="I576" s="13">
        <f t="shared" ca="1" si="56"/>
        <v>11</v>
      </c>
      <c r="J576" s="14">
        <f t="shared" ca="1" si="53"/>
        <v>20</v>
      </c>
      <c r="K576" s="12" t="s">
        <v>41</v>
      </c>
      <c r="L576" s="15">
        <v>47</v>
      </c>
      <c r="M576" s="25" t="s">
        <v>44</v>
      </c>
      <c r="N576">
        <v>125</v>
      </c>
    </row>
    <row r="577" spans="1:14">
      <c r="A577" s="25">
        <f t="shared" si="57"/>
        <v>576</v>
      </c>
      <c r="B577" s="67" t="s">
        <v>7</v>
      </c>
      <c r="C577" s="67" t="s">
        <v>477</v>
      </c>
      <c r="D577" s="67" t="s">
        <v>475</v>
      </c>
      <c r="E577" s="22">
        <f t="shared" ca="1" si="58"/>
        <v>40951</v>
      </c>
      <c r="F577" s="11">
        <f>DATE(92,9,28)</f>
        <v>33875</v>
      </c>
      <c r="G577" s="12">
        <f t="shared" ca="1" si="54"/>
        <v>20</v>
      </c>
      <c r="H577" s="12">
        <f t="shared" ca="1" si="55"/>
        <v>-7</v>
      </c>
      <c r="I577" s="13">
        <f t="shared" ca="1" si="56"/>
        <v>-16</v>
      </c>
      <c r="J577" s="14">
        <f t="shared" ca="1" si="53"/>
        <v>19</v>
      </c>
      <c r="K577" s="12" t="s">
        <v>41</v>
      </c>
      <c r="L577" s="15">
        <v>47</v>
      </c>
      <c r="M577" s="25" t="s">
        <v>44</v>
      </c>
      <c r="N577">
        <v>125</v>
      </c>
    </row>
    <row r="578" spans="1:14">
      <c r="A578" s="25">
        <f t="shared" si="57"/>
        <v>577</v>
      </c>
      <c r="B578" s="67" t="s">
        <v>7</v>
      </c>
      <c r="C578" s="67" t="s">
        <v>478</v>
      </c>
      <c r="D578" s="67" t="s">
        <v>475</v>
      </c>
      <c r="E578" s="22">
        <f t="shared" ca="1" si="58"/>
        <v>40951</v>
      </c>
      <c r="F578" s="11">
        <f>DATE(95,7,23)</f>
        <v>34903</v>
      </c>
      <c r="G578" s="12">
        <f t="shared" ca="1" si="54"/>
        <v>17</v>
      </c>
      <c r="H578" s="12">
        <f t="shared" ca="1" si="55"/>
        <v>-5</v>
      </c>
      <c r="I578" s="13">
        <f t="shared" ca="1" si="56"/>
        <v>-11</v>
      </c>
      <c r="J578" s="14">
        <f t="shared" ca="1" si="53"/>
        <v>16</v>
      </c>
      <c r="K578" s="12" t="s">
        <v>40</v>
      </c>
      <c r="L578" s="15">
        <v>47</v>
      </c>
      <c r="M578" s="25" t="s">
        <v>44</v>
      </c>
      <c r="N578">
        <v>125</v>
      </c>
    </row>
    <row r="579" spans="1:14" ht="15.75" thickBot="1">
      <c r="A579" s="26">
        <f t="shared" si="57"/>
        <v>578</v>
      </c>
      <c r="B579" s="67" t="s">
        <v>7</v>
      </c>
      <c r="C579" s="68" t="s">
        <v>479</v>
      </c>
      <c r="D579" s="68" t="s">
        <v>475</v>
      </c>
      <c r="E579" s="23">
        <f t="shared" ca="1" si="58"/>
        <v>40951</v>
      </c>
      <c r="F579" s="16">
        <f>DATE(2002,12,28)</f>
        <v>37618</v>
      </c>
      <c r="G579" s="17">
        <f t="shared" ca="1" si="54"/>
        <v>10</v>
      </c>
      <c r="H579" s="17">
        <f t="shared" ca="1" si="55"/>
        <v>-10</v>
      </c>
      <c r="I579" s="18">
        <f t="shared" ca="1" si="56"/>
        <v>-16</v>
      </c>
      <c r="J579" s="19">
        <f t="shared" ref="J579:J642" ca="1" si="59">IF(H579&lt;0,G579-1,IF(H579&gt;0,G579,IF(I579&lt;0,G579-1,G579)))</f>
        <v>9</v>
      </c>
      <c r="K579" s="17" t="s">
        <v>40</v>
      </c>
      <c r="L579" s="20">
        <v>47</v>
      </c>
      <c r="M579" s="26" t="s">
        <v>44</v>
      </c>
      <c r="N579">
        <v>125</v>
      </c>
    </row>
    <row r="580" spans="1:14">
      <c r="A580" s="24">
        <f t="shared" si="57"/>
        <v>579</v>
      </c>
      <c r="B580" s="66" t="s">
        <v>7</v>
      </c>
      <c r="C580" s="66" t="s">
        <v>480</v>
      </c>
      <c r="D580" s="66" t="s">
        <v>94</v>
      </c>
      <c r="E580" s="21">
        <f t="shared" ca="1" si="58"/>
        <v>40951</v>
      </c>
      <c r="F580" s="6">
        <f>DATE(22,12,9)</f>
        <v>8379</v>
      </c>
      <c r="G580" s="7">
        <f t="shared" ca="1" si="54"/>
        <v>90</v>
      </c>
      <c r="H580" s="7">
        <f t="shared" ca="1" si="55"/>
        <v>-10</v>
      </c>
      <c r="I580" s="8">
        <f t="shared" ca="1" si="56"/>
        <v>3</v>
      </c>
      <c r="J580" s="9">
        <f t="shared" ca="1" si="59"/>
        <v>89</v>
      </c>
      <c r="K580" s="7" t="s">
        <v>41</v>
      </c>
      <c r="L580" s="10">
        <v>47</v>
      </c>
      <c r="M580" s="24" t="s">
        <v>40</v>
      </c>
      <c r="N580">
        <v>126</v>
      </c>
    </row>
    <row r="581" spans="1:14">
      <c r="A581" s="25">
        <f t="shared" si="57"/>
        <v>580</v>
      </c>
      <c r="B581" s="67" t="s">
        <v>7</v>
      </c>
      <c r="C581" s="67" t="s">
        <v>481</v>
      </c>
      <c r="D581" s="67" t="s">
        <v>94</v>
      </c>
      <c r="E581" s="22">
        <f t="shared" ca="1" si="58"/>
        <v>40951</v>
      </c>
      <c r="F581" s="11">
        <f>DATE(43,6,1)</f>
        <v>15858</v>
      </c>
      <c r="G581" s="12">
        <f t="shared" ca="1" si="54"/>
        <v>69</v>
      </c>
      <c r="H581" s="12">
        <f t="shared" ca="1" si="55"/>
        <v>-4</v>
      </c>
      <c r="I581" s="13">
        <f t="shared" ca="1" si="56"/>
        <v>11</v>
      </c>
      <c r="J581" s="14">
        <f t="shared" ca="1" si="59"/>
        <v>68</v>
      </c>
      <c r="K581" s="12" t="s">
        <v>40</v>
      </c>
      <c r="L581" s="15">
        <v>47</v>
      </c>
      <c r="M581" s="25" t="s">
        <v>40</v>
      </c>
      <c r="N581">
        <v>126</v>
      </c>
    </row>
    <row r="582" spans="1:14">
      <c r="A582" s="25">
        <f t="shared" si="57"/>
        <v>581</v>
      </c>
      <c r="B582" s="67" t="s">
        <v>7</v>
      </c>
      <c r="C582" s="67" t="s">
        <v>482</v>
      </c>
      <c r="D582" s="67" t="s">
        <v>483</v>
      </c>
      <c r="E582" s="22">
        <f t="shared" ca="1" si="58"/>
        <v>40951</v>
      </c>
      <c r="F582" s="11">
        <f>DATE(59,3,28)</f>
        <v>21637</v>
      </c>
      <c r="G582" s="12">
        <f t="shared" ca="1" si="54"/>
        <v>53</v>
      </c>
      <c r="H582" s="12">
        <f t="shared" ca="1" si="55"/>
        <v>-1</v>
      </c>
      <c r="I582" s="13">
        <f t="shared" ca="1" si="56"/>
        <v>-16</v>
      </c>
      <c r="J582" s="14">
        <f t="shared" ca="1" si="59"/>
        <v>52</v>
      </c>
      <c r="K582" s="12" t="s">
        <v>41</v>
      </c>
      <c r="L582" s="15">
        <v>47</v>
      </c>
      <c r="M582" s="25" t="s">
        <v>40</v>
      </c>
      <c r="N582">
        <v>126</v>
      </c>
    </row>
    <row r="583" spans="1:14">
      <c r="A583" s="51">
        <f>A582+1</f>
        <v>582</v>
      </c>
      <c r="B583" s="67" t="s">
        <v>7</v>
      </c>
      <c r="C583" s="70" t="s">
        <v>229</v>
      </c>
      <c r="D583" s="70" t="s">
        <v>483</v>
      </c>
      <c r="E583" s="52">
        <f t="shared" ca="1" si="58"/>
        <v>40951</v>
      </c>
      <c r="F583" s="44">
        <f>DATE(82,10,6)</f>
        <v>30230</v>
      </c>
      <c r="G583" s="53">
        <f t="shared" ca="1" si="54"/>
        <v>30</v>
      </c>
      <c r="H583" s="53">
        <f t="shared" ca="1" si="55"/>
        <v>-8</v>
      </c>
      <c r="I583" s="54">
        <f t="shared" ca="1" si="56"/>
        <v>6</v>
      </c>
      <c r="J583" s="55">
        <f t="shared" ca="1" si="59"/>
        <v>29</v>
      </c>
      <c r="K583" s="53" t="s">
        <v>40</v>
      </c>
      <c r="L583" s="56">
        <v>47</v>
      </c>
      <c r="M583" s="51" t="s">
        <v>44</v>
      </c>
      <c r="N583">
        <v>126</v>
      </c>
    </row>
    <row r="584" spans="1:14" ht="15.75" thickBot="1">
      <c r="A584" s="51"/>
      <c r="B584" s="67" t="s">
        <v>7</v>
      </c>
      <c r="C584" s="70" t="s">
        <v>484</v>
      </c>
      <c r="D584" s="70" t="s">
        <v>483</v>
      </c>
      <c r="E584" s="52">
        <f t="shared" ca="1" si="58"/>
        <v>40951</v>
      </c>
      <c r="F584" s="44">
        <f>DATE(85,8,5)</f>
        <v>31264</v>
      </c>
      <c r="G584" s="53">
        <f t="shared" ca="1" si="54"/>
        <v>27</v>
      </c>
      <c r="H584" s="53">
        <f t="shared" ca="1" si="55"/>
        <v>-6</v>
      </c>
      <c r="I584" s="54">
        <f t="shared" ca="1" si="56"/>
        <v>7</v>
      </c>
      <c r="J584" s="55">
        <f t="shared" ca="1" si="59"/>
        <v>26</v>
      </c>
      <c r="K584" s="53" t="s">
        <v>40</v>
      </c>
      <c r="L584" s="56">
        <v>47</v>
      </c>
      <c r="M584" s="51" t="s">
        <v>44</v>
      </c>
      <c r="N584">
        <v>126</v>
      </c>
    </row>
    <row r="585" spans="1:14">
      <c r="A585" s="24">
        <f>A583+1</f>
        <v>583</v>
      </c>
      <c r="B585" s="67" t="s">
        <v>7</v>
      </c>
      <c r="C585" s="66" t="s">
        <v>485</v>
      </c>
      <c r="D585" s="66" t="s">
        <v>417</v>
      </c>
      <c r="E585" s="21">
        <f t="shared" ca="1" si="58"/>
        <v>40951</v>
      </c>
      <c r="F585" s="6">
        <f>DATE(49,10,22)</f>
        <v>18193</v>
      </c>
      <c r="G585" s="7">
        <f t="shared" ca="1" si="54"/>
        <v>63</v>
      </c>
      <c r="H585" s="7">
        <f t="shared" ca="1" si="55"/>
        <v>-8</v>
      </c>
      <c r="I585" s="8">
        <f t="shared" ca="1" si="56"/>
        <v>-10</v>
      </c>
      <c r="J585" s="9">
        <f t="shared" ca="1" si="59"/>
        <v>62</v>
      </c>
      <c r="K585" s="7" t="s">
        <v>40</v>
      </c>
      <c r="L585" s="10">
        <v>48</v>
      </c>
      <c r="M585" s="24" t="s">
        <v>40</v>
      </c>
      <c r="N585">
        <v>127</v>
      </c>
    </row>
    <row r="586" spans="1:14">
      <c r="A586" s="25">
        <f t="shared" si="57"/>
        <v>584</v>
      </c>
      <c r="B586" s="67" t="s">
        <v>7</v>
      </c>
      <c r="C586" s="67" t="s">
        <v>78</v>
      </c>
      <c r="D586" s="67" t="s">
        <v>485</v>
      </c>
      <c r="E586" s="22">
        <f t="shared" ca="1" si="58"/>
        <v>40951</v>
      </c>
      <c r="F586" s="11">
        <f>DATE(54,9,3)</f>
        <v>19970</v>
      </c>
      <c r="G586" s="12">
        <f t="shared" ca="1" si="54"/>
        <v>58</v>
      </c>
      <c r="H586" s="12">
        <f t="shared" ca="1" si="55"/>
        <v>-7</v>
      </c>
      <c r="I586" s="13">
        <f t="shared" ca="1" si="56"/>
        <v>9</v>
      </c>
      <c r="J586" s="14">
        <f t="shared" ca="1" si="59"/>
        <v>57</v>
      </c>
      <c r="K586" s="12" t="s">
        <v>41</v>
      </c>
      <c r="L586" s="15">
        <v>48</v>
      </c>
      <c r="M586" s="25" t="s">
        <v>40</v>
      </c>
      <c r="N586">
        <v>127</v>
      </c>
    </row>
    <row r="587" spans="1:14">
      <c r="A587" s="25">
        <f t="shared" si="57"/>
        <v>585</v>
      </c>
      <c r="B587" s="67" t="s">
        <v>7</v>
      </c>
      <c r="C587" s="67" t="s">
        <v>486</v>
      </c>
      <c r="D587" s="67" t="s">
        <v>485</v>
      </c>
      <c r="E587" s="22">
        <f t="shared" ca="1" si="58"/>
        <v>40951</v>
      </c>
      <c r="F587" s="50">
        <f>DATE(77,4,20)</f>
        <v>28235</v>
      </c>
      <c r="G587" s="12">
        <f t="shared" ca="1" si="54"/>
        <v>35</v>
      </c>
      <c r="H587" s="12">
        <f t="shared" ca="1" si="55"/>
        <v>-2</v>
      </c>
      <c r="I587" s="13">
        <f t="shared" ca="1" si="56"/>
        <v>-8</v>
      </c>
      <c r="J587" s="14">
        <f t="shared" ca="1" si="59"/>
        <v>34</v>
      </c>
      <c r="K587" s="12" t="s">
        <v>40</v>
      </c>
      <c r="L587" s="15">
        <v>48</v>
      </c>
      <c r="M587" s="25" t="s">
        <v>40</v>
      </c>
      <c r="N587">
        <v>127</v>
      </c>
    </row>
    <row r="588" spans="1:14">
      <c r="A588" s="25">
        <f t="shared" si="57"/>
        <v>586</v>
      </c>
      <c r="B588" s="67" t="s">
        <v>7</v>
      </c>
      <c r="C588" s="67" t="s">
        <v>487</v>
      </c>
      <c r="D588" s="67" t="s">
        <v>486</v>
      </c>
      <c r="E588" s="22">
        <f t="shared" ca="1" si="58"/>
        <v>40951</v>
      </c>
      <c r="F588" s="11">
        <f>DATE(79,5,20)</f>
        <v>28995</v>
      </c>
      <c r="G588" s="12">
        <f t="shared" ca="1" si="54"/>
        <v>33</v>
      </c>
      <c r="H588" s="12">
        <f t="shared" ca="1" si="55"/>
        <v>-3</v>
      </c>
      <c r="I588" s="13">
        <f t="shared" ca="1" si="56"/>
        <v>-8</v>
      </c>
      <c r="J588" s="14">
        <f t="shared" ca="1" si="59"/>
        <v>32</v>
      </c>
      <c r="K588" s="12" t="s">
        <v>41</v>
      </c>
      <c r="L588" s="15">
        <v>48</v>
      </c>
      <c r="M588" s="25" t="s">
        <v>40</v>
      </c>
      <c r="N588">
        <v>127</v>
      </c>
    </row>
    <row r="589" spans="1:14">
      <c r="A589" s="25">
        <f t="shared" si="57"/>
        <v>587</v>
      </c>
      <c r="B589" s="67" t="s">
        <v>7</v>
      </c>
      <c r="C589" s="67" t="s">
        <v>156</v>
      </c>
      <c r="D589" s="67" t="s">
        <v>486</v>
      </c>
      <c r="E589" s="22">
        <f t="shared" ca="1" si="58"/>
        <v>40951</v>
      </c>
      <c r="F589" s="11">
        <f>DATE(2003,12,16)</f>
        <v>37971</v>
      </c>
      <c r="G589" s="12">
        <f t="shared" ca="1" si="54"/>
        <v>9</v>
      </c>
      <c r="H589" s="12">
        <f t="shared" ca="1" si="55"/>
        <v>-10</v>
      </c>
      <c r="I589" s="13">
        <f t="shared" ca="1" si="56"/>
        <v>-4</v>
      </c>
      <c r="J589" s="14">
        <f t="shared" ca="1" si="59"/>
        <v>8</v>
      </c>
      <c r="K589" s="12" t="s">
        <v>41</v>
      </c>
      <c r="L589" s="15">
        <v>48</v>
      </c>
      <c r="M589" s="25" t="s">
        <v>44</v>
      </c>
      <c r="N589">
        <v>127</v>
      </c>
    </row>
    <row r="590" spans="1:14">
      <c r="A590" s="25">
        <f t="shared" si="57"/>
        <v>588</v>
      </c>
      <c r="B590" s="67" t="s">
        <v>7</v>
      </c>
      <c r="C590" s="67" t="s">
        <v>239</v>
      </c>
      <c r="D590" s="67" t="s">
        <v>485</v>
      </c>
      <c r="E590" s="22">
        <f t="shared" ca="1" si="58"/>
        <v>40951</v>
      </c>
      <c r="F590" s="11">
        <f>DATE(81,10,12)</f>
        <v>29871</v>
      </c>
      <c r="G590" s="12">
        <f t="shared" ca="1" si="54"/>
        <v>31</v>
      </c>
      <c r="H590" s="12">
        <f t="shared" ca="1" si="55"/>
        <v>-8</v>
      </c>
      <c r="I590" s="13">
        <f t="shared" ca="1" si="56"/>
        <v>0</v>
      </c>
      <c r="J590" s="14">
        <f t="shared" ca="1" si="59"/>
        <v>30</v>
      </c>
      <c r="K590" s="12" t="s">
        <v>40</v>
      </c>
      <c r="L590" s="15">
        <v>48</v>
      </c>
      <c r="M590" s="25" t="s">
        <v>40</v>
      </c>
      <c r="N590">
        <v>127</v>
      </c>
    </row>
    <row r="591" spans="1:14" ht="15.75" thickBot="1">
      <c r="A591" s="26">
        <f t="shared" si="57"/>
        <v>589</v>
      </c>
      <c r="B591" s="67" t="s">
        <v>7</v>
      </c>
      <c r="C591" s="68" t="s">
        <v>488</v>
      </c>
      <c r="D591" s="68" t="s">
        <v>239</v>
      </c>
      <c r="E591" s="23">
        <f t="shared" ca="1" si="58"/>
        <v>40951</v>
      </c>
      <c r="F591" s="16">
        <f>DATE(80,11,1)</f>
        <v>29526</v>
      </c>
      <c r="G591" s="17">
        <f t="shared" ca="1" si="54"/>
        <v>32</v>
      </c>
      <c r="H591" s="17">
        <f t="shared" ca="1" si="55"/>
        <v>-9</v>
      </c>
      <c r="I591" s="18">
        <f t="shared" ca="1" si="56"/>
        <v>11</v>
      </c>
      <c r="J591" s="19">
        <f t="shared" ca="1" si="59"/>
        <v>31</v>
      </c>
      <c r="K591" s="17" t="s">
        <v>41</v>
      </c>
      <c r="L591" s="20">
        <v>48</v>
      </c>
      <c r="M591" s="26" t="s">
        <v>40</v>
      </c>
      <c r="N591">
        <v>127</v>
      </c>
    </row>
    <row r="592" spans="1:14">
      <c r="A592" s="24">
        <f t="shared" si="57"/>
        <v>590</v>
      </c>
      <c r="B592" s="66" t="s">
        <v>7</v>
      </c>
      <c r="C592" s="66" t="s">
        <v>489</v>
      </c>
      <c r="D592" s="66" t="s">
        <v>490</v>
      </c>
      <c r="E592" s="21">
        <f t="shared" ca="1" si="58"/>
        <v>40951</v>
      </c>
      <c r="F592" s="6">
        <f>DATE(72,11,9)</f>
        <v>26612</v>
      </c>
      <c r="G592" s="7">
        <f t="shared" ca="1" si="54"/>
        <v>40</v>
      </c>
      <c r="H592" s="7">
        <f t="shared" ca="1" si="55"/>
        <v>-9</v>
      </c>
      <c r="I592" s="8">
        <f t="shared" ca="1" si="56"/>
        <v>3</v>
      </c>
      <c r="J592" s="9">
        <f t="shared" ca="1" si="59"/>
        <v>39</v>
      </c>
      <c r="K592" s="7" t="s">
        <v>40</v>
      </c>
      <c r="L592" s="10">
        <v>48</v>
      </c>
      <c r="M592" s="24" t="s">
        <v>40</v>
      </c>
      <c r="N592">
        <v>128</v>
      </c>
    </row>
    <row r="593" spans="1:14">
      <c r="A593" s="25">
        <f t="shared" si="57"/>
        <v>591</v>
      </c>
      <c r="B593" s="67" t="s">
        <v>7</v>
      </c>
      <c r="C593" s="67" t="s">
        <v>491</v>
      </c>
      <c r="D593" s="67" t="s">
        <v>489</v>
      </c>
      <c r="E593" s="22">
        <f t="shared" ca="1" si="58"/>
        <v>40951</v>
      </c>
      <c r="F593" s="11">
        <f>DATE(78,7,5)</f>
        <v>28676</v>
      </c>
      <c r="G593" s="12">
        <f t="shared" ca="1" si="54"/>
        <v>34</v>
      </c>
      <c r="H593" s="12">
        <f t="shared" ca="1" si="55"/>
        <v>-5</v>
      </c>
      <c r="I593" s="13">
        <f t="shared" ca="1" si="56"/>
        <v>7</v>
      </c>
      <c r="J593" s="14">
        <f t="shared" ca="1" si="59"/>
        <v>33</v>
      </c>
      <c r="K593" s="12" t="s">
        <v>41</v>
      </c>
      <c r="L593" s="15">
        <v>48</v>
      </c>
      <c r="M593" s="25" t="s">
        <v>40</v>
      </c>
      <c r="N593">
        <v>128</v>
      </c>
    </row>
    <row r="594" spans="1:14">
      <c r="A594" s="25">
        <f t="shared" si="57"/>
        <v>592</v>
      </c>
      <c r="B594" s="67" t="s">
        <v>7</v>
      </c>
      <c r="C594" s="67" t="s">
        <v>156</v>
      </c>
      <c r="D594" s="67" t="s">
        <v>489</v>
      </c>
      <c r="E594" s="22">
        <f t="shared" ca="1" si="58"/>
        <v>40951</v>
      </c>
      <c r="F594" s="11">
        <f>DATE(2000,8,1)</f>
        <v>36739</v>
      </c>
      <c r="G594" s="12">
        <f t="shared" ca="1" si="54"/>
        <v>12</v>
      </c>
      <c r="H594" s="12">
        <f t="shared" ca="1" si="55"/>
        <v>-6</v>
      </c>
      <c r="I594" s="13">
        <f t="shared" ca="1" si="56"/>
        <v>11</v>
      </c>
      <c r="J594" s="14">
        <f t="shared" ca="1" si="59"/>
        <v>11</v>
      </c>
      <c r="K594" s="12" t="s">
        <v>41</v>
      </c>
      <c r="L594" s="15">
        <v>48</v>
      </c>
      <c r="M594" s="25" t="s">
        <v>44</v>
      </c>
      <c r="N594">
        <v>128</v>
      </c>
    </row>
    <row r="595" spans="1:14">
      <c r="A595" s="25">
        <f t="shared" si="57"/>
        <v>593</v>
      </c>
      <c r="B595" s="67" t="s">
        <v>7</v>
      </c>
      <c r="C595" s="67" t="s">
        <v>492</v>
      </c>
      <c r="D595" s="67" t="s">
        <v>489</v>
      </c>
      <c r="E595" s="22">
        <f t="shared" ca="1" si="58"/>
        <v>40951</v>
      </c>
      <c r="F595" s="11">
        <f>DATE(2003,2,3)</f>
        <v>37655</v>
      </c>
      <c r="G595" s="12">
        <f t="shared" ca="1" si="54"/>
        <v>9</v>
      </c>
      <c r="H595" s="12">
        <f t="shared" ca="1" si="55"/>
        <v>0</v>
      </c>
      <c r="I595" s="13">
        <f t="shared" ca="1" si="56"/>
        <v>9</v>
      </c>
      <c r="J595" s="14">
        <f t="shared" ca="1" si="59"/>
        <v>9</v>
      </c>
      <c r="K595" s="12" t="s">
        <v>40</v>
      </c>
      <c r="L595" s="15">
        <v>48</v>
      </c>
      <c r="M595" s="25" t="s">
        <v>44</v>
      </c>
      <c r="N595">
        <v>128</v>
      </c>
    </row>
    <row r="596" spans="1:14">
      <c r="A596" s="25">
        <f t="shared" si="57"/>
        <v>594</v>
      </c>
      <c r="B596" s="67" t="s">
        <v>7</v>
      </c>
      <c r="C596" s="67" t="s">
        <v>493</v>
      </c>
      <c r="D596" s="67" t="s">
        <v>490</v>
      </c>
      <c r="E596" s="22">
        <f t="shared" ca="1" si="58"/>
        <v>40951</v>
      </c>
      <c r="F596" s="11">
        <f>DATE(79,5,29)</f>
        <v>29004</v>
      </c>
      <c r="G596" s="12">
        <f t="shared" ca="1" si="54"/>
        <v>33</v>
      </c>
      <c r="H596" s="12">
        <f t="shared" ca="1" si="55"/>
        <v>-3</v>
      </c>
      <c r="I596" s="13">
        <f t="shared" ca="1" si="56"/>
        <v>-17</v>
      </c>
      <c r="J596" s="14">
        <f t="shared" ca="1" si="59"/>
        <v>32</v>
      </c>
      <c r="K596" s="12" t="s">
        <v>40</v>
      </c>
      <c r="L596" s="15">
        <v>48</v>
      </c>
      <c r="M596" s="25" t="s">
        <v>40</v>
      </c>
      <c r="N596">
        <v>128</v>
      </c>
    </row>
    <row r="597" spans="1:14">
      <c r="A597" s="25">
        <f t="shared" si="57"/>
        <v>595</v>
      </c>
      <c r="B597" s="67" t="s">
        <v>7</v>
      </c>
      <c r="C597" s="67" t="s">
        <v>494</v>
      </c>
      <c r="D597" s="67" t="s">
        <v>493</v>
      </c>
      <c r="E597" s="22">
        <f t="shared" ca="1" si="58"/>
        <v>40951</v>
      </c>
      <c r="F597" s="11">
        <f>DATE(81,3,25)</f>
        <v>29670</v>
      </c>
      <c r="G597" s="12">
        <f t="shared" ca="1" si="54"/>
        <v>31</v>
      </c>
      <c r="H597" s="12">
        <f t="shared" ca="1" si="55"/>
        <v>-1</v>
      </c>
      <c r="I597" s="13">
        <f t="shared" ca="1" si="56"/>
        <v>-13</v>
      </c>
      <c r="J597" s="14">
        <f t="shared" ca="1" si="59"/>
        <v>30</v>
      </c>
      <c r="K597" s="12" t="s">
        <v>41</v>
      </c>
      <c r="L597" s="15">
        <v>48</v>
      </c>
      <c r="M597" s="25" t="s">
        <v>40</v>
      </c>
      <c r="N597">
        <v>128</v>
      </c>
    </row>
    <row r="598" spans="1:14">
      <c r="A598" s="25">
        <f t="shared" si="57"/>
        <v>596</v>
      </c>
      <c r="B598" s="67" t="s">
        <v>7</v>
      </c>
      <c r="C598" s="67" t="s">
        <v>495</v>
      </c>
      <c r="D598" s="67" t="s">
        <v>493</v>
      </c>
      <c r="E598" s="22">
        <f t="shared" ca="1" si="58"/>
        <v>40951</v>
      </c>
      <c r="F598" s="11">
        <f>DATE(2004,11,2)</f>
        <v>38293</v>
      </c>
      <c r="G598" s="12">
        <f t="shared" ca="1" si="54"/>
        <v>8</v>
      </c>
      <c r="H598" s="12">
        <f t="shared" ca="1" si="55"/>
        <v>-9</v>
      </c>
      <c r="I598" s="13">
        <f t="shared" ca="1" si="56"/>
        <v>10</v>
      </c>
      <c r="J598" s="14">
        <f t="shared" ca="1" si="59"/>
        <v>7</v>
      </c>
      <c r="K598" s="12" t="s">
        <v>40</v>
      </c>
      <c r="L598" s="15">
        <v>48</v>
      </c>
      <c r="M598" s="25" t="s">
        <v>44</v>
      </c>
      <c r="N598">
        <v>128</v>
      </c>
    </row>
    <row r="599" spans="1:14" ht="15.75" thickBot="1">
      <c r="A599" s="26">
        <f t="shared" si="57"/>
        <v>597</v>
      </c>
      <c r="B599" s="67" t="s">
        <v>7</v>
      </c>
      <c r="C599" s="68" t="s">
        <v>496</v>
      </c>
      <c r="D599" s="68" t="s">
        <v>497</v>
      </c>
      <c r="E599" s="23">
        <f t="shared" ca="1" si="58"/>
        <v>40951</v>
      </c>
      <c r="F599" s="16">
        <f>DATE(80,6,24)</f>
        <v>29396</v>
      </c>
      <c r="G599" s="17">
        <f t="shared" ca="1" si="54"/>
        <v>32</v>
      </c>
      <c r="H599" s="17">
        <f t="shared" ca="1" si="55"/>
        <v>-4</v>
      </c>
      <c r="I599" s="18">
        <f t="shared" ca="1" si="56"/>
        <v>-12</v>
      </c>
      <c r="J599" s="19">
        <f t="shared" ca="1" si="59"/>
        <v>31</v>
      </c>
      <c r="K599" s="17" t="s">
        <v>40</v>
      </c>
      <c r="L599" s="20">
        <v>48</v>
      </c>
      <c r="M599" s="26" t="s">
        <v>44</v>
      </c>
      <c r="N599">
        <v>128</v>
      </c>
    </row>
    <row r="600" spans="1:14">
      <c r="A600" s="24">
        <f t="shared" si="57"/>
        <v>598</v>
      </c>
      <c r="B600" s="66" t="s">
        <v>7</v>
      </c>
      <c r="C600" s="66" t="s">
        <v>498</v>
      </c>
      <c r="D600" s="66" t="s">
        <v>316</v>
      </c>
      <c r="E600" s="21">
        <f t="shared" ca="1" si="58"/>
        <v>40951</v>
      </c>
      <c r="F600" s="6">
        <f>DATE(63,8,14)</f>
        <v>23237</v>
      </c>
      <c r="G600" s="7">
        <f t="shared" ca="1" si="54"/>
        <v>49</v>
      </c>
      <c r="H600" s="7">
        <f t="shared" ca="1" si="55"/>
        <v>-6</v>
      </c>
      <c r="I600" s="8">
        <f t="shared" ca="1" si="56"/>
        <v>-2</v>
      </c>
      <c r="J600" s="9">
        <f t="shared" ca="1" si="59"/>
        <v>48</v>
      </c>
      <c r="K600" s="7" t="s">
        <v>40</v>
      </c>
      <c r="L600" s="10">
        <v>49</v>
      </c>
      <c r="M600" s="24" t="s">
        <v>40</v>
      </c>
      <c r="N600">
        <v>129</v>
      </c>
    </row>
    <row r="601" spans="1:14">
      <c r="A601" s="25">
        <f t="shared" si="57"/>
        <v>599</v>
      </c>
      <c r="B601" s="67" t="s">
        <v>7</v>
      </c>
      <c r="C601" s="67" t="s">
        <v>361</v>
      </c>
      <c r="D601" s="67" t="s">
        <v>498</v>
      </c>
      <c r="E601" s="22">
        <f t="shared" ca="1" si="58"/>
        <v>40951</v>
      </c>
      <c r="F601" s="11">
        <f>DATE(65,12,12)</f>
        <v>24088</v>
      </c>
      <c r="G601" s="12">
        <f t="shared" ref="G601:G664" ca="1" si="60">YEAR(E601)-YEAR(F601)</f>
        <v>47</v>
      </c>
      <c r="H601" s="12">
        <f t="shared" ref="H601:H664" ca="1" si="61">MONTH(E601)-MONTH(F601)</f>
        <v>-10</v>
      </c>
      <c r="I601" s="13">
        <f t="shared" ref="I601:I664" ca="1" si="62">DAY(E601)-DAY(F601)</f>
        <v>0</v>
      </c>
      <c r="J601" s="14">
        <f t="shared" ca="1" si="59"/>
        <v>46</v>
      </c>
      <c r="K601" s="12" t="s">
        <v>41</v>
      </c>
      <c r="L601" s="15">
        <v>49</v>
      </c>
      <c r="M601" s="25" t="s">
        <v>40</v>
      </c>
      <c r="N601">
        <v>129</v>
      </c>
    </row>
    <row r="602" spans="1:14">
      <c r="A602" s="25">
        <f t="shared" si="57"/>
        <v>600</v>
      </c>
      <c r="B602" s="67" t="s">
        <v>7</v>
      </c>
      <c r="C602" s="67" t="s">
        <v>499</v>
      </c>
      <c r="D602" s="67" t="s">
        <v>316</v>
      </c>
      <c r="E602" s="22">
        <f t="shared" ca="1" si="58"/>
        <v>40951</v>
      </c>
      <c r="F602" s="32"/>
      <c r="G602" s="12">
        <f t="shared" ca="1" si="60"/>
        <v>112</v>
      </c>
      <c r="H602" s="12">
        <f t="shared" ca="1" si="61"/>
        <v>1</v>
      </c>
      <c r="I602" s="13">
        <f t="shared" ca="1" si="62"/>
        <v>12</v>
      </c>
      <c r="J602" s="14">
        <f t="shared" ca="1" si="59"/>
        <v>112</v>
      </c>
      <c r="K602" s="12" t="s">
        <v>41</v>
      </c>
      <c r="L602" s="15">
        <v>49</v>
      </c>
      <c r="M602" s="25" t="s">
        <v>40</v>
      </c>
      <c r="N602">
        <v>129</v>
      </c>
    </row>
    <row r="603" spans="1:14">
      <c r="A603" s="25">
        <f t="shared" si="57"/>
        <v>601</v>
      </c>
      <c r="B603" s="67" t="s">
        <v>7</v>
      </c>
      <c r="C603" s="67" t="s">
        <v>500</v>
      </c>
      <c r="D603" s="67" t="s">
        <v>498</v>
      </c>
      <c r="E603" s="22">
        <f t="shared" ca="1" si="58"/>
        <v>40951</v>
      </c>
      <c r="F603" s="11">
        <f>DATE(90,3,21)</f>
        <v>32953</v>
      </c>
      <c r="G603" s="12">
        <f t="shared" ca="1" si="60"/>
        <v>22</v>
      </c>
      <c r="H603" s="12">
        <f t="shared" ca="1" si="61"/>
        <v>-1</v>
      </c>
      <c r="I603" s="13">
        <f t="shared" ca="1" si="62"/>
        <v>-9</v>
      </c>
      <c r="J603" s="14">
        <f t="shared" ca="1" si="59"/>
        <v>21</v>
      </c>
      <c r="K603" s="12" t="s">
        <v>40</v>
      </c>
      <c r="L603" s="15">
        <v>49</v>
      </c>
      <c r="M603" s="25" t="s">
        <v>44</v>
      </c>
      <c r="N603">
        <v>129</v>
      </c>
    </row>
    <row r="604" spans="1:14">
      <c r="A604" s="25">
        <f t="shared" si="57"/>
        <v>602</v>
      </c>
      <c r="B604" s="67" t="s">
        <v>7</v>
      </c>
      <c r="C604" s="67" t="s">
        <v>501</v>
      </c>
      <c r="D604" s="67" t="s">
        <v>498</v>
      </c>
      <c r="E604" s="22">
        <f t="shared" ca="1" si="58"/>
        <v>40951</v>
      </c>
      <c r="F604" s="11">
        <f>DATE(95,2,9)</f>
        <v>34739</v>
      </c>
      <c r="G604" s="12">
        <f t="shared" ca="1" si="60"/>
        <v>17</v>
      </c>
      <c r="H604" s="12">
        <f t="shared" ca="1" si="61"/>
        <v>0</v>
      </c>
      <c r="I604" s="13">
        <f t="shared" ca="1" si="62"/>
        <v>3</v>
      </c>
      <c r="J604" s="14">
        <f t="shared" ca="1" si="59"/>
        <v>17</v>
      </c>
      <c r="K604" s="12" t="s">
        <v>40</v>
      </c>
      <c r="L604" s="15">
        <v>49</v>
      </c>
      <c r="M604" s="25" t="s">
        <v>44</v>
      </c>
      <c r="N604">
        <v>129</v>
      </c>
    </row>
    <row r="605" spans="1:14" ht="15.75" thickBot="1">
      <c r="A605" s="26">
        <f t="shared" si="57"/>
        <v>603</v>
      </c>
      <c r="B605" s="67" t="s">
        <v>7</v>
      </c>
      <c r="C605" s="68" t="s">
        <v>502</v>
      </c>
      <c r="D605" s="68" t="s">
        <v>498</v>
      </c>
      <c r="E605" s="23">
        <f t="shared" ca="1" si="58"/>
        <v>40951</v>
      </c>
      <c r="F605" s="16">
        <f>DATE(97,5,17)</f>
        <v>35567</v>
      </c>
      <c r="G605" s="17">
        <f t="shared" ca="1" si="60"/>
        <v>15</v>
      </c>
      <c r="H605" s="17">
        <f t="shared" ca="1" si="61"/>
        <v>-3</v>
      </c>
      <c r="I605" s="18">
        <f t="shared" ca="1" si="62"/>
        <v>-5</v>
      </c>
      <c r="J605" s="19">
        <f t="shared" ca="1" si="59"/>
        <v>14</v>
      </c>
      <c r="K605" s="17" t="s">
        <v>40</v>
      </c>
      <c r="L605" s="20">
        <v>49</v>
      </c>
      <c r="M605" s="26" t="s">
        <v>44</v>
      </c>
      <c r="N605">
        <v>129</v>
      </c>
    </row>
    <row r="606" spans="1:14">
      <c r="A606" s="24">
        <f t="shared" ref="A606:A669" si="63">A605+1</f>
        <v>604</v>
      </c>
      <c r="B606" s="66" t="s">
        <v>7</v>
      </c>
      <c r="C606" s="66" t="s">
        <v>503</v>
      </c>
      <c r="D606" s="66" t="s">
        <v>435</v>
      </c>
      <c r="E606" s="21">
        <f t="shared" ca="1" si="58"/>
        <v>40951</v>
      </c>
      <c r="F606" s="45"/>
      <c r="G606" s="7">
        <f t="shared" ca="1" si="60"/>
        <v>112</v>
      </c>
      <c r="H606" s="7">
        <f t="shared" ca="1" si="61"/>
        <v>1</v>
      </c>
      <c r="I606" s="8">
        <f t="shared" ca="1" si="62"/>
        <v>12</v>
      </c>
      <c r="J606" s="9">
        <f t="shared" ca="1" si="59"/>
        <v>112</v>
      </c>
      <c r="K606" s="7" t="s">
        <v>41</v>
      </c>
      <c r="L606" s="10">
        <v>49</v>
      </c>
      <c r="M606" s="24" t="s">
        <v>40</v>
      </c>
      <c r="N606">
        <v>130</v>
      </c>
    </row>
    <row r="607" spans="1:14">
      <c r="A607" s="25">
        <f t="shared" si="63"/>
        <v>605</v>
      </c>
      <c r="B607" s="67" t="s">
        <v>7</v>
      </c>
      <c r="C607" s="67" t="s">
        <v>504</v>
      </c>
      <c r="D607" s="67" t="s">
        <v>435</v>
      </c>
      <c r="E607" s="22">
        <f t="shared" ca="1" si="58"/>
        <v>40951</v>
      </c>
      <c r="F607" s="11">
        <f>DATE(61,9,12)</f>
        <v>22536</v>
      </c>
      <c r="G607" s="12">
        <f t="shared" ca="1" si="60"/>
        <v>51</v>
      </c>
      <c r="H607" s="12">
        <f t="shared" ca="1" si="61"/>
        <v>-7</v>
      </c>
      <c r="I607" s="13">
        <f t="shared" ca="1" si="62"/>
        <v>0</v>
      </c>
      <c r="J607" s="14">
        <f t="shared" ca="1" si="59"/>
        <v>50</v>
      </c>
      <c r="K607" s="12" t="s">
        <v>40</v>
      </c>
      <c r="L607" s="15">
        <v>49</v>
      </c>
      <c r="M607" s="25" t="s">
        <v>40</v>
      </c>
      <c r="N607">
        <v>130</v>
      </c>
    </row>
    <row r="608" spans="1:14">
      <c r="A608" s="25">
        <f t="shared" si="63"/>
        <v>606</v>
      </c>
      <c r="B608" s="67" t="s">
        <v>7</v>
      </c>
      <c r="C608" s="67" t="s">
        <v>488</v>
      </c>
      <c r="D608" s="67" t="s">
        <v>505</v>
      </c>
      <c r="E608" s="22">
        <f t="shared" ca="1" si="58"/>
        <v>40951</v>
      </c>
      <c r="F608" s="11">
        <f>DATE(66,9,6)</f>
        <v>24356</v>
      </c>
      <c r="G608" s="12">
        <f t="shared" ca="1" si="60"/>
        <v>46</v>
      </c>
      <c r="H608" s="12">
        <f t="shared" ca="1" si="61"/>
        <v>-7</v>
      </c>
      <c r="I608" s="13">
        <f t="shared" ca="1" si="62"/>
        <v>6</v>
      </c>
      <c r="J608" s="14">
        <f t="shared" ca="1" si="59"/>
        <v>45</v>
      </c>
      <c r="K608" s="12" t="s">
        <v>41</v>
      </c>
      <c r="L608" s="15">
        <v>49</v>
      </c>
      <c r="M608" s="25" t="s">
        <v>40</v>
      </c>
      <c r="N608">
        <v>130</v>
      </c>
    </row>
    <row r="609" spans="1:14" ht="15.75" thickBot="1">
      <c r="A609" s="26">
        <f t="shared" si="63"/>
        <v>607</v>
      </c>
      <c r="B609" s="67" t="s">
        <v>7</v>
      </c>
      <c r="C609" s="68" t="s">
        <v>506</v>
      </c>
      <c r="D609" s="68" t="s">
        <v>505</v>
      </c>
      <c r="E609" s="23">
        <f t="shared" ca="1" si="58"/>
        <v>40951</v>
      </c>
      <c r="F609" s="16">
        <f>DATE(2002,9,25)</f>
        <v>37524</v>
      </c>
      <c r="G609" s="17">
        <f t="shared" ca="1" si="60"/>
        <v>10</v>
      </c>
      <c r="H609" s="17">
        <f t="shared" ca="1" si="61"/>
        <v>-7</v>
      </c>
      <c r="I609" s="18">
        <f t="shared" ca="1" si="62"/>
        <v>-13</v>
      </c>
      <c r="J609" s="19">
        <f t="shared" ca="1" si="59"/>
        <v>9</v>
      </c>
      <c r="K609" s="17" t="s">
        <v>40</v>
      </c>
      <c r="L609" s="20">
        <v>49</v>
      </c>
      <c r="M609" s="26" t="s">
        <v>44</v>
      </c>
      <c r="N609">
        <v>130</v>
      </c>
    </row>
    <row r="610" spans="1:14">
      <c r="A610" s="24">
        <f t="shared" si="63"/>
        <v>608</v>
      </c>
      <c r="B610" s="66" t="s">
        <v>7</v>
      </c>
      <c r="C610" s="66" t="s">
        <v>507</v>
      </c>
      <c r="D610" s="66" t="s">
        <v>435</v>
      </c>
      <c r="E610" s="21">
        <f t="shared" ca="1" si="58"/>
        <v>40951</v>
      </c>
      <c r="F610" s="6">
        <f>DATE(56,11,29)</f>
        <v>20788</v>
      </c>
      <c r="G610" s="7">
        <f t="shared" ca="1" si="60"/>
        <v>56</v>
      </c>
      <c r="H610" s="7">
        <f t="shared" ca="1" si="61"/>
        <v>-9</v>
      </c>
      <c r="I610" s="8">
        <f t="shared" ca="1" si="62"/>
        <v>-17</v>
      </c>
      <c r="J610" s="9">
        <f t="shared" ca="1" si="59"/>
        <v>55</v>
      </c>
      <c r="K610" s="7" t="s">
        <v>40</v>
      </c>
      <c r="L610" s="10">
        <v>49</v>
      </c>
      <c r="M610" s="24" t="s">
        <v>40</v>
      </c>
      <c r="N610">
        <v>131</v>
      </c>
    </row>
    <row r="611" spans="1:14">
      <c r="A611" s="25">
        <f t="shared" si="63"/>
        <v>609</v>
      </c>
      <c r="B611" s="67" t="s">
        <v>7</v>
      </c>
      <c r="C611" s="67" t="s">
        <v>359</v>
      </c>
      <c r="D611" s="67" t="s">
        <v>507</v>
      </c>
      <c r="E611" s="22">
        <f t="shared" ref="E611:E674" ca="1" si="64">TODAY()</f>
        <v>40951</v>
      </c>
      <c r="F611" s="11">
        <f>DATE(64,6,17)</f>
        <v>23545</v>
      </c>
      <c r="G611" s="12">
        <f t="shared" ca="1" si="60"/>
        <v>48</v>
      </c>
      <c r="H611" s="12">
        <f t="shared" ca="1" si="61"/>
        <v>-4</v>
      </c>
      <c r="I611" s="13">
        <f t="shared" ca="1" si="62"/>
        <v>-5</v>
      </c>
      <c r="J611" s="14">
        <f t="shared" ca="1" si="59"/>
        <v>47</v>
      </c>
      <c r="K611" s="12" t="s">
        <v>41</v>
      </c>
      <c r="L611" s="15">
        <v>49</v>
      </c>
      <c r="M611" s="25" t="s">
        <v>40</v>
      </c>
      <c r="N611">
        <v>131</v>
      </c>
    </row>
    <row r="612" spans="1:14">
      <c r="A612" s="25">
        <f t="shared" si="63"/>
        <v>610</v>
      </c>
      <c r="B612" s="67" t="s">
        <v>7</v>
      </c>
      <c r="C612" s="67" t="s">
        <v>508</v>
      </c>
      <c r="D612" s="67" t="s">
        <v>507</v>
      </c>
      <c r="E612" s="22">
        <f t="shared" ca="1" si="64"/>
        <v>40951</v>
      </c>
      <c r="F612" s="11">
        <f>DATE(85,9,23)</f>
        <v>31313</v>
      </c>
      <c r="G612" s="12">
        <f t="shared" ca="1" si="60"/>
        <v>27</v>
      </c>
      <c r="H612" s="12">
        <f t="shared" ca="1" si="61"/>
        <v>-7</v>
      </c>
      <c r="I612" s="13">
        <f t="shared" ca="1" si="62"/>
        <v>-11</v>
      </c>
      <c r="J612" s="14">
        <f t="shared" ca="1" si="59"/>
        <v>26</v>
      </c>
      <c r="K612" s="12" t="s">
        <v>41</v>
      </c>
      <c r="L612" s="15">
        <v>49</v>
      </c>
      <c r="M612" s="25" t="s">
        <v>44</v>
      </c>
      <c r="N612">
        <v>131</v>
      </c>
    </row>
    <row r="613" spans="1:14">
      <c r="A613" s="25">
        <f t="shared" si="63"/>
        <v>611</v>
      </c>
      <c r="B613" s="67" t="s">
        <v>7</v>
      </c>
      <c r="C613" s="67" t="s">
        <v>183</v>
      </c>
      <c r="D613" s="67" t="s">
        <v>507</v>
      </c>
      <c r="E613" s="22">
        <f t="shared" ca="1" si="64"/>
        <v>40951</v>
      </c>
      <c r="F613" s="11">
        <f>DATE(90,5,22)</f>
        <v>33015</v>
      </c>
      <c r="G613" s="12">
        <f t="shared" ca="1" si="60"/>
        <v>22</v>
      </c>
      <c r="H613" s="12">
        <f t="shared" ca="1" si="61"/>
        <v>-3</v>
      </c>
      <c r="I613" s="13">
        <f t="shared" ca="1" si="62"/>
        <v>-10</v>
      </c>
      <c r="J613" s="14">
        <f t="shared" ca="1" si="59"/>
        <v>21</v>
      </c>
      <c r="K613" s="12" t="s">
        <v>40</v>
      </c>
      <c r="L613" s="15">
        <v>49</v>
      </c>
      <c r="M613" s="25" t="s">
        <v>44</v>
      </c>
      <c r="N613">
        <v>131</v>
      </c>
    </row>
    <row r="614" spans="1:14" ht="15.75" thickBot="1">
      <c r="A614" s="26">
        <f t="shared" si="63"/>
        <v>612</v>
      </c>
      <c r="B614" s="67" t="s">
        <v>7</v>
      </c>
      <c r="C614" s="68" t="s">
        <v>324</v>
      </c>
      <c r="D614" s="68" t="s">
        <v>507</v>
      </c>
      <c r="E614" s="23">
        <f t="shared" ca="1" si="64"/>
        <v>40951</v>
      </c>
      <c r="F614" s="16">
        <f>DATE(92,10,30)</f>
        <v>33907</v>
      </c>
      <c r="G614" s="17">
        <f t="shared" ca="1" si="60"/>
        <v>20</v>
      </c>
      <c r="H614" s="17">
        <f t="shared" ca="1" si="61"/>
        <v>-8</v>
      </c>
      <c r="I614" s="18">
        <f t="shared" ca="1" si="62"/>
        <v>-18</v>
      </c>
      <c r="J614" s="19">
        <f t="shared" ca="1" si="59"/>
        <v>19</v>
      </c>
      <c r="K614" s="17" t="s">
        <v>41</v>
      </c>
      <c r="L614" s="20">
        <v>49</v>
      </c>
      <c r="M614" s="26" t="s">
        <v>44</v>
      </c>
      <c r="N614">
        <v>131</v>
      </c>
    </row>
    <row r="615" spans="1:14">
      <c r="A615" s="24">
        <f t="shared" si="63"/>
        <v>613</v>
      </c>
      <c r="B615" s="66" t="s">
        <v>7</v>
      </c>
      <c r="C615" s="66" t="s">
        <v>509</v>
      </c>
      <c r="D615" s="66" t="s">
        <v>510</v>
      </c>
      <c r="E615" s="21">
        <f t="shared" ca="1" si="64"/>
        <v>40951</v>
      </c>
      <c r="F615" s="6">
        <f>DATE(44,2,24)</f>
        <v>16126</v>
      </c>
      <c r="G615" s="7">
        <f t="shared" ca="1" si="60"/>
        <v>68</v>
      </c>
      <c r="H615" s="7">
        <f t="shared" ca="1" si="61"/>
        <v>0</v>
      </c>
      <c r="I615" s="8">
        <f t="shared" ca="1" si="62"/>
        <v>-12</v>
      </c>
      <c r="J615" s="9">
        <f t="shared" ca="1" si="59"/>
        <v>67</v>
      </c>
      <c r="K615" s="7" t="s">
        <v>40</v>
      </c>
      <c r="L615" s="10">
        <v>50</v>
      </c>
      <c r="M615" s="24" t="s">
        <v>40</v>
      </c>
      <c r="N615">
        <v>132</v>
      </c>
    </row>
    <row r="616" spans="1:14">
      <c r="A616" s="25">
        <f t="shared" si="63"/>
        <v>614</v>
      </c>
      <c r="B616" s="67" t="s">
        <v>7</v>
      </c>
      <c r="C616" s="67" t="s">
        <v>511</v>
      </c>
      <c r="D616" s="67" t="s">
        <v>509</v>
      </c>
      <c r="E616" s="22">
        <f t="shared" ca="1" si="64"/>
        <v>40951</v>
      </c>
      <c r="F616" s="11">
        <f>DATE(57,6,10)</f>
        <v>20981</v>
      </c>
      <c r="G616" s="12">
        <f t="shared" ca="1" si="60"/>
        <v>55</v>
      </c>
      <c r="H616" s="12">
        <f t="shared" ca="1" si="61"/>
        <v>-4</v>
      </c>
      <c r="I616" s="13">
        <f t="shared" ca="1" si="62"/>
        <v>2</v>
      </c>
      <c r="J616" s="14">
        <f t="shared" ca="1" si="59"/>
        <v>54</v>
      </c>
      <c r="K616" s="12" t="s">
        <v>41</v>
      </c>
      <c r="L616" s="15">
        <v>50</v>
      </c>
      <c r="M616" s="25" t="s">
        <v>40</v>
      </c>
      <c r="N616">
        <v>132</v>
      </c>
    </row>
    <row r="617" spans="1:14">
      <c r="A617" s="25">
        <f t="shared" si="63"/>
        <v>615</v>
      </c>
      <c r="B617" s="67" t="s">
        <v>7</v>
      </c>
      <c r="C617" s="67" t="s">
        <v>512</v>
      </c>
      <c r="D617" s="67" t="s">
        <v>509</v>
      </c>
      <c r="E617" s="22">
        <f t="shared" ca="1" si="64"/>
        <v>40951</v>
      </c>
      <c r="F617" s="11">
        <f>DATE(72,2,8)</f>
        <v>26337</v>
      </c>
      <c r="G617" s="12">
        <f t="shared" ca="1" si="60"/>
        <v>40</v>
      </c>
      <c r="H617" s="12">
        <f t="shared" ca="1" si="61"/>
        <v>0</v>
      </c>
      <c r="I617" s="13">
        <f t="shared" ca="1" si="62"/>
        <v>4</v>
      </c>
      <c r="J617" s="14">
        <f t="shared" ca="1" si="59"/>
        <v>40</v>
      </c>
      <c r="K617" s="12" t="s">
        <v>40</v>
      </c>
      <c r="L617" s="15">
        <v>50</v>
      </c>
      <c r="M617" s="25" t="s">
        <v>40</v>
      </c>
      <c r="N617">
        <v>132</v>
      </c>
    </row>
    <row r="618" spans="1:14">
      <c r="A618" s="25">
        <f t="shared" si="63"/>
        <v>616</v>
      </c>
      <c r="B618" s="67" t="s">
        <v>7</v>
      </c>
      <c r="C618" s="67" t="s">
        <v>513</v>
      </c>
      <c r="D618" s="67" t="s">
        <v>512</v>
      </c>
      <c r="E618" s="22">
        <f t="shared" ca="1" si="64"/>
        <v>40951</v>
      </c>
      <c r="F618" s="11">
        <f>DATE(76,1,19)</f>
        <v>27778</v>
      </c>
      <c r="G618" s="12">
        <f t="shared" ca="1" si="60"/>
        <v>36</v>
      </c>
      <c r="H618" s="12">
        <f t="shared" ca="1" si="61"/>
        <v>1</v>
      </c>
      <c r="I618" s="13">
        <f t="shared" ca="1" si="62"/>
        <v>-7</v>
      </c>
      <c r="J618" s="14">
        <f t="shared" ca="1" si="59"/>
        <v>36</v>
      </c>
      <c r="K618" s="12" t="s">
        <v>41</v>
      </c>
      <c r="L618" s="15">
        <v>50</v>
      </c>
      <c r="M618" s="25" t="s">
        <v>40</v>
      </c>
      <c r="N618">
        <v>132</v>
      </c>
    </row>
    <row r="619" spans="1:14">
      <c r="A619" s="25">
        <f t="shared" si="63"/>
        <v>617</v>
      </c>
      <c r="B619" s="67" t="s">
        <v>7</v>
      </c>
      <c r="C619" s="67" t="s">
        <v>514</v>
      </c>
      <c r="D619" s="67" t="s">
        <v>512</v>
      </c>
      <c r="E619" s="22">
        <f t="shared" ca="1" si="64"/>
        <v>40951</v>
      </c>
      <c r="F619" s="11">
        <f>DATE(2004,11,5)</f>
        <v>38296</v>
      </c>
      <c r="G619" s="12">
        <f t="shared" ca="1" si="60"/>
        <v>8</v>
      </c>
      <c r="H619" s="12">
        <f t="shared" ca="1" si="61"/>
        <v>-9</v>
      </c>
      <c r="I619" s="13">
        <f t="shared" ca="1" si="62"/>
        <v>7</v>
      </c>
      <c r="J619" s="14">
        <f t="shared" ca="1" si="59"/>
        <v>7</v>
      </c>
      <c r="K619" s="12" t="s">
        <v>41</v>
      </c>
      <c r="L619" s="15">
        <v>50</v>
      </c>
      <c r="M619" s="25" t="s">
        <v>44</v>
      </c>
      <c r="N619">
        <v>132</v>
      </c>
    </row>
    <row r="620" spans="1:14">
      <c r="A620" s="25">
        <f t="shared" si="63"/>
        <v>618</v>
      </c>
      <c r="B620" s="67" t="s">
        <v>7</v>
      </c>
      <c r="C620" s="67" t="s">
        <v>163</v>
      </c>
      <c r="D620" s="67" t="s">
        <v>509</v>
      </c>
      <c r="E620" s="22">
        <f t="shared" ca="1" si="64"/>
        <v>40951</v>
      </c>
      <c r="F620" s="11">
        <f>DATE(81,5,9)</f>
        <v>29715</v>
      </c>
      <c r="G620" s="12">
        <f t="shared" ca="1" si="60"/>
        <v>31</v>
      </c>
      <c r="H620" s="12">
        <f t="shared" ca="1" si="61"/>
        <v>-3</v>
      </c>
      <c r="I620" s="13">
        <f t="shared" ca="1" si="62"/>
        <v>3</v>
      </c>
      <c r="J620" s="14">
        <f t="shared" ca="1" si="59"/>
        <v>30</v>
      </c>
      <c r="K620" s="12" t="s">
        <v>41</v>
      </c>
      <c r="L620" s="15">
        <v>50</v>
      </c>
      <c r="M620" s="25" t="s">
        <v>44</v>
      </c>
      <c r="N620">
        <v>132</v>
      </c>
    </row>
    <row r="621" spans="1:14" ht="15.75" thickBot="1">
      <c r="A621" s="26">
        <f t="shared" si="63"/>
        <v>619</v>
      </c>
      <c r="B621" s="67" t="s">
        <v>7</v>
      </c>
      <c r="C621" s="68" t="s">
        <v>515</v>
      </c>
      <c r="D621" s="68" t="s">
        <v>509</v>
      </c>
      <c r="E621" s="23">
        <f t="shared" ca="1" si="64"/>
        <v>40951</v>
      </c>
      <c r="F621" s="16">
        <f>DATE(85,4,1)</f>
        <v>31138</v>
      </c>
      <c r="G621" s="17">
        <f t="shared" ca="1" si="60"/>
        <v>27</v>
      </c>
      <c r="H621" s="17">
        <f t="shared" ca="1" si="61"/>
        <v>-2</v>
      </c>
      <c r="I621" s="18">
        <f t="shared" ca="1" si="62"/>
        <v>11</v>
      </c>
      <c r="J621" s="19">
        <f t="shared" ca="1" si="59"/>
        <v>26</v>
      </c>
      <c r="K621" s="17" t="s">
        <v>41</v>
      </c>
      <c r="L621" s="20">
        <v>50</v>
      </c>
      <c r="M621" s="26" t="s">
        <v>44</v>
      </c>
      <c r="N621">
        <v>132</v>
      </c>
    </row>
    <row r="622" spans="1:14">
      <c r="A622" s="24">
        <f t="shared" si="63"/>
        <v>620</v>
      </c>
      <c r="B622" s="66" t="s">
        <v>7</v>
      </c>
      <c r="C622" s="66" t="s">
        <v>516</v>
      </c>
      <c r="D622" s="66" t="s">
        <v>435</v>
      </c>
      <c r="E622" s="21">
        <f t="shared" ca="1" si="64"/>
        <v>40951</v>
      </c>
      <c r="F622" s="6">
        <f>DATE(71,1,8)</f>
        <v>25941</v>
      </c>
      <c r="G622" s="7">
        <f t="shared" ca="1" si="60"/>
        <v>41</v>
      </c>
      <c r="H622" s="7">
        <f t="shared" ca="1" si="61"/>
        <v>1</v>
      </c>
      <c r="I622" s="8">
        <f t="shared" ca="1" si="62"/>
        <v>4</v>
      </c>
      <c r="J622" s="9">
        <f t="shared" ca="1" si="59"/>
        <v>41</v>
      </c>
      <c r="K622" s="7" t="s">
        <v>40</v>
      </c>
      <c r="L622" s="10">
        <v>50</v>
      </c>
      <c r="M622" s="24" t="s">
        <v>40</v>
      </c>
      <c r="N622">
        <v>133</v>
      </c>
    </row>
    <row r="623" spans="1:14">
      <c r="A623" s="25">
        <f t="shared" si="63"/>
        <v>621</v>
      </c>
      <c r="B623" s="67" t="s">
        <v>7</v>
      </c>
      <c r="C623" s="67" t="s">
        <v>487</v>
      </c>
      <c r="D623" s="67" t="s">
        <v>516</v>
      </c>
      <c r="E623" s="22">
        <f t="shared" ca="1" si="64"/>
        <v>40951</v>
      </c>
      <c r="F623" s="11">
        <f>DATE(75,10,23)</f>
        <v>27690</v>
      </c>
      <c r="G623" s="12">
        <f t="shared" ca="1" si="60"/>
        <v>37</v>
      </c>
      <c r="H623" s="12">
        <f t="shared" ca="1" si="61"/>
        <v>-8</v>
      </c>
      <c r="I623" s="13">
        <f t="shared" ca="1" si="62"/>
        <v>-11</v>
      </c>
      <c r="J623" s="14">
        <f t="shared" ca="1" si="59"/>
        <v>36</v>
      </c>
      <c r="K623" s="12" t="s">
        <v>41</v>
      </c>
      <c r="L623" s="15">
        <v>50</v>
      </c>
      <c r="M623" s="25" t="s">
        <v>40</v>
      </c>
      <c r="N623">
        <v>133</v>
      </c>
    </row>
    <row r="624" spans="1:14" ht="15.75" thickBot="1">
      <c r="A624" s="26">
        <f t="shared" si="63"/>
        <v>622</v>
      </c>
      <c r="B624" s="67" t="s">
        <v>7</v>
      </c>
      <c r="C624" s="68" t="s">
        <v>517</v>
      </c>
      <c r="D624" s="68" t="s">
        <v>516</v>
      </c>
      <c r="E624" s="23">
        <f t="shared" ca="1" si="64"/>
        <v>40951</v>
      </c>
      <c r="F624" s="16">
        <f>DATE(2005,2,5)</f>
        <v>38388</v>
      </c>
      <c r="G624" s="17">
        <f t="shared" ca="1" si="60"/>
        <v>7</v>
      </c>
      <c r="H624" s="17">
        <f t="shared" ca="1" si="61"/>
        <v>0</v>
      </c>
      <c r="I624" s="18">
        <f t="shared" ca="1" si="62"/>
        <v>7</v>
      </c>
      <c r="J624" s="19">
        <f t="shared" ca="1" si="59"/>
        <v>7</v>
      </c>
      <c r="K624" s="17" t="s">
        <v>40</v>
      </c>
      <c r="L624" s="20">
        <v>50</v>
      </c>
      <c r="M624" s="26" t="s">
        <v>44</v>
      </c>
      <c r="N624">
        <v>133</v>
      </c>
    </row>
    <row r="625" spans="1:14">
      <c r="A625" s="24">
        <f t="shared" si="63"/>
        <v>623</v>
      </c>
      <c r="B625" s="66" t="s">
        <v>7</v>
      </c>
      <c r="C625" s="66" t="s">
        <v>518</v>
      </c>
      <c r="D625" s="66" t="s">
        <v>519</v>
      </c>
      <c r="E625" s="21">
        <f t="shared" ca="1" si="64"/>
        <v>40951</v>
      </c>
      <c r="F625" s="45"/>
      <c r="G625" s="7">
        <f t="shared" ca="1" si="60"/>
        <v>112</v>
      </c>
      <c r="H625" s="7">
        <f t="shared" ca="1" si="61"/>
        <v>1</v>
      </c>
      <c r="I625" s="8">
        <f t="shared" ca="1" si="62"/>
        <v>12</v>
      </c>
      <c r="J625" s="9">
        <f t="shared" ca="1" si="59"/>
        <v>112</v>
      </c>
      <c r="K625" s="7" t="s">
        <v>40</v>
      </c>
      <c r="L625" s="10">
        <v>50</v>
      </c>
      <c r="M625" s="24" t="s">
        <v>44</v>
      </c>
      <c r="N625">
        <v>134</v>
      </c>
    </row>
    <row r="626" spans="1:14">
      <c r="A626" s="25">
        <f t="shared" si="63"/>
        <v>624</v>
      </c>
      <c r="B626" s="67" t="s">
        <v>7</v>
      </c>
      <c r="C626" s="67" t="s">
        <v>519</v>
      </c>
      <c r="D626" s="67"/>
      <c r="E626" s="22">
        <f t="shared" ca="1" si="64"/>
        <v>40951</v>
      </c>
      <c r="F626" s="32"/>
      <c r="G626" s="12">
        <f t="shared" ca="1" si="60"/>
        <v>112</v>
      </c>
      <c r="H626" s="12">
        <f t="shared" ca="1" si="61"/>
        <v>1</v>
      </c>
      <c r="I626" s="13">
        <f t="shared" ca="1" si="62"/>
        <v>12</v>
      </c>
      <c r="J626" s="14">
        <f t="shared" ca="1" si="59"/>
        <v>112</v>
      </c>
      <c r="K626" s="12" t="s">
        <v>40</v>
      </c>
      <c r="L626" s="15">
        <v>50</v>
      </c>
      <c r="M626" s="25" t="s">
        <v>40</v>
      </c>
      <c r="N626">
        <v>134</v>
      </c>
    </row>
    <row r="627" spans="1:14" ht="15.75" thickBot="1">
      <c r="A627" s="26">
        <f t="shared" si="63"/>
        <v>625</v>
      </c>
      <c r="B627" s="67" t="s">
        <v>7</v>
      </c>
      <c r="C627" s="68" t="s">
        <v>318</v>
      </c>
      <c r="D627" s="68" t="s">
        <v>519</v>
      </c>
      <c r="E627" s="23">
        <f t="shared" ca="1" si="64"/>
        <v>40951</v>
      </c>
      <c r="F627" s="33"/>
      <c r="G627" s="17">
        <f t="shared" ca="1" si="60"/>
        <v>112</v>
      </c>
      <c r="H627" s="17">
        <f t="shared" ca="1" si="61"/>
        <v>1</v>
      </c>
      <c r="I627" s="18">
        <f t="shared" ca="1" si="62"/>
        <v>12</v>
      </c>
      <c r="J627" s="19">
        <f t="shared" ca="1" si="59"/>
        <v>112</v>
      </c>
      <c r="K627" s="17" t="s">
        <v>41</v>
      </c>
      <c r="L627" s="20">
        <v>50</v>
      </c>
      <c r="M627" s="26" t="s">
        <v>40</v>
      </c>
      <c r="N627">
        <v>134</v>
      </c>
    </row>
    <row r="628" spans="1:14">
      <c r="A628" s="24">
        <f t="shared" si="63"/>
        <v>626</v>
      </c>
      <c r="B628" s="66" t="s">
        <v>8</v>
      </c>
      <c r="C628" s="66" t="s">
        <v>162</v>
      </c>
      <c r="D628" s="66" t="s">
        <v>77</v>
      </c>
      <c r="E628" s="21">
        <f t="shared" ca="1" si="64"/>
        <v>40951</v>
      </c>
      <c r="F628" s="6">
        <f>DATE(56,1,16)</f>
        <v>20470</v>
      </c>
      <c r="G628" s="7">
        <f t="shared" ca="1" si="60"/>
        <v>56</v>
      </c>
      <c r="H628" s="7">
        <f t="shared" ca="1" si="61"/>
        <v>1</v>
      </c>
      <c r="I628" s="8">
        <f t="shared" ca="1" si="62"/>
        <v>-4</v>
      </c>
      <c r="J628" s="9">
        <f t="shared" ca="1" si="59"/>
        <v>56</v>
      </c>
      <c r="K628" s="7" t="s">
        <v>40</v>
      </c>
      <c r="L628" s="10">
        <v>51</v>
      </c>
      <c r="M628" s="24" t="s">
        <v>40</v>
      </c>
      <c r="N628">
        <v>135</v>
      </c>
    </row>
    <row r="629" spans="1:14">
      <c r="A629" s="25">
        <f t="shared" si="63"/>
        <v>627</v>
      </c>
      <c r="B629" s="67" t="s">
        <v>8</v>
      </c>
      <c r="C629" s="67" t="s">
        <v>73</v>
      </c>
      <c r="D629" s="67" t="s">
        <v>162</v>
      </c>
      <c r="E629" s="22">
        <f t="shared" ca="1" si="64"/>
        <v>40951</v>
      </c>
      <c r="F629" s="11">
        <f>DATE(59,5,5)</f>
        <v>21675</v>
      </c>
      <c r="G629" s="12">
        <f t="shared" ca="1" si="60"/>
        <v>53</v>
      </c>
      <c r="H629" s="12">
        <f t="shared" ca="1" si="61"/>
        <v>-3</v>
      </c>
      <c r="I629" s="13">
        <f t="shared" ca="1" si="62"/>
        <v>7</v>
      </c>
      <c r="J629" s="14">
        <f t="shared" ca="1" si="59"/>
        <v>52</v>
      </c>
      <c r="K629" s="12" t="s">
        <v>41</v>
      </c>
      <c r="L629" s="15">
        <v>51</v>
      </c>
      <c r="M629" s="25" t="s">
        <v>40</v>
      </c>
      <c r="N629">
        <v>135</v>
      </c>
    </row>
    <row r="630" spans="1:14" ht="15.75" thickBot="1">
      <c r="A630" s="26">
        <f t="shared" si="63"/>
        <v>628</v>
      </c>
      <c r="B630" s="67" t="s">
        <v>8</v>
      </c>
      <c r="C630" s="68" t="s">
        <v>520</v>
      </c>
      <c r="D630" s="68" t="s">
        <v>162</v>
      </c>
      <c r="E630" s="23">
        <f t="shared" ca="1" si="64"/>
        <v>40951</v>
      </c>
      <c r="F630" s="16">
        <f>DATE(86,12,17)</f>
        <v>31763</v>
      </c>
      <c r="G630" s="17">
        <f t="shared" ca="1" si="60"/>
        <v>26</v>
      </c>
      <c r="H630" s="17">
        <f t="shared" ca="1" si="61"/>
        <v>-10</v>
      </c>
      <c r="I630" s="18">
        <f t="shared" ca="1" si="62"/>
        <v>-5</v>
      </c>
      <c r="J630" s="19">
        <f t="shared" ca="1" si="59"/>
        <v>25</v>
      </c>
      <c r="K630" s="17" t="s">
        <v>41</v>
      </c>
      <c r="L630" s="20">
        <v>51</v>
      </c>
      <c r="M630" s="26" t="s">
        <v>44</v>
      </c>
      <c r="N630">
        <v>135</v>
      </c>
    </row>
    <row r="631" spans="1:14">
      <c r="A631" s="25">
        <f t="shared" si="63"/>
        <v>629</v>
      </c>
      <c r="B631" s="67" t="s">
        <v>8</v>
      </c>
      <c r="C631" s="67" t="s">
        <v>521</v>
      </c>
      <c r="D631" s="67" t="s">
        <v>522</v>
      </c>
      <c r="E631" s="22">
        <f t="shared" ca="1" si="64"/>
        <v>40951</v>
      </c>
      <c r="F631" s="11">
        <f>DATE(47,8,2)</f>
        <v>17381</v>
      </c>
      <c r="G631" s="12">
        <f t="shared" ca="1" si="60"/>
        <v>65</v>
      </c>
      <c r="H631" s="12">
        <f t="shared" ca="1" si="61"/>
        <v>-6</v>
      </c>
      <c r="I631" s="13">
        <f t="shared" ca="1" si="62"/>
        <v>10</v>
      </c>
      <c r="J631" s="14">
        <f t="shared" ca="1" si="59"/>
        <v>64</v>
      </c>
      <c r="K631" s="12" t="s">
        <v>40</v>
      </c>
      <c r="L631" s="15">
        <v>51</v>
      </c>
      <c r="M631" s="25" t="s">
        <v>40</v>
      </c>
      <c r="N631">
        <v>136</v>
      </c>
    </row>
    <row r="632" spans="1:14">
      <c r="A632" s="25">
        <f t="shared" si="63"/>
        <v>630</v>
      </c>
      <c r="B632" s="67" t="s">
        <v>8</v>
      </c>
      <c r="C632" s="67" t="s">
        <v>523</v>
      </c>
      <c r="D632" s="67" t="s">
        <v>521</v>
      </c>
      <c r="E632" s="22">
        <f t="shared" ca="1" si="64"/>
        <v>40951</v>
      </c>
      <c r="F632" s="11">
        <f>DATE(48,4,10)</f>
        <v>17633</v>
      </c>
      <c r="G632" s="12">
        <f t="shared" ca="1" si="60"/>
        <v>64</v>
      </c>
      <c r="H632" s="12">
        <f t="shared" ca="1" si="61"/>
        <v>-2</v>
      </c>
      <c r="I632" s="13">
        <f t="shared" ca="1" si="62"/>
        <v>2</v>
      </c>
      <c r="J632" s="14">
        <f t="shared" ca="1" si="59"/>
        <v>63</v>
      </c>
      <c r="K632" s="12" t="s">
        <v>41</v>
      </c>
      <c r="L632" s="15">
        <v>51</v>
      </c>
      <c r="M632" s="25" t="s">
        <v>40</v>
      </c>
      <c r="N632">
        <v>136</v>
      </c>
    </row>
    <row r="633" spans="1:14">
      <c r="A633" s="25">
        <f t="shared" si="63"/>
        <v>631</v>
      </c>
      <c r="B633" s="67" t="s">
        <v>8</v>
      </c>
      <c r="C633" s="67" t="s">
        <v>446</v>
      </c>
      <c r="D633" s="67" t="s">
        <v>521</v>
      </c>
      <c r="E633" s="22">
        <f t="shared" ca="1" si="64"/>
        <v>40951</v>
      </c>
      <c r="F633" s="11">
        <f>DATE(68,6,23)</f>
        <v>25012</v>
      </c>
      <c r="G633" s="12">
        <f t="shared" ca="1" si="60"/>
        <v>44</v>
      </c>
      <c r="H633" s="12">
        <f t="shared" ca="1" si="61"/>
        <v>-4</v>
      </c>
      <c r="I633" s="13">
        <f t="shared" ca="1" si="62"/>
        <v>-11</v>
      </c>
      <c r="J633" s="14">
        <f t="shared" ca="1" si="59"/>
        <v>43</v>
      </c>
      <c r="K633" s="12" t="s">
        <v>40</v>
      </c>
      <c r="L633" s="15">
        <v>51</v>
      </c>
      <c r="M633" s="25" t="s">
        <v>40</v>
      </c>
      <c r="N633">
        <v>136</v>
      </c>
    </row>
    <row r="634" spans="1:14">
      <c r="A634" s="25">
        <f t="shared" si="63"/>
        <v>632</v>
      </c>
      <c r="B634" s="67" t="s">
        <v>8</v>
      </c>
      <c r="C634" s="67" t="s">
        <v>150</v>
      </c>
      <c r="D634" s="67" t="s">
        <v>521</v>
      </c>
      <c r="E634" s="22">
        <f t="shared" ca="1" si="64"/>
        <v>40951</v>
      </c>
      <c r="F634" s="11">
        <f>DATE(71,8,27)</f>
        <v>26172</v>
      </c>
      <c r="G634" s="12">
        <f t="shared" ca="1" si="60"/>
        <v>41</v>
      </c>
      <c r="H634" s="12">
        <f t="shared" ca="1" si="61"/>
        <v>-6</v>
      </c>
      <c r="I634" s="13">
        <f t="shared" ca="1" si="62"/>
        <v>-15</v>
      </c>
      <c r="J634" s="14">
        <f t="shared" ca="1" si="59"/>
        <v>40</v>
      </c>
      <c r="K634" s="12" t="s">
        <v>41</v>
      </c>
      <c r="L634" s="15">
        <v>51</v>
      </c>
      <c r="M634" s="25" t="s">
        <v>40</v>
      </c>
      <c r="N634">
        <v>136</v>
      </c>
    </row>
    <row r="635" spans="1:14">
      <c r="A635" s="25">
        <f t="shared" si="63"/>
        <v>633</v>
      </c>
      <c r="B635" s="67" t="s">
        <v>8</v>
      </c>
      <c r="C635" s="67" t="s">
        <v>340</v>
      </c>
      <c r="D635" s="67" t="s">
        <v>446</v>
      </c>
      <c r="E635" s="22">
        <f t="shared" ca="1" si="64"/>
        <v>40951</v>
      </c>
      <c r="F635" s="11">
        <f>DATE(96,10,28)</f>
        <v>35366</v>
      </c>
      <c r="G635" s="12">
        <f t="shared" ca="1" si="60"/>
        <v>16</v>
      </c>
      <c r="H635" s="12">
        <f t="shared" ca="1" si="61"/>
        <v>-8</v>
      </c>
      <c r="I635" s="13">
        <f t="shared" ca="1" si="62"/>
        <v>-16</v>
      </c>
      <c r="J635" s="14">
        <f t="shared" ca="1" si="59"/>
        <v>15</v>
      </c>
      <c r="K635" s="12" t="s">
        <v>41</v>
      </c>
      <c r="L635" s="15">
        <v>51</v>
      </c>
      <c r="M635" s="25" t="s">
        <v>44</v>
      </c>
      <c r="N635">
        <v>136</v>
      </c>
    </row>
    <row r="636" spans="1:14" ht="15.75" thickBot="1">
      <c r="A636" s="26">
        <f t="shared" si="63"/>
        <v>634</v>
      </c>
      <c r="B636" s="67" t="s">
        <v>8</v>
      </c>
      <c r="C636" s="68" t="s">
        <v>524</v>
      </c>
      <c r="D636" s="68" t="s">
        <v>446</v>
      </c>
      <c r="E636" s="23">
        <f t="shared" ca="1" si="64"/>
        <v>40951</v>
      </c>
      <c r="F636" s="16">
        <f>DATE(2001,10,29)</f>
        <v>37193</v>
      </c>
      <c r="G636" s="17">
        <f t="shared" ca="1" si="60"/>
        <v>11</v>
      </c>
      <c r="H636" s="17">
        <f t="shared" ca="1" si="61"/>
        <v>-8</v>
      </c>
      <c r="I636" s="18">
        <f t="shared" ca="1" si="62"/>
        <v>-17</v>
      </c>
      <c r="J636" s="19">
        <f t="shared" ca="1" si="59"/>
        <v>10</v>
      </c>
      <c r="K636" s="17" t="s">
        <v>41</v>
      </c>
      <c r="L636" s="20">
        <v>51</v>
      </c>
      <c r="M636" s="26" t="s">
        <v>44</v>
      </c>
      <c r="N636">
        <v>136</v>
      </c>
    </row>
    <row r="637" spans="1:14">
      <c r="A637" s="24">
        <f t="shared" si="63"/>
        <v>635</v>
      </c>
      <c r="B637" s="66" t="s">
        <v>8</v>
      </c>
      <c r="C637" s="66" t="s">
        <v>521</v>
      </c>
      <c r="D637" s="66" t="s">
        <v>267</v>
      </c>
      <c r="E637" s="21">
        <f t="shared" ca="1" si="64"/>
        <v>40951</v>
      </c>
      <c r="F637" s="6">
        <f>DATE(55,8,13)</f>
        <v>20314</v>
      </c>
      <c r="G637" s="7">
        <f t="shared" ca="1" si="60"/>
        <v>57</v>
      </c>
      <c r="H637" s="7">
        <f t="shared" ca="1" si="61"/>
        <v>-6</v>
      </c>
      <c r="I637" s="8">
        <f t="shared" ca="1" si="62"/>
        <v>-1</v>
      </c>
      <c r="J637" s="9">
        <f t="shared" ca="1" si="59"/>
        <v>56</v>
      </c>
      <c r="K637" s="7" t="s">
        <v>40</v>
      </c>
      <c r="L637" s="10">
        <v>51</v>
      </c>
      <c r="M637" s="24" t="s">
        <v>40</v>
      </c>
      <c r="N637">
        <v>137</v>
      </c>
    </row>
    <row r="638" spans="1:14">
      <c r="A638" s="25">
        <f t="shared" si="63"/>
        <v>636</v>
      </c>
      <c r="B638" s="67" t="s">
        <v>8</v>
      </c>
      <c r="C638" s="67" t="s">
        <v>525</v>
      </c>
      <c r="D638" s="67" t="s">
        <v>521</v>
      </c>
      <c r="E638" s="22">
        <f t="shared" ca="1" si="64"/>
        <v>40951</v>
      </c>
      <c r="F638" s="11">
        <f>DATE(64,4,9)</f>
        <v>23476</v>
      </c>
      <c r="G638" s="12">
        <f t="shared" ca="1" si="60"/>
        <v>48</v>
      </c>
      <c r="H638" s="12">
        <f t="shared" ca="1" si="61"/>
        <v>-2</v>
      </c>
      <c r="I638" s="13">
        <f t="shared" ca="1" si="62"/>
        <v>3</v>
      </c>
      <c r="J638" s="14">
        <f t="shared" ca="1" si="59"/>
        <v>47</v>
      </c>
      <c r="K638" s="12" t="s">
        <v>41</v>
      </c>
      <c r="L638" s="15">
        <v>51</v>
      </c>
      <c r="M638" s="25" t="s">
        <v>40</v>
      </c>
      <c r="N638">
        <v>137</v>
      </c>
    </row>
    <row r="639" spans="1:14">
      <c r="A639" s="25">
        <f t="shared" si="63"/>
        <v>637</v>
      </c>
      <c r="B639" s="67" t="s">
        <v>8</v>
      </c>
      <c r="C639" s="67" t="s">
        <v>526</v>
      </c>
      <c r="D639" s="67" t="s">
        <v>521</v>
      </c>
      <c r="E639" s="22">
        <f t="shared" ca="1" si="64"/>
        <v>40951</v>
      </c>
      <c r="F639" s="11">
        <f>DATE(83,4,3)</f>
        <v>30409</v>
      </c>
      <c r="G639" s="12">
        <f t="shared" ca="1" si="60"/>
        <v>29</v>
      </c>
      <c r="H639" s="12">
        <f t="shared" ca="1" si="61"/>
        <v>-2</v>
      </c>
      <c r="I639" s="13">
        <f t="shared" ca="1" si="62"/>
        <v>9</v>
      </c>
      <c r="J639" s="14">
        <f t="shared" ca="1" si="59"/>
        <v>28</v>
      </c>
      <c r="K639" s="12" t="s">
        <v>40</v>
      </c>
      <c r="L639" s="15">
        <v>51</v>
      </c>
      <c r="M639" s="25" t="s">
        <v>44</v>
      </c>
      <c r="N639">
        <v>137</v>
      </c>
    </row>
    <row r="640" spans="1:14" ht="15.75" thickBot="1">
      <c r="A640" s="26">
        <f t="shared" si="63"/>
        <v>638</v>
      </c>
      <c r="B640" s="67" t="s">
        <v>8</v>
      </c>
      <c r="C640" s="68" t="s">
        <v>376</v>
      </c>
      <c r="D640" s="68" t="s">
        <v>521</v>
      </c>
      <c r="E640" s="23">
        <f t="shared" ca="1" si="64"/>
        <v>40951</v>
      </c>
      <c r="F640" s="16">
        <f>DATE(87,3,1)</f>
        <v>31837</v>
      </c>
      <c r="G640" s="17">
        <f t="shared" ca="1" si="60"/>
        <v>25</v>
      </c>
      <c r="H640" s="17">
        <f t="shared" ca="1" si="61"/>
        <v>-1</v>
      </c>
      <c r="I640" s="18">
        <f t="shared" ca="1" si="62"/>
        <v>11</v>
      </c>
      <c r="J640" s="19">
        <f t="shared" ca="1" si="59"/>
        <v>24</v>
      </c>
      <c r="K640" s="17" t="s">
        <v>40</v>
      </c>
      <c r="L640" s="20">
        <v>51</v>
      </c>
      <c r="M640" s="26" t="s">
        <v>44</v>
      </c>
      <c r="N640">
        <v>137</v>
      </c>
    </row>
    <row r="641" spans="1:14">
      <c r="A641" s="24">
        <f t="shared" si="63"/>
        <v>639</v>
      </c>
      <c r="B641" s="66" t="s">
        <v>8</v>
      </c>
      <c r="C641" s="66" t="s">
        <v>326</v>
      </c>
      <c r="D641" s="66" t="s">
        <v>267</v>
      </c>
      <c r="E641" s="21">
        <f t="shared" ca="1" si="64"/>
        <v>40951</v>
      </c>
      <c r="F641" s="6">
        <f>DATE(61,3,19)</f>
        <v>22359</v>
      </c>
      <c r="G641" s="7">
        <f t="shared" ca="1" si="60"/>
        <v>51</v>
      </c>
      <c r="H641" s="7">
        <f t="shared" ca="1" si="61"/>
        <v>-1</v>
      </c>
      <c r="I641" s="8">
        <f t="shared" ca="1" si="62"/>
        <v>-7</v>
      </c>
      <c r="J641" s="9">
        <f t="shared" ca="1" si="59"/>
        <v>50</v>
      </c>
      <c r="K641" s="7" t="s">
        <v>40</v>
      </c>
      <c r="L641" s="10">
        <v>52</v>
      </c>
      <c r="M641" s="24" t="s">
        <v>40</v>
      </c>
      <c r="N641">
        <v>138</v>
      </c>
    </row>
    <row r="642" spans="1:14">
      <c r="A642" s="25">
        <f t="shared" si="63"/>
        <v>640</v>
      </c>
      <c r="B642" s="67" t="s">
        <v>8</v>
      </c>
      <c r="C642" s="67" t="s">
        <v>178</v>
      </c>
      <c r="D642" s="67" t="s">
        <v>326</v>
      </c>
      <c r="E642" s="22">
        <f t="shared" ca="1" si="64"/>
        <v>40951</v>
      </c>
      <c r="F642" s="11">
        <f>DATE(63,9,16)</f>
        <v>23270</v>
      </c>
      <c r="G642" s="12">
        <f t="shared" ca="1" si="60"/>
        <v>49</v>
      </c>
      <c r="H642" s="12">
        <f t="shared" ca="1" si="61"/>
        <v>-7</v>
      </c>
      <c r="I642" s="13">
        <f t="shared" ca="1" si="62"/>
        <v>-4</v>
      </c>
      <c r="J642" s="14">
        <f t="shared" ca="1" si="59"/>
        <v>48</v>
      </c>
      <c r="K642" s="12" t="s">
        <v>41</v>
      </c>
      <c r="L642" s="15">
        <v>52</v>
      </c>
      <c r="M642" s="25" t="s">
        <v>40</v>
      </c>
      <c r="N642">
        <v>138</v>
      </c>
    </row>
    <row r="643" spans="1:14">
      <c r="A643" s="25">
        <f t="shared" si="63"/>
        <v>641</v>
      </c>
      <c r="B643" s="67" t="s">
        <v>8</v>
      </c>
      <c r="C643" s="67" t="s">
        <v>151</v>
      </c>
      <c r="D643" s="67" t="s">
        <v>326</v>
      </c>
      <c r="E643" s="22">
        <f t="shared" ca="1" si="64"/>
        <v>40951</v>
      </c>
      <c r="F643" s="11">
        <f>DATE(85,10,27)</f>
        <v>31347</v>
      </c>
      <c r="G643" s="12">
        <f t="shared" ca="1" si="60"/>
        <v>27</v>
      </c>
      <c r="H643" s="12">
        <f t="shared" ca="1" si="61"/>
        <v>-8</v>
      </c>
      <c r="I643" s="13">
        <f t="shared" ca="1" si="62"/>
        <v>-15</v>
      </c>
      <c r="J643" s="14">
        <f t="shared" ref="J643:J706" ca="1" si="65">IF(H643&lt;0,G643-1,IF(H643&gt;0,G643,IF(I643&lt;0,G643-1,G643)))</f>
        <v>26</v>
      </c>
      <c r="K643" s="12" t="s">
        <v>40</v>
      </c>
      <c r="L643" s="15">
        <v>52</v>
      </c>
      <c r="M643" s="25" t="s">
        <v>44</v>
      </c>
      <c r="N643">
        <v>138</v>
      </c>
    </row>
    <row r="644" spans="1:14" ht="15.75" thickBot="1">
      <c r="A644" s="26">
        <f t="shared" si="63"/>
        <v>642</v>
      </c>
      <c r="B644" s="67" t="s">
        <v>8</v>
      </c>
      <c r="C644" s="68" t="s">
        <v>290</v>
      </c>
      <c r="D644" s="68" t="s">
        <v>326</v>
      </c>
      <c r="E644" s="23">
        <f t="shared" ca="1" si="64"/>
        <v>40951</v>
      </c>
      <c r="F644" s="16">
        <f>DATE(91,12,5)</f>
        <v>33577</v>
      </c>
      <c r="G644" s="17">
        <f t="shared" ca="1" si="60"/>
        <v>21</v>
      </c>
      <c r="H644" s="17">
        <f t="shared" ca="1" si="61"/>
        <v>-10</v>
      </c>
      <c r="I644" s="18">
        <f t="shared" ca="1" si="62"/>
        <v>7</v>
      </c>
      <c r="J644" s="19">
        <f t="shared" ca="1" si="65"/>
        <v>20</v>
      </c>
      <c r="K644" s="17" t="s">
        <v>40</v>
      </c>
      <c r="L644" s="20">
        <v>52</v>
      </c>
      <c r="M644" s="26" t="s">
        <v>44</v>
      </c>
      <c r="N644">
        <v>138</v>
      </c>
    </row>
    <row r="645" spans="1:14">
      <c r="A645" s="24">
        <f t="shared" si="63"/>
        <v>643</v>
      </c>
      <c r="B645" s="66" t="s">
        <v>8</v>
      </c>
      <c r="C645" s="66" t="s">
        <v>527</v>
      </c>
      <c r="D645" s="66" t="s">
        <v>528</v>
      </c>
      <c r="E645" s="21">
        <f t="shared" ca="1" si="64"/>
        <v>40951</v>
      </c>
      <c r="F645" s="6">
        <f>DATE(43,2,19)</f>
        <v>15756</v>
      </c>
      <c r="G645" s="7">
        <f t="shared" ca="1" si="60"/>
        <v>69</v>
      </c>
      <c r="H645" s="7">
        <f t="shared" ca="1" si="61"/>
        <v>0</v>
      </c>
      <c r="I645" s="8">
        <f t="shared" ca="1" si="62"/>
        <v>-7</v>
      </c>
      <c r="J645" s="9">
        <f t="shared" ca="1" si="65"/>
        <v>68</v>
      </c>
      <c r="K645" s="7" t="s">
        <v>40</v>
      </c>
      <c r="L645" s="10">
        <v>52</v>
      </c>
      <c r="M645" s="24" t="s">
        <v>40</v>
      </c>
      <c r="N645">
        <v>139</v>
      </c>
    </row>
    <row r="646" spans="1:14">
      <c r="A646" s="25">
        <f t="shared" si="63"/>
        <v>644</v>
      </c>
      <c r="B646" s="67" t="s">
        <v>8</v>
      </c>
      <c r="C646" s="67" t="s">
        <v>87</v>
      </c>
      <c r="D646" s="67" t="s">
        <v>315</v>
      </c>
      <c r="E646" s="22">
        <f t="shared" ca="1" si="64"/>
        <v>40951</v>
      </c>
      <c r="F646" s="11">
        <f>DATE(50,1,17)</f>
        <v>18280</v>
      </c>
      <c r="G646" s="12">
        <f t="shared" ca="1" si="60"/>
        <v>62</v>
      </c>
      <c r="H646" s="12">
        <f t="shared" ca="1" si="61"/>
        <v>1</v>
      </c>
      <c r="I646" s="13">
        <f t="shared" ca="1" si="62"/>
        <v>-5</v>
      </c>
      <c r="J646" s="14">
        <f t="shared" ca="1" si="65"/>
        <v>62</v>
      </c>
      <c r="K646" s="12" t="s">
        <v>41</v>
      </c>
      <c r="L646" s="15">
        <v>52</v>
      </c>
      <c r="M646" s="25" t="s">
        <v>40</v>
      </c>
      <c r="N646">
        <v>139</v>
      </c>
    </row>
    <row r="647" spans="1:14">
      <c r="A647" s="25">
        <f t="shared" si="63"/>
        <v>645</v>
      </c>
      <c r="B647" s="67" t="s">
        <v>8</v>
      </c>
      <c r="C647" s="67" t="s">
        <v>529</v>
      </c>
      <c r="D647" s="67" t="s">
        <v>315</v>
      </c>
      <c r="E647" s="22">
        <f t="shared" ca="1" si="64"/>
        <v>40951</v>
      </c>
      <c r="F647" s="11">
        <f>DATE(73,6,27)</f>
        <v>26842</v>
      </c>
      <c r="G647" s="12">
        <f t="shared" ca="1" si="60"/>
        <v>39</v>
      </c>
      <c r="H647" s="12">
        <f t="shared" ca="1" si="61"/>
        <v>-4</v>
      </c>
      <c r="I647" s="13">
        <f t="shared" ca="1" si="62"/>
        <v>-15</v>
      </c>
      <c r="J647" s="14">
        <f t="shared" ca="1" si="65"/>
        <v>38</v>
      </c>
      <c r="K647" s="12" t="s">
        <v>40</v>
      </c>
      <c r="L647" s="15">
        <v>52</v>
      </c>
      <c r="M647" s="25" t="s">
        <v>40</v>
      </c>
      <c r="N647">
        <v>139</v>
      </c>
    </row>
    <row r="648" spans="1:14">
      <c r="A648" s="25">
        <f t="shared" si="63"/>
        <v>646</v>
      </c>
      <c r="B648" s="67" t="s">
        <v>8</v>
      </c>
      <c r="C648" s="67" t="s">
        <v>530</v>
      </c>
      <c r="D648" s="67" t="s">
        <v>529</v>
      </c>
      <c r="E648" s="22">
        <f t="shared" ca="1" si="64"/>
        <v>40951</v>
      </c>
      <c r="F648" s="11">
        <f>DATE(79,2,11)</f>
        <v>28897</v>
      </c>
      <c r="G648" s="12">
        <f t="shared" ca="1" si="60"/>
        <v>33</v>
      </c>
      <c r="H648" s="12">
        <f t="shared" ca="1" si="61"/>
        <v>0</v>
      </c>
      <c r="I648" s="13">
        <f t="shared" ca="1" si="62"/>
        <v>1</v>
      </c>
      <c r="J648" s="14">
        <f t="shared" ca="1" si="65"/>
        <v>33</v>
      </c>
      <c r="K648" s="12" t="s">
        <v>41</v>
      </c>
      <c r="L648" s="15">
        <v>52</v>
      </c>
      <c r="M648" s="25" t="s">
        <v>40</v>
      </c>
      <c r="N648">
        <v>139</v>
      </c>
    </row>
    <row r="649" spans="1:14">
      <c r="A649" s="25">
        <f t="shared" si="63"/>
        <v>647</v>
      </c>
      <c r="B649" s="67" t="s">
        <v>8</v>
      </c>
      <c r="C649" s="67" t="s">
        <v>126</v>
      </c>
      <c r="D649" s="67" t="s">
        <v>529</v>
      </c>
      <c r="E649" s="22">
        <f t="shared" ca="1" si="64"/>
        <v>40951</v>
      </c>
      <c r="F649" s="11">
        <f>DATE(99,5,11)</f>
        <v>36291</v>
      </c>
      <c r="G649" s="12">
        <f t="shared" ca="1" si="60"/>
        <v>13</v>
      </c>
      <c r="H649" s="12">
        <f t="shared" ca="1" si="61"/>
        <v>-3</v>
      </c>
      <c r="I649" s="13">
        <f t="shared" ca="1" si="62"/>
        <v>1</v>
      </c>
      <c r="J649" s="14">
        <f t="shared" ca="1" si="65"/>
        <v>12</v>
      </c>
      <c r="K649" s="12" t="s">
        <v>40</v>
      </c>
      <c r="L649" s="15">
        <v>52</v>
      </c>
      <c r="M649" s="25" t="s">
        <v>44</v>
      </c>
      <c r="N649">
        <v>139</v>
      </c>
    </row>
    <row r="650" spans="1:14" ht="15.75" thickBot="1">
      <c r="A650" s="26">
        <f t="shared" si="63"/>
        <v>648</v>
      </c>
      <c r="B650" s="67" t="s">
        <v>8</v>
      </c>
      <c r="C650" s="68" t="s">
        <v>531</v>
      </c>
      <c r="D650" s="68" t="s">
        <v>529</v>
      </c>
      <c r="E650" s="23">
        <f t="shared" ca="1" si="64"/>
        <v>40951</v>
      </c>
      <c r="F650" s="16">
        <f>DATE(2005,6,10)</f>
        <v>38513</v>
      </c>
      <c r="G650" s="17">
        <f t="shared" ca="1" si="60"/>
        <v>7</v>
      </c>
      <c r="H650" s="17">
        <f t="shared" ca="1" si="61"/>
        <v>-4</v>
      </c>
      <c r="I650" s="18">
        <f t="shared" ca="1" si="62"/>
        <v>2</v>
      </c>
      <c r="J650" s="19">
        <f t="shared" ca="1" si="65"/>
        <v>6</v>
      </c>
      <c r="K650" s="17" t="s">
        <v>40</v>
      </c>
      <c r="L650" s="20">
        <v>52</v>
      </c>
      <c r="M650" s="26" t="s">
        <v>44</v>
      </c>
      <c r="N650">
        <v>139</v>
      </c>
    </row>
    <row r="651" spans="1:14">
      <c r="A651" s="25">
        <f t="shared" si="63"/>
        <v>649</v>
      </c>
      <c r="B651" s="67" t="s">
        <v>8</v>
      </c>
      <c r="C651" s="67" t="s">
        <v>527</v>
      </c>
      <c r="D651" s="67" t="s">
        <v>60</v>
      </c>
      <c r="E651" s="22">
        <f t="shared" ca="1" si="64"/>
        <v>40951</v>
      </c>
      <c r="F651" s="11">
        <f>DATE(61,11,11)</f>
        <v>22596</v>
      </c>
      <c r="G651" s="12">
        <f t="shared" ca="1" si="60"/>
        <v>51</v>
      </c>
      <c r="H651" s="12">
        <f t="shared" ca="1" si="61"/>
        <v>-9</v>
      </c>
      <c r="I651" s="13">
        <f t="shared" ca="1" si="62"/>
        <v>1</v>
      </c>
      <c r="J651" s="14">
        <f t="shared" ca="1" si="65"/>
        <v>50</v>
      </c>
      <c r="K651" s="12" t="s">
        <v>40</v>
      </c>
      <c r="L651" s="15">
        <v>52</v>
      </c>
      <c r="M651" s="25" t="s">
        <v>40</v>
      </c>
      <c r="N651">
        <v>140</v>
      </c>
    </row>
    <row r="652" spans="1:14">
      <c r="A652" s="25">
        <f t="shared" si="63"/>
        <v>650</v>
      </c>
      <c r="B652" s="67" t="s">
        <v>8</v>
      </c>
      <c r="C652" s="67" t="s">
        <v>194</v>
      </c>
      <c r="D652" s="67" t="s">
        <v>315</v>
      </c>
      <c r="E652" s="22">
        <f t="shared" ca="1" si="64"/>
        <v>40951</v>
      </c>
      <c r="F652" s="11">
        <f>DATE(67,5,30)</f>
        <v>24622</v>
      </c>
      <c r="G652" s="12">
        <f t="shared" ca="1" si="60"/>
        <v>45</v>
      </c>
      <c r="H652" s="12">
        <f t="shared" ca="1" si="61"/>
        <v>-3</v>
      </c>
      <c r="I652" s="13">
        <f t="shared" ca="1" si="62"/>
        <v>-18</v>
      </c>
      <c r="J652" s="14">
        <f t="shared" ca="1" si="65"/>
        <v>44</v>
      </c>
      <c r="K652" s="12" t="s">
        <v>41</v>
      </c>
      <c r="L652" s="15">
        <v>52</v>
      </c>
      <c r="M652" s="25" t="s">
        <v>40</v>
      </c>
      <c r="N652">
        <v>140</v>
      </c>
    </row>
    <row r="653" spans="1:14" ht="15.75" thickBot="1">
      <c r="A653" s="26">
        <f t="shared" si="63"/>
        <v>651</v>
      </c>
      <c r="B653" s="67" t="s">
        <v>8</v>
      </c>
      <c r="C653" s="68" t="s">
        <v>533</v>
      </c>
      <c r="D653" s="68" t="s">
        <v>315</v>
      </c>
      <c r="E653" s="23">
        <f t="shared" ca="1" si="64"/>
        <v>40951</v>
      </c>
      <c r="F653" s="16">
        <f>DATE(89,4,24)</f>
        <v>32622</v>
      </c>
      <c r="G653" s="17">
        <f t="shared" ca="1" si="60"/>
        <v>23</v>
      </c>
      <c r="H653" s="17">
        <f t="shared" ca="1" si="61"/>
        <v>-2</v>
      </c>
      <c r="I653" s="18">
        <f t="shared" ca="1" si="62"/>
        <v>-12</v>
      </c>
      <c r="J653" s="19">
        <f t="shared" ca="1" si="65"/>
        <v>22</v>
      </c>
      <c r="K653" s="17" t="s">
        <v>41</v>
      </c>
      <c r="L653" s="20">
        <v>52</v>
      </c>
      <c r="M653" s="26" t="s">
        <v>44</v>
      </c>
      <c r="N653">
        <v>140</v>
      </c>
    </row>
    <row r="654" spans="1:14">
      <c r="A654" s="24">
        <f t="shared" si="63"/>
        <v>652</v>
      </c>
      <c r="B654" s="66" t="s">
        <v>8</v>
      </c>
      <c r="C654" s="66" t="s">
        <v>532</v>
      </c>
      <c r="D654" s="66" t="s">
        <v>77</v>
      </c>
      <c r="E654" s="21">
        <f t="shared" ca="1" si="64"/>
        <v>40951</v>
      </c>
      <c r="F654" s="45"/>
      <c r="G654" s="7">
        <f t="shared" ca="1" si="60"/>
        <v>112</v>
      </c>
      <c r="H654" s="7">
        <f t="shared" ca="1" si="61"/>
        <v>1</v>
      </c>
      <c r="I654" s="8">
        <f t="shared" ca="1" si="62"/>
        <v>12</v>
      </c>
      <c r="J654" s="9">
        <f t="shared" ca="1" si="65"/>
        <v>112</v>
      </c>
      <c r="K654" s="7" t="s">
        <v>41</v>
      </c>
      <c r="L654" s="10">
        <v>53</v>
      </c>
      <c r="M654" s="24" t="s">
        <v>40</v>
      </c>
      <c r="N654">
        <v>141</v>
      </c>
    </row>
    <row r="655" spans="1:14">
      <c r="A655" s="25">
        <f t="shared" si="63"/>
        <v>653</v>
      </c>
      <c r="B655" s="67" t="s">
        <v>8</v>
      </c>
      <c r="C655" s="67" t="s">
        <v>527</v>
      </c>
      <c r="D655" s="67" t="s">
        <v>77</v>
      </c>
      <c r="E655" s="22">
        <f t="shared" ca="1" si="64"/>
        <v>40951</v>
      </c>
      <c r="F655" s="11">
        <f>DATE(48,8,12)</f>
        <v>17757</v>
      </c>
      <c r="G655" s="12">
        <f t="shared" ca="1" si="60"/>
        <v>64</v>
      </c>
      <c r="H655" s="12">
        <f t="shared" ca="1" si="61"/>
        <v>-6</v>
      </c>
      <c r="I655" s="13">
        <f t="shared" ca="1" si="62"/>
        <v>0</v>
      </c>
      <c r="J655" s="14">
        <f t="shared" ca="1" si="65"/>
        <v>63</v>
      </c>
      <c r="K655" s="12" t="s">
        <v>40</v>
      </c>
      <c r="L655" s="15">
        <v>53</v>
      </c>
      <c r="M655" s="25" t="s">
        <v>40</v>
      </c>
      <c r="N655">
        <v>141</v>
      </c>
    </row>
    <row r="656" spans="1:14">
      <c r="A656" s="25">
        <f t="shared" si="63"/>
        <v>654</v>
      </c>
      <c r="B656" s="67" t="s">
        <v>8</v>
      </c>
      <c r="C656" s="67" t="s">
        <v>68</v>
      </c>
      <c r="D656" s="67" t="s">
        <v>315</v>
      </c>
      <c r="E656" s="22">
        <f t="shared" ca="1" si="64"/>
        <v>40951</v>
      </c>
      <c r="F656" s="11">
        <f>DATE(94,5,19)</f>
        <v>34473</v>
      </c>
      <c r="G656" s="12">
        <f t="shared" ca="1" si="60"/>
        <v>18</v>
      </c>
      <c r="H656" s="12">
        <f t="shared" ca="1" si="61"/>
        <v>-3</v>
      </c>
      <c r="I656" s="13">
        <f t="shared" ca="1" si="62"/>
        <v>-7</v>
      </c>
      <c r="J656" s="14">
        <f t="shared" ca="1" si="65"/>
        <v>17</v>
      </c>
      <c r="K656" s="12" t="s">
        <v>41</v>
      </c>
      <c r="L656" s="15">
        <v>53</v>
      </c>
      <c r="M656" s="25" t="s">
        <v>40</v>
      </c>
      <c r="N656">
        <v>141</v>
      </c>
    </row>
    <row r="657" spans="1:14">
      <c r="A657" s="25">
        <f t="shared" si="63"/>
        <v>655</v>
      </c>
      <c r="B657" s="67" t="s">
        <v>8</v>
      </c>
      <c r="C657" s="67" t="s">
        <v>534</v>
      </c>
      <c r="D657" s="67" t="s">
        <v>315</v>
      </c>
      <c r="E657" s="22">
        <f t="shared" ca="1" si="64"/>
        <v>40951</v>
      </c>
      <c r="F657" s="11">
        <f>DATE(78,9,18)</f>
        <v>28751</v>
      </c>
      <c r="G657" s="12">
        <f t="shared" ca="1" si="60"/>
        <v>34</v>
      </c>
      <c r="H657" s="12">
        <f t="shared" ca="1" si="61"/>
        <v>-7</v>
      </c>
      <c r="I657" s="13">
        <f t="shared" ca="1" si="62"/>
        <v>-6</v>
      </c>
      <c r="J657" s="14">
        <f t="shared" ca="1" si="65"/>
        <v>33</v>
      </c>
      <c r="K657" s="12" t="s">
        <v>40</v>
      </c>
      <c r="L657" s="15">
        <v>53</v>
      </c>
      <c r="M657" s="25" t="s">
        <v>40</v>
      </c>
      <c r="N657">
        <v>141</v>
      </c>
    </row>
    <row r="658" spans="1:14">
      <c r="A658" s="25">
        <f t="shared" si="63"/>
        <v>656</v>
      </c>
      <c r="B658" s="67" t="s">
        <v>8</v>
      </c>
      <c r="C658" s="67" t="s">
        <v>535</v>
      </c>
      <c r="D658" s="67" t="s">
        <v>534</v>
      </c>
      <c r="E658" s="22">
        <f t="shared" ca="1" si="64"/>
        <v>40951</v>
      </c>
      <c r="F658" s="11">
        <f>DATE(81,4,25)</f>
        <v>29701</v>
      </c>
      <c r="G658" s="12">
        <f t="shared" ca="1" si="60"/>
        <v>31</v>
      </c>
      <c r="H658" s="12">
        <f t="shared" ca="1" si="61"/>
        <v>-2</v>
      </c>
      <c r="I658" s="13">
        <f t="shared" ca="1" si="62"/>
        <v>-13</v>
      </c>
      <c r="J658" s="14">
        <f t="shared" ca="1" si="65"/>
        <v>30</v>
      </c>
      <c r="K658" s="12" t="s">
        <v>41</v>
      </c>
      <c r="L658" s="15">
        <v>53</v>
      </c>
      <c r="M658" s="25" t="s">
        <v>40</v>
      </c>
      <c r="N658">
        <v>141</v>
      </c>
    </row>
    <row r="659" spans="1:14" ht="15.75" thickBot="1">
      <c r="A659" s="26">
        <f t="shared" si="63"/>
        <v>657</v>
      </c>
      <c r="B659" s="67" t="s">
        <v>8</v>
      </c>
      <c r="C659" s="68" t="s">
        <v>536</v>
      </c>
      <c r="D659" s="68" t="s">
        <v>77</v>
      </c>
      <c r="E659" s="23">
        <f t="shared" ca="1" si="64"/>
        <v>40951</v>
      </c>
      <c r="F659" s="33"/>
      <c r="G659" s="17">
        <f t="shared" ca="1" si="60"/>
        <v>112</v>
      </c>
      <c r="H659" s="17">
        <f t="shared" ca="1" si="61"/>
        <v>1</v>
      </c>
      <c r="I659" s="18">
        <f t="shared" ca="1" si="62"/>
        <v>12</v>
      </c>
      <c r="J659" s="19">
        <f t="shared" ca="1" si="65"/>
        <v>112</v>
      </c>
      <c r="K659" s="17" t="s">
        <v>41</v>
      </c>
      <c r="L659" s="20">
        <v>53</v>
      </c>
      <c r="M659" s="26" t="s">
        <v>44</v>
      </c>
      <c r="N659">
        <v>141</v>
      </c>
    </row>
    <row r="660" spans="1:14">
      <c r="A660" s="24">
        <f t="shared" si="63"/>
        <v>658</v>
      </c>
      <c r="B660" s="66" t="s">
        <v>8</v>
      </c>
      <c r="C660" s="66" t="s">
        <v>537</v>
      </c>
      <c r="D660" s="66" t="s">
        <v>198</v>
      </c>
      <c r="E660" s="21">
        <f t="shared" ca="1" si="64"/>
        <v>40951</v>
      </c>
      <c r="F660" s="6">
        <f>DATE(48,6,20)</f>
        <v>17704</v>
      </c>
      <c r="G660" s="7">
        <f t="shared" ca="1" si="60"/>
        <v>64</v>
      </c>
      <c r="H660" s="7">
        <f t="shared" ca="1" si="61"/>
        <v>-4</v>
      </c>
      <c r="I660" s="8">
        <f t="shared" ca="1" si="62"/>
        <v>-8</v>
      </c>
      <c r="J660" s="9">
        <f t="shared" ca="1" si="65"/>
        <v>63</v>
      </c>
      <c r="K660" s="7" t="s">
        <v>40</v>
      </c>
      <c r="L660" s="10">
        <v>53</v>
      </c>
      <c r="M660" s="24" t="s">
        <v>40</v>
      </c>
      <c r="N660">
        <v>142</v>
      </c>
    </row>
    <row r="661" spans="1:14">
      <c r="A661" s="25">
        <f t="shared" si="63"/>
        <v>659</v>
      </c>
      <c r="B661" s="67" t="s">
        <v>8</v>
      </c>
      <c r="C661" s="67" t="s">
        <v>102</v>
      </c>
      <c r="D661" s="67" t="s">
        <v>537</v>
      </c>
      <c r="E661" s="22">
        <f t="shared" ca="1" si="64"/>
        <v>40951</v>
      </c>
      <c r="F661" s="11">
        <f>DATE(56,8,15)</f>
        <v>20682</v>
      </c>
      <c r="G661" s="12">
        <f t="shared" ca="1" si="60"/>
        <v>56</v>
      </c>
      <c r="H661" s="12">
        <f t="shared" ca="1" si="61"/>
        <v>-6</v>
      </c>
      <c r="I661" s="13">
        <f t="shared" ca="1" si="62"/>
        <v>-3</v>
      </c>
      <c r="J661" s="14">
        <f t="shared" ca="1" si="65"/>
        <v>55</v>
      </c>
      <c r="K661" s="12" t="s">
        <v>41</v>
      </c>
      <c r="L661" s="15">
        <v>53</v>
      </c>
      <c r="M661" s="25" t="s">
        <v>40</v>
      </c>
      <c r="N661">
        <v>142</v>
      </c>
    </row>
    <row r="662" spans="1:14">
      <c r="A662" s="25">
        <f t="shared" si="63"/>
        <v>660</v>
      </c>
      <c r="B662" s="67" t="s">
        <v>8</v>
      </c>
      <c r="C662" s="67" t="s">
        <v>348</v>
      </c>
      <c r="D662" s="67" t="s">
        <v>537</v>
      </c>
      <c r="E662" s="22">
        <f t="shared" ca="1" si="64"/>
        <v>40951</v>
      </c>
      <c r="F662" s="11">
        <f>DATE(86,11,20)</f>
        <v>31736</v>
      </c>
      <c r="G662" s="12">
        <f t="shared" ca="1" si="60"/>
        <v>26</v>
      </c>
      <c r="H662" s="12">
        <f t="shared" ca="1" si="61"/>
        <v>-9</v>
      </c>
      <c r="I662" s="13">
        <f t="shared" ca="1" si="62"/>
        <v>-8</v>
      </c>
      <c r="J662" s="14">
        <f t="shared" ca="1" si="65"/>
        <v>25</v>
      </c>
      <c r="K662" s="12" t="s">
        <v>40</v>
      </c>
      <c r="L662" s="15">
        <v>53</v>
      </c>
      <c r="M662" s="25" t="s">
        <v>44</v>
      </c>
      <c r="N662">
        <v>142</v>
      </c>
    </row>
    <row r="663" spans="1:14" ht="15.75" thickBot="1">
      <c r="A663" s="26">
        <f t="shared" si="63"/>
        <v>661</v>
      </c>
      <c r="B663" s="67" t="s">
        <v>8</v>
      </c>
      <c r="C663" s="68" t="s">
        <v>538</v>
      </c>
      <c r="D663" s="68" t="s">
        <v>198</v>
      </c>
      <c r="E663" s="23">
        <f t="shared" ca="1" si="64"/>
        <v>40951</v>
      </c>
      <c r="F663" s="16">
        <f>DATE(28,5,7)</f>
        <v>10355</v>
      </c>
      <c r="G663" s="17">
        <f t="shared" ca="1" si="60"/>
        <v>84</v>
      </c>
      <c r="H663" s="17">
        <f t="shared" ca="1" si="61"/>
        <v>-3</v>
      </c>
      <c r="I663" s="18">
        <f t="shared" ca="1" si="62"/>
        <v>5</v>
      </c>
      <c r="J663" s="19">
        <f t="shared" ca="1" si="65"/>
        <v>83</v>
      </c>
      <c r="K663" s="17" t="s">
        <v>41</v>
      </c>
      <c r="L663" s="20">
        <v>53</v>
      </c>
      <c r="M663" s="26" t="s">
        <v>40</v>
      </c>
      <c r="N663">
        <v>142</v>
      </c>
    </row>
    <row r="664" spans="1:14">
      <c r="A664" s="25">
        <f t="shared" si="63"/>
        <v>662</v>
      </c>
      <c r="B664" s="67" t="s">
        <v>8</v>
      </c>
      <c r="C664" s="67" t="s">
        <v>539</v>
      </c>
      <c r="D664" s="67" t="s">
        <v>425</v>
      </c>
      <c r="E664" s="22">
        <f t="shared" ca="1" si="64"/>
        <v>40951</v>
      </c>
      <c r="F664" s="11">
        <f>DATE(43,8,22)</f>
        <v>15940</v>
      </c>
      <c r="G664" s="12">
        <f t="shared" ca="1" si="60"/>
        <v>69</v>
      </c>
      <c r="H664" s="12">
        <f t="shared" ca="1" si="61"/>
        <v>-6</v>
      </c>
      <c r="I664" s="13">
        <f t="shared" ca="1" si="62"/>
        <v>-10</v>
      </c>
      <c r="J664" s="14">
        <f t="shared" ca="1" si="65"/>
        <v>68</v>
      </c>
      <c r="K664" s="12" t="s">
        <v>40</v>
      </c>
      <c r="L664" s="15">
        <v>53</v>
      </c>
      <c r="M664" s="25" t="s">
        <v>40</v>
      </c>
      <c r="N664">
        <v>143</v>
      </c>
    </row>
    <row r="665" spans="1:14">
      <c r="A665" s="25">
        <f t="shared" si="63"/>
        <v>663</v>
      </c>
      <c r="B665" s="67" t="s">
        <v>8</v>
      </c>
      <c r="C665" s="67" t="s">
        <v>166</v>
      </c>
      <c r="D665" s="67" t="s">
        <v>91</v>
      </c>
      <c r="E665" s="22">
        <f t="shared" ca="1" si="64"/>
        <v>40951</v>
      </c>
      <c r="F665" s="11">
        <f>DATE(69,8,30)</f>
        <v>25445</v>
      </c>
      <c r="G665" s="12">
        <f t="shared" ref="G665:G728" ca="1" si="66">YEAR(E665)-YEAR(F665)</f>
        <v>43</v>
      </c>
      <c r="H665" s="12">
        <f t="shared" ref="H665:H728" ca="1" si="67">MONTH(E665)-MONTH(F665)</f>
        <v>-6</v>
      </c>
      <c r="I665" s="13">
        <f t="shared" ref="I665:I728" ca="1" si="68">DAY(E665)-DAY(F665)</f>
        <v>-18</v>
      </c>
      <c r="J665" s="14">
        <f t="shared" ca="1" si="65"/>
        <v>42</v>
      </c>
      <c r="K665" s="12" t="s">
        <v>40</v>
      </c>
      <c r="L665" s="15">
        <v>53</v>
      </c>
      <c r="M665" s="25" t="s">
        <v>40</v>
      </c>
      <c r="N665">
        <v>143</v>
      </c>
    </row>
    <row r="666" spans="1:14">
      <c r="A666" s="25">
        <f t="shared" si="63"/>
        <v>664</v>
      </c>
      <c r="B666" s="67" t="s">
        <v>8</v>
      </c>
      <c r="C666" s="67" t="s">
        <v>474</v>
      </c>
      <c r="D666" s="67" t="s">
        <v>166</v>
      </c>
      <c r="E666" s="22">
        <f t="shared" ca="1" si="64"/>
        <v>40951</v>
      </c>
      <c r="F666" s="11">
        <f>DATE(76,12,14)</f>
        <v>28108</v>
      </c>
      <c r="G666" s="12">
        <f t="shared" ca="1" si="66"/>
        <v>36</v>
      </c>
      <c r="H666" s="12">
        <f t="shared" ca="1" si="67"/>
        <v>-10</v>
      </c>
      <c r="I666" s="13">
        <f t="shared" ca="1" si="68"/>
        <v>-2</v>
      </c>
      <c r="J666" s="14">
        <f t="shared" ca="1" si="65"/>
        <v>35</v>
      </c>
      <c r="K666" s="12" t="s">
        <v>41</v>
      </c>
      <c r="L666" s="15">
        <v>53</v>
      </c>
      <c r="M666" s="25" t="s">
        <v>40</v>
      </c>
      <c r="N666">
        <v>143</v>
      </c>
    </row>
    <row r="667" spans="1:14">
      <c r="A667" s="25">
        <f t="shared" si="63"/>
        <v>665</v>
      </c>
      <c r="B667" s="67" t="s">
        <v>8</v>
      </c>
      <c r="C667" s="67" t="s">
        <v>540</v>
      </c>
      <c r="D667" s="67" t="s">
        <v>166</v>
      </c>
      <c r="E667" s="22">
        <f t="shared" ca="1" si="64"/>
        <v>40951</v>
      </c>
      <c r="F667" s="11">
        <f>DATE(96,11,23)</f>
        <v>35392</v>
      </c>
      <c r="G667" s="12">
        <f t="shared" ca="1" si="66"/>
        <v>16</v>
      </c>
      <c r="H667" s="12">
        <f t="shared" ca="1" si="67"/>
        <v>-9</v>
      </c>
      <c r="I667" s="13">
        <f t="shared" ca="1" si="68"/>
        <v>-11</v>
      </c>
      <c r="J667" s="14">
        <f t="shared" ca="1" si="65"/>
        <v>15</v>
      </c>
      <c r="K667" s="12" t="s">
        <v>40</v>
      </c>
      <c r="L667" s="15">
        <v>53</v>
      </c>
      <c r="M667" s="25" t="s">
        <v>44</v>
      </c>
      <c r="N667">
        <v>143</v>
      </c>
    </row>
    <row r="668" spans="1:14">
      <c r="A668" s="25">
        <f t="shared" si="63"/>
        <v>666</v>
      </c>
      <c r="B668" s="67" t="s">
        <v>8</v>
      </c>
      <c r="C668" s="67" t="s">
        <v>542</v>
      </c>
      <c r="D668" s="67" t="s">
        <v>166</v>
      </c>
      <c r="E668" s="22">
        <f t="shared" ca="1" si="64"/>
        <v>40951</v>
      </c>
      <c r="F668" s="11">
        <f>DATE(2003,12,5)</f>
        <v>37960</v>
      </c>
      <c r="G668" s="12">
        <f t="shared" ca="1" si="66"/>
        <v>9</v>
      </c>
      <c r="H668" s="12">
        <f t="shared" ca="1" si="67"/>
        <v>-10</v>
      </c>
      <c r="I668" s="13">
        <f t="shared" ca="1" si="68"/>
        <v>7</v>
      </c>
      <c r="J668" s="14">
        <f t="shared" ca="1" si="65"/>
        <v>8</v>
      </c>
      <c r="K668" s="12" t="s">
        <v>41</v>
      </c>
      <c r="L668" s="15">
        <v>53</v>
      </c>
      <c r="M668" s="25" t="s">
        <v>44</v>
      </c>
      <c r="N668">
        <v>143</v>
      </c>
    </row>
    <row r="669" spans="1:14">
      <c r="A669" s="25">
        <f t="shared" si="63"/>
        <v>667</v>
      </c>
      <c r="B669" s="67" t="s">
        <v>8</v>
      </c>
      <c r="C669" s="67" t="s">
        <v>541</v>
      </c>
      <c r="D669" s="67" t="s">
        <v>91</v>
      </c>
      <c r="E669" s="22">
        <f t="shared" ca="1" si="64"/>
        <v>40951</v>
      </c>
      <c r="F669" s="11">
        <f>DATE(71,8,14)</f>
        <v>26159</v>
      </c>
      <c r="G669" s="12">
        <f t="shared" ca="1" si="66"/>
        <v>41</v>
      </c>
      <c r="H669" s="12">
        <f t="shared" ca="1" si="67"/>
        <v>-6</v>
      </c>
      <c r="I669" s="13">
        <f t="shared" ca="1" si="68"/>
        <v>-2</v>
      </c>
      <c r="J669" s="14">
        <f t="shared" ca="1" si="65"/>
        <v>40</v>
      </c>
      <c r="K669" s="12" t="s">
        <v>40</v>
      </c>
      <c r="L669" s="15">
        <v>53</v>
      </c>
      <c r="M669" s="25" t="s">
        <v>40</v>
      </c>
      <c r="N669">
        <v>143</v>
      </c>
    </row>
    <row r="670" spans="1:14" ht="15.75" thickBot="1">
      <c r="A670" s="26">
        <f t="shared" ref="A670:A733" si="69">A669+1</f>
        <v>668</v>
      </c>
      <c r="B670" s="67" t="s">
        <v>8</v>
      </c>
      <c r="C670" s="68" t="s">
        <v>175</v>
      </c>
      <c r="D670" s="68" t="s">
        <v>541</v>
      </c>
      <c r="E670" s="23">
        <f t="shared" ca="1" si="64"/>
        <v>40951</v>
      </c>
      <c r="F670" s="16">
        <f>DATE(74,12,18)</f>
        <v>27381</v>
      </c>
      <c r="G670" s="17">
        <f t="shared" ca="1" si="66"/>
        <v>38</v>
      </c>
      <c r="H670" s="17">
        <f t="shared" ca="1" si="67"/>
        <v>-10</v>
      </c>
      <c r="I670" s="18">
        <f t="shared" ca="1" si="68"/>
        <v>-6</v>
      </c>
      <c r="J670" s="19">
        <f t="shared" ca="1" si="65"/>
        <v>37</v>
      </c>
      <c r="K670" s="17" t="s">
        <v>41</v>
      </c>
      <c r="L670" s="20">
        <v>53</v>
      </c>
      <c r="M670" s="26" t="s">
        <v>40</v>
      </c>
      <c r="N670">
        <v>143</v>
      </c>
    </row>
    <row r="671" spans="1:14">
      <c r="A671" s="24">
        <f t="shared" si="69"/>
        <v>669</v>
      </c>
      <c r="B671" s="66" t="s">
        <v>8</v>
      </c>
      <c r="C671" s="66" t="s">
        <v>332</v>
      </c>
      <c r="D671" s="66" t="s">
        <v>198</v>
      </c>
      <c r="E671" s="21">
        <f t="shared" ca="1" si="64"/>
        <v>40951</v>
      </c>
      <c r="F671" s="6">
        <f>DATE(56,12,25)</f>
        <v>20814</v>
      </c>
      <c r="G671" s="7">
        <f t="shared" ca="1" si="66"/>
        <v>56</v>
      </c>
      <c r="H671" s="7">
        <f t="shared" ca="1" si="67"/>
        <v>-10</v>
      </c>
      <c r="I671" s="8">
        <f t="shared" ca="1" si="68"/>
        <v>-13</v>
      </c>
      <c r="J671" s="9">
        <f t="shared" ca="1" si="65"/>
        <v>55</v>
      </c>
      <c r="K671" s="7" t="s">
        <v>40</v>
      </c>
      <c r="L671" s="10">
        <v>54</v>
      </c>
      <c r="M671" s="24" t="s">
        <v>40</v>
      </c>
      <c r="N671">
        <v>144</v>
      </c>
    </row>
    <row r="672" spans="1:14">
      <c r="A672" s="25">
        <f t="shared" si="69"/>
        <v>670</v>
      </c>
      <c r="B672" s="67" t="s">
        <v>8</v>
      </c>
      <c r="C672" s="67" t="s">
        <v>175</v>
      </c>
      <c r="D672" s="67" t="s">
        <v>332</v>
      </c>
      <c r="E672" s="22">
        <f t="shared" ca="1" si="64"/>
        <v>40951</v>
      </c>
      <c r="F672" s="11">
        <f>DATE(64,2,12)</f>
        <v>23419</v>
      </c>
      <c r="G672" s="12">
        <f t="shared" ca="1" si="66"/>
        <v>48</v>
      </c>
      <c r="H672" s="12">
        <f t="shared" ca="1" si="67"/>
        <v>0</v>
      </c>
      <c r="I672" s="13">
        <f t="shared" ca="1" si="68"/>
        <v>0</v>
      </c>
      <c r="J672" s="14">
        <f t="shared" ca="1" si="65"/>
        <v>48</v>
      </c>
      <c r="K672" s="12" t="s">
        <v>41</v>
      </c>
      <c r="L672" s="15">
        <v>54</v>
      </c>
      <c r="M672" s="25" t="s">
        <v>40</v>
      </c>
      <c r="N672">
        <v>144</v>
      </c>
    </row>
    <row r="673" spans="1:14">
      <c r="A673" s="25">
        <f t="shared" si="69"/>
        <v>671</v>
      </c>
      <c r="B673" s="67" t="s">
        <v>8</v>
      </c>
      <c r="C673" s="67" t="s">
        <v>543</v>
      </c>
      <c r="D673" s="67" t="s">
        <v>332</v>
      </c>
      <c r="E673" s="22">
        <f t="shared" ca="1" si="64"/>
        <v>40951</v>
      </c>
      <c r="F673" s="11">
        <f>DATE(84,12,5)</f>
        <v>31021</v>
      </c>
      <c r="G673" s="12">
        <f t="shared" ca="1" si="66"/>
        <v>28</v>
      </c>
      <c r="H673" s="12">
        <f t="shared" ca="1" si="67"/>
        <v>-10</v>
      </c>
      <c r="I673" s="13">
        <f t="shared" ca="1" si="68"/>
        <v>7</v>
      </c>
      <c r="J673" s="14">
        <f t="shared" ca="1" si="65"/>
        <v>27</v>
      </c>
      <c r="K673" s="12" t="s">
        <v>40</v>
      </c>
      <c r="L673" s="15">
        <v>54</v>
      </c>
      <c r="M673" s="25" t="s">
        <v>44</v>
      </c>
      <c r="N673">
        <v>144</v>
      </c>
    </row>
    <row r="674" spans="1:14" ht="15.75" thickBot="1">
      <c r="A674" s="26">
        <f t="shared" si="69"/>
        <v>672</v>
      </c>
      <c r="B674" s="67" t="s">
        <v>8</v>
      </c>
      <c r="C674" s="68" t="s">
        <v>544</v>
      </c>
      <c r="D674" s="68" t="s">
        <v>332</v>
      </c>
      <c r="E674" s="23">
        <f t="shared" ca="1" si="64"/>
        <v>40951</v>
      </c>
      <c r="F674" s="16">
        <f>DATE(90,6,19)</f>
        <v>33043</v>
      </c>
      <c r="G674" s="17">
        <f t="shared" ca="1" si="66"/>
        <v>22</v>
      </c>
      <c r="H674" s="17">
        <f t="shared" ca="1" si="67"/>
        <v>-4</v>
      </c>
      <c r="I674" s="18">
        <f t="shared" ca="1" si="68"/>
        <v>-7</v>
      </c>
      <c r="J674" s="19">
        <f t="shared" ca="1" si="65"/>
        <v>21</v>
      </c>
      <c r="K674" s="17" t="s">
        <v>41</v>
      </c>
      <c r="L674" s="20">
        <v>54</v>
      </c>
      <c r="M674" s="26" t="s">
        <v>44</v>
      </c>
      <c r="N674">
        <v>144</v>
      </c>
    </row>
    <row r="675" spans="1:14">
      <c r="A675" s="24">
        <f t="shared" si="69"/>
        <v>673</v>
      </c>
      <c r="B675" s="66" t="s">
        <v>8</v>
      </c>
      <c r="C675" s="66" t="s">
        <v>545</v>
      </c>
      <c r="D675" s="66" t="s">
        <v>546</v>
      </c>
      <c r="E675" s="21">
        <f t="shared" ref="E675:E738" ca="1" si="70">TODAY()</f>
        <v>40951</v>
      </c>
      <c r="F675" s="45"/>
      <c r="G675" s="7">
        <f t="shared" ca="1" si="66"/>
        <v>112</v>
      </c>
      <c r="H675" s="7">
        <f t="shared" ca="1" si="67"/>
        <v>1</v>
      </c>
      <c r="I675" s="8">
        <f t="shared" ca="1" si="68"/>
        <v>12</v>
      </c>
      <c r="J675" s="9">
        <f t="shared" ca="1" si="65"/>
        <v>112</v>
      </c>
      <c r="K675" s="7" t="s">
        <v>40</v>
      </c>
      <c r="L675" s="10">
        <v>54</v>
      </c>
      <c r="M675" s="24" t="s">
        <v>40</v>
      </c>
      <c r="N675">
        <v>145</v>
      </c>
    </row>
    <row r="676" spans="1:14">
      <c r="A676" s="25">
        <f t="shared" si="69"/>
        <v>674</v>
      </c>
      <c r="B676" s="67" t="s">
        <v>8</v>
      </c>
      <c r="C676" s="67" t="s">
        <v>102</v>
      </c>
      <c r="D676" s="67" t="s">
        <v>545</v>
      </c>
      <c r="E676" s="22">
        <f t="shared" ca="1" si="70"/>
        <v>40951</v>
      </c>
      <c r="F676" s="32"/>
      <c r="G676" s="12">
        <f t="shared" ca="1" si="66"/>
        <v>112</v>
      </c>
      <c r="H676" s="12">
        <f t="shared" ca="1" si="67"/>
        <v>1</v>
      </c>
      <c r="I676" s="13">
        <f t="shared" ca="1" si="68"/>
        <v>12</v>
      </c>
      <c r="J676" s="14">
        <f t="shared" ca="1" si="65"/>
        <v>112</v>
      </c>
      <c r="K676" s="12" t="s">
        <v>41</v>
      </c>
      <c r="L676" s="15">
        <v>54</v>
      </c>
      <c r="M676" s="25" t="s">
        <v>40</v>
      </c>
      <c r="N676">
        <v>145</v>
      </c>
    </row>
    <row r="677" spans="1:14" ht="15.75" thickBot="1">
      <c r="A677" s="26">
        <f t="shared" si="69"/>
        <v>675</v>
      </c>
      <c r="B677" s="67" t="s">
        <v>8</v>
      </c>
      <c r="C677" s="68" t="s">
        <v>547</v>
      </c>
      <c r="D677" s="68" t="s">
        <v>545</v>
      </c>
      <c r="E677" s="23">
        <f t="shared" ca="1" si="70"/>
        <v>40951</v>
      </c>
      <c r="F677" s="16">
        <f>DATE(89,12,4)</f>
        <v>32846</v>
      </c>
      <c r="G677" s="17">
        <f t="shared" ca="1" si="66"/>
        <v>23</v>
      </c>
      <c r="H677" s="17">
        <f t="shared" ca="1" si="67"/>
        <v>-10</v>
      </c>
      <c r="I677" s="18">
        <f t="shared" ca="1" si="68"/>
        <v>8</v>
      </c>
      <c r="J677" s="19">
        <f t="shared" ca="1" si="65"/>
        <v>22</v>
      </c>
      <c r="K677" s="17" t="s">
        <v>41</v>
      </c>
      <c r="L677" s="20">
        <v>54</v>
      </c>
      <c r="M677" s="26" t="s">
        <v>44</v>
      </c>
      <c r="N677">
        <v>145</v>
      </c>
    </row>
    <row r="678" spans="1:14">
      <c r="A678" s="25">
        <f t="shared" si="69"/>
        <v>676</v>
      </c>
      <c r="B678" s="67" t="s">
        <v>8</v>
      </c>
      <c r="C678" s="67" t="s">
        <v>548</v>
      </c>
      <c r="D678" s="67" t="s">
        <v>60</v>
      </c>
      <c r="E678" s="22">
        <f t="shared" ca="1" si="70"/>
        <v>40951</v>
      </c>
      <c r="F678" s="32"/>
      <c r="G678" s="12">
        <f t="shared" ca="1" si="66"/>
        <v>112</v>
      </c>
      <c r="H678" s="12">
        <f t="shared" ca="1" si="67"/>
        <v>1</v>
      </c>
      <c r="I678" s="13">
        <f t="shared" ca="1" si="68"/>
        <v>12</v>
      </c>
      <c r="J678" s="14">
        <f t="shared" ca="1" si="65"/>
        <v>112</v>
      </c>
      <c r="K678" s="12" t="s">
        <v>41</v>
      </c>
      <c r="L678" s="15">
        <v>54</v>
      </c>
      <c r="M678" s="25" t="s">
        <v>40</v>
      </c>
      <c r="N678">
        <v>146</v>
      </c>
    </row>
    <row r="679" spans="1:14">
      <c r="A679" s="25">
        <f t="shared" si="69"/>
        <v>677</v>
      </c>
      <c r="B679" s="67" t="s">
        <v>8</v>
      </c>
      <c r="C679" s="67" t="s">
        <v>93</v>
      </c>
      <c r="D679" s="67" t="s">
        <v>60</v>
      </c>
      <c r="E679" s="22">
        <f t="shared" ca="1" si="70"/>
        <v>40951</v>
      </c>
      <c r="F679" s="11">
        <f>DATE(59,9,5)</f>
        <v>21798</v>
      </c>
      <c r="G679" s="12">
        <f t="shared" ca="1" si="66"/>
        <v>53</v>
      </c>
      <c r="H679" s="12">
        <f t="shared" ca="1" si="67"/>
        <v>-7</v>
      </c>
      <c r="I679" s="13">
        <f t="shared" ca="1" si="68"/>
        <v>7</v>
      </c>
      <c r="J679" s="14">
        <f t="shared" ca="1" si="65"/>
        <v>52</v>
      </c>
      <c r="K679" s="12" t="s">
        <v>40</v>
      </c>
      <c r="L679" s="15">
        <v>54</v>
      </c>
      <c r="M679" s="25" t="s">
        <v>40</v>
      </c>
      <c r="N679">
        <v>146</v>
      </c>
    </row>
    <row r="680" spans="1:14">
      <c r="A680" s="25">
        <f t="shared" si="69"/>
        <v>678</v>
      </c>
      <c r="B680" s="67" t="s">
        <v>8</v>
      </c>
      <c r="C680" s="67" t="s">
        <v>430</v>
      </c>
      <c r="D680" s="67" t="s">
        <v>93</v>
      </c>
      <c r="E680" s="22">
        <f t="shared" ca="1" si="70"/>
        <v>40951</v>
      </c>
      <c r="F680" s="11">
        <f>DATE(63,7,1)</f>
        <v>23193</v>
      </c>
      <c r="G680" s="12">
        <f t="shared" ca="1" si="66"/>
        <v>49</v>
      </c>
      <c r="H680" s="12">
        <f t="shared" ca="1" si="67"/>
        <v>-5</v>
      </c>
      <c r="I680" s="13">
        <f t="shared" ca="1" si="68"/>
        <v>11</v>
      </c>
      <c r="J680" s="14">
        <f t="shared" ca="1" si="65"/>
        <v>48</v>
      </c>
      <c r="K680" s="12" t="s">
        <v>41</v>
      </c>
      <c r="L680" s="15">
        <v>54</v>
      </c>
      <c r="M680" s="25" t="s">
        <v>40</v>
      </c>
      <c r="N680">
        <v>146</v>
      </c>
    </row>
    <row r="681" spans="1:14">
      <c r="A681" s="25">
        <f t="shared" si="69"/>
        <v>679</v>
      </c>
      <c r="B681" s="67" t="s">
        <v>8</v>
      </c>
      <c r="C681" s="67" t="s">
        <v>549</v>
      </c>
      <c r="D681" s="67" t="s">
        <v>93</v>
      </c>
      <c r="E681" s="22">
        <f t="shared" ca="1" si="70"/>
        <v>40951</v>
      </c>
      <c r="F681" s="11">
        <f>DATE(86,11,21)</f>
        <v>31737</v>
      </c>
      <c r="G681" s="12">
        <f t="shared" ca="1" si="66"/>
        <v>26</v>
      </c>
      <c r="H681" s="12">
        <f t="shared" ca="1" si="67"/>
        <v>-9</v>
      </c>
      <c r="I681" s="13">
        <f t="shared" ca="1" si="68"/>
        <v>-9</v>
      </c>
      <c r="J681" s="14">
        <f t="shared" ca="1" si="65"/>
        <v>25</v>
      </c>
      <c r="K681" s="12" t="s">
        <v>41</v>
      </c>
      <c r="L681" s="15">
        <v>54</v>
      </c>
      <c r="M681" s="25" t="s">
        <v>44</v>
      </c>
      <c r="N681">
        <v>146</v>
      </c>
    </row>
    <row r="682" spans="1:14" ht="15.75" thickBot="1">
      <c r="A682" s="26">
        <f t="shared" si="69"/>
        <v>680</v>
      </c>
      <c r="B682" s="67" t="s">
        <v>8</v>
      </c>
      <c r="C682" s="68" t="s">
        <v>234</v>
      </c>
      <c r="D682" s="68" t="s">
        <v>93</v>
      </c>
      <c r="E682" s="23">
        <f t="shared" ca="1" si="70"/>
        <v>40951</v>
      </c>
      <c r="F682" s="16">
        <f>DATE(92,4,17)</f>
        <v>33711</v>
      </c>
      <c r="G682" s="17">
        <f t="shared" ca="1" si="66"/>
        <v>20</v>
      </c>
      <c r="H682" s="17">
        <f t="shared" ca="1" si="67"/>
        <v>-2</v>
      </c>
      <c r="I682" s="18">
        <f t="shared" ca="1" si="68"/>
        <v>-5</v>
      </c>
      <c r="J682" s="19">
        <f t="shared" ca="1" si="65"/>
        <v>19</v>
      </c>
      <c r="K682" s="17" t="s">
        <v>40</v>
      </c>
      <c r="L682" s="20">
        <v>54</v>
      </c>
      <c r="M682" s="26" t="s">
        <v>44</v>
      </c>
      <c r="N682">
        <v>146</v>
      </c>
    </row>
    <row r="683" spans="1:14">
      <c r="A683" s="24">
        <f t="shared" si="69"/>
        <v>681</v>
      </c>
      <c r="B683" s="66" t="s">
        <v>8</v>
      </c>
      <c r="C683" s="66" t="s">
        <v>550</v>
      </c>
      <c r="D683" s="66" t="s">
        <v>551</v>
      </c>
      <c r="E683" s="21">
        <f t="shared" ca="1" si="70"/>
        <v>40951</v>
      </c>
      <c r="F683" s="6">
        <f>DATE(51,8,21)</f>
        <v>18861</v>
      </c>
      <c r="G683" s="7">
        <f t="shared" ca="1" si="66"/>
        <v>61</v>
      </c>
      <c r="H683" s="7">
        <f t="shared" ca="1" si="67"/>
        <v>-6</v>
      </c>
      <c r="I683" s="8">
        <f t="shared" ca="1" si="68"/>
        <v>-9</v>
      </c>
      <c r="J683" s="9">
        <f t="shared" ca="1" si="65"/>
        <v>60</v>
      </c>
      <c r="K683" s="7" t="s">
        <v>40</v>
      </c>
      <c r="L683" s="10">
        <v>55</v>
      </c>
      <c r="M683" s="24" t="s">
        <v>40</v>
      </c>
      <c r="N683">
        <v>147</v>
      </c>
    </row>
    <row r="684" spans="1:14">
      <c r="A684" s="25">
        <f t="shared" si="69"/>
        <v>682</v>
      </c>
      <c r="B684" s="67" t="s">
        <v>8</v>
      </c>
      <c r="C684" s="67" t="s">
        <v>552</v>
      </c>
      <c r="D684" s="67" t="s">
        <v>550</v>
      </c>
      <c r="E684" s="22">
        <f t="shared" ca="1" si="70"/>
        <v>40951</v>
      </c>
      <c r="F684" s="11">
        <f>DATE(55,4,28)</f>
        <v>20207</v>
      </c>
      <c r="G684" s="12">
        <f t="shared" ca="1" si="66"/>
        <v>57</v>
      </c>
      <c r="H684" s="12">
        <f t="shared" ca="1" si="67"/>
        <v>-2</v>
      </c>
      <c r="I684" s="13">
        <f t="shared" ca="1" si="68"/>
        <v>-16</v>
      </c>
      <c r="J684" s="14">
        <f t="shared" ca="1" si="65"/>
        <v>56</v>
      </c>
      <c r="K684" s="12" t="s">
        <v>41</v>
      </c>
      <c r="L684" s="15">
        <v>55</v>
      </c>
      <c r="M684" s="25" t="s">
        <v>40</v>
      </c>
      <c r="N684">
        <v>147</v>
      </c>
    </row>
    <row r="685" spans="1:14">
      <c r="A685" s="25">
        <f t="shared" si="69"/>
        <v>683</v>
      </c>
      <c r="B685" s="67" t="s">
        <v>8</v>
      </c>
      <c r="C685" s="67" t="s">
        <v>553</v>
      </c>
      <c r="D685" s="67" t="s">
        <v>550</v>
      </c>
      <c r="E685" s="22">
        <f t="shared" ca="1" si="70"/>
        <v>40951</v>
      </c>
      <c r="F685" s="11">
        <f>DATE(84,2,2)</f>
        <v>30714</v>
      </c>
      <c r="G685" s="12">
        <f t="shared" ca="1" si="66"/>
        <v>28</v>
      </c>
      <c r="H685" s="12">
        <f t="shared" ca="1" si="67"/>
        <v>0</v>
      </c>
      <c r="I685" s="13">
        <f t="shared" ca="1" si="68"/>
        <v>10</v>
      </c>
      <c r="J685" s="14">
        <f t="shared" ca="1" si="65"/>
        <v>28</v>
      </c>
      <c r="K685" s="12" t="s">
        <v>41</v>
      </c>
      <c r="L685" s="15">
        <v>55</v>
      </c>
      <c r="M685" s="25" t="s">
        <v>44</v>
      </c>
      <c r="N685">
        <v>147</v>
      </c>
    </row>
    <row r="686" spans="1:14">
      <c r="A686" s="25">
        <f t="shared" si="69"/>
        <v>684</v>
      </c>
      <c r="B686" s="67" t="s">
        <v>8</v>
      </c>
      <c r="C686" s="67" t="s">
        <v>554</v>
      </c>
      <c r="D686" s="67" t="s">
        <v>550</v>
      </c>
      <c r="E686" s="22">
        <f t="shared" ca="1" si="70"/>
        <v>40951</v>
      </c>
      <c r="F686" s="11">
        <f>DATE(88,12,31)</f>
        <v>32508</v>
      </c>
      <c r="G686" s="12">
        <f t="shared" ca="1" si="66"/>
        <v>24</v>
      </c>
      <c r="H686" s="12">
        <f t="shared" ca="1" si="67"/>
        <v>-10</v>
      </c>
      <c r="I686" s="13">
        <f t="shared" ca="1" si="68"/>
        <v>-19</v>
      </c>
      <c r="J686" s="14">
        <f t="shared" ca="1" si="65"/>
        <v>23</v>
      </c>
      <c r="K686" s="12" t="s">
        <v>41</v>
      </c>
      <c r="L686" s="15">
        <v>55</v>
      </c>
      <c r="M686" s="25" t="s">
        <v>44</v>
      </c>
      <c r="N686">
        <v>147</v>
      </c>
    </row>
    <row r="687" spans="1:14" ht="15.75" thickBot="1">
      <c r="A687" s="26">
        <f t="shared" si="69"/>
        <v>685</v>
      </c>
      <c r="B687" s="67" t="s">
        <v>8</v>
      </c>
      <c r="C687" s="68" t="s">
        <v>555</v>
      </c>
      <c r="D687" s="68" t="s">
        <v>550</v>
      </c>
      <c r="E687" s="23">
        <f t="shared" ca="1" si="70"/>
        <v>40951</v>
      </c>
      <c r="F687" s="16">
        <f>DATE(93,10,18)</f>
        <v>34260</v>
      </c>
      <c r="G687" s="17">
        <f t="shared" ca="1" si="66"/>
        <v>19</v>
      </c>
      <c r="H687" s="17">
        <f t="shared" ca="1" si="67"/>
        <v>-8</v>
      </c>
      <c r="I687" s="18">
        <f t="shared" ca="1" si="68"/>
        <v>-6</v>
      </c>
      <c r="J687" s="19">
        <f t="shared" ca="1" si="65"/>
        <v>18</v>
      </c>
      <c r="K687" s="17" t="s">
        <v>41</v>
      </c>
      <c r="L687" s="20">
        <v>55</v>
      </c>
      <c r="M687" s="26" t="s">
        <v>44</v>
      </c>
      <c r="N687">
        <v>147</v>
      </c>
    </row>
    <row r="688" spans="1:14">
      <c r="A688" s="24">
        <f t="shared" si="69"/>
        <v>686</v>
      </c>
      <c r="B688" s="66" t="s">
        <v>8</v>
      </c>
      <c r="C688" s="66" t="s">
        <v>439</v>
      </c>
      <c r="D688" s="66" t="s">
        <v>556</v>
      </c>
      <c r="E688" s="21">
        <f t="shared" ca="1" si="70"/>
        <v>40951</v>
      </c>
      <c r="F688" s="6">
        <f>DATE(61,12,23)</f>
        <v>22638</v>
      </c>
      <c r="G688" s="7">
        <f t="shared" ca="1" si="66"/>
        <v>51</v>
      </c>
      <c r="H688" s="7">
        <f t="shared" ca="1" si="67"/>
        <v>-10</v>
      </c>
      <c r="I688" s="8">
        <f t="shared" ca="1" si="68"/>
        <v>-11</v>
      </c>
      <c r="J688" s="9">
        <f t="shared" ca="1" si="65"/>
        <v>50</v>
      </c>
      <c r="K688" s="7" t="s">
        <v>40</v>
      </c>
      <c r="L688" s="10">
        <v>55</v>
      </c>
      <c r="M688" s="24" t="s">
        <v>40</v>
      </c>
      <c r="N688">
        <v>148</v>
      </c>
    </row>
    <row r="689" spans="1:14">
      <c r="A689" s="25">
        <f t="shared" si="69"/>
        <v>687</v>
      </c>
      <c r="B689" s="67" t="s">
        <v>8</v>
      </c>
      <c r="C689" s="67" t="s">
        <v>124</v>
      </c>
      <c r="D689" s="67" t="s">
        <v>439</v>
      </c>
      <c r="E689" s="22">
        <f t="shared" ca="1" si="70"/>
        <v>40951</v>
      </c>
      <c r="F689" s="11">
        <f>DATE(64,7,27)</f>
        <v>23585</v>
      </c>
      <c r="G689" s="12">
        <f t="shared" ca="1" si="66"/>
        <v>48</v>
      </c>
      <c r="H689" s="12">
        <f t="shared" ca="1" si="67"/>
        <v>-5</v>
      </c>
      <c r="I689" s="13">
        <f t="shared" ca="1" si="68"/>
        <v>-15</v>
      </c>
      <c r="J689" s="14">
        <f t="shared" ca="1" si="65"/>
        <v>47</v>
      </c>
      <c r="K689" s="12" t="s">
        <v>41</v>
      </c>
      <c r="L689" s="15">
        <v>55</v>
      </c>
      <c r="M689" s="25" t="s">
        <v>40</v>
      </c>
      <c r="N689">
        <v>148</v>
      </c>
    </row>
    <row r="690" spans="1:14">
      <c r="A690" s="25">
        <f t="shared" si="69"/>
        <v>688</v>
      </c>
      <c r="B690" s="67" t="s">
        <v>8</v>
      </c>
      <c r="C690" s="67" t="s">
        <v>557</v>
      </c>
      <c r="D690" s="67" t="s">
        <v>439</v>
      </c>
      <c r="E690" s="22">
        <f t="shared" ca="1" si="70"/>
        <v>40951</v>
      </c>
      <c r="F690" s="11">
        <f>DATE(87,3,1)</f>
        <v>31837</v>
      </c>
      <c r="G690" s="12">
        <f t="shared" ca="1" si="66"/>
        <v>25</v>
      </c>
      <c r="H690" s="12">
        <f t="shared" ca="1" si="67"/>
        <v>-1</v>
      </c>
      <c r="I690" s="13">
        <f t="shared" ca="1" si="68"/>
        <v>11</v>
      </c>
      <c r="J690" s="14">
        <f t="shared" ca="1" si="65"/>
        <v>24</v>
      </c>
      <c r="K690" s="12" t="s">
        <v>41</v>
      </c>
      <c r="L690" s="15">
        <v>55</v>
      </c>
      <c r="M690" s="25" t="s">
        <v>44</v>
      </c>
      <c r="N690">
        <v>148</v>
      </c>
    </row>
    <row r="691" spans="1:14">
      <c r="A691" s="25">
        <f t="shared" si="69"/>
        <v>689</v>
      </c>
      <c r="B691" s="67" t="s">
        <v>8</v>
      </c>
      <c r="C691" s="67" t="s">
        <v>558</v>
      </c>
      <c r="D691" s="67" t="s">
        <v>439</v>
      </c>
      <c r="E691" s="22">
        <f t="shared" ca="1" si="70"/>
        <v>40951</v>
      </c>
      <c r="F691" s="11">
        <f>DATE(90,5,8)</f>
        <v>33001</v>
      </c>
      <c r="G691" s="12">
        <f t="shared" ca="1" si="66"/>
        <v>22</v>
      </c>
      <c r="H691" s="12">
        <f t="shared" ca="1" si="67"/>
        <v>-3</v>
      </c>
      <c r="I691" s="13">
        <f t="shared" ca="1" si="68"/>
        <v>4</v>
      </c>
      <c r="J691" s="14">
        <f t="shared" ca="1" si="65"/>
        <v>21</v>
      </c>
      <c r="K691" s="12" t="s">
        <v>41</v>
      </c>
      <c r="L691" s="15">
        <v>55</v>
      </c>
      <c r="M691" s="25" t="s">
        <v>44</v>
      </c>
      <c r="N691">
        <v>148</v>
      </c>
    </row>
    <row r="692" spans="1:14" ht="15.75" thickBot="1">
      <c r="A692" s="26">
        <f t="shared" si="69"/>
        <v>690</v>
      </c>
      <c r="B692" s="67" t="s">
        <v>8</v>
      </c>
      <c r="C692" s="68" t="s">
        <v>559</v>
      </c>
      <c r="D692" s="68" t="s">
        <v>439</v>
      </c>
      <c r="E692" s="23">
        <f t="shared" ca="1" si="70"/>
        <v>40951</v>
      </c>
      <c r="F692" s="16">
        <f>DATE(94,3,28)</f>
        <v>34421</v>
      </c>
      <c r="G692" s="17">
        <f t="shared" ca="1" si="66"/>
        <v>18</v>
      </c>
      <c r="H692" s="17">
        <f t="shared" ca="1" si="67"/>
        <v>-1</v>
      </c>
      <c r="I692" s="18">
        <f t="shared" ca="1" si="68"/>
        <v>-16</v>
      </c>
      <c r="J692" s="19">
        <f t="shared" ca="1" si="65"/>
        <v>17</v>
      </c>
      <c r="K692" s="17" t="s">
        <v>40</v>
      </c>
      <c r="L692" s="20">
        <v>55</v>
      </c>
      <c r="M692" s="26" t="s">
        <v>44</v>
      </c>
      <c r="N692">
        <v>148</v>
      </c>
    </row>
    <row r="693" spans="1:14">
      <c r="A693" s="25">
        <f t="shared" si="69"/>
        <v>691</v>
      </c>
      <c r="B693" s="67" t="s">
        <v>8</v>
      </c>
      <c r="C693" s="67" t="s">
        <v>560</v>
      </c>
      <c r="D693" s="67" t="s">
        <v>561</v>
      </c>
      <c r="E693" s="22">
        <f t="shared" ca="1" si="70"/>
        <v>40951</v>
      </c>
      <c r="F693" s="11">
        <f>DATE(52,8,19)</f>
        <v>19225</v>
      </c>
      <c r="G693" s="12">
        <f t="shared" ca="1" si="66"/>
        <v>60</v>
      </c>
      <c r="H693" s="12">
        <f t="shared" ca="1" si="67"/>
        <v>-6</v>
      </c>
      <c r="I693" s="13">
        <f t="shared" ca="1" si="68"/>
        <v>-7</v>
      </c>
      <c r="J693" s="14">
        <f t="shared" ca="1" si="65"/>
        <v>59</v>
      </c>
      <c r="K693" s="12" t="s">
        <v>40</v>
      </c>
      <c r="L693" s="15">
        <v>55</v>
      </c>
      <c r="M693" s="25" t="s">
        <v>40</v>
      </c>
      <c r="N693">
        <v>149</v>
      </c>
    </row>
    <row r="694" spans="1:14">
      <c r="A694" s="25">
        <f t="shared" si="69"/>
        <v>692</v>
      </c>
      <c r="B694" s="67" t="s">
        <v>8</v>
      </c>
      <c r="C694" s="67" t="s">
        <v>81</v>
      </c>
      <c r="D694" s="67" t="s">
        <v>560</v>
      </c>
      <c r="E694" s="22">
        <f t="shared" ca="1" si="70"/>
        <v>40951</v>
      </c>
      <c r="F694" s="11">
        <f>DATE(59,11,26)</f>
        <v>21880</v>
      </c>
      <c r="G694" s="12">
        <f t="shared" ca="1" si="66"/>
        <v>53</v>
      </c>
      <c r="H694" s="12">
        <f t="shared" ca="1" si="67"/>
        <v>-9</v>
      </c>
      <c r="I694" s="13">
        <f t="shared" ca="1" si="68"/>
        <v>-14</v>
      </c>
      <c r="J694" s="14">
        <f t="shared" ca="1" si="65"/>
        <v>52</v>
      </c>
      <c r="K694" s="12" t="s">
        <v>41</v>
      </c>
      <c r="L694" s="15">
        <v>55</v>
      </c>
      <c r="M694" s="25" t="s">
        <v>40</v>
      </c>
      <c r="N694">
        <v>149</v>
      </c>
    </row>
    <row r="695" spans="1:14">
      <c r="A695" s="25">
        <f t="shared" si="69"/>
        <v>693</v>
      </c>
      <c r="B695" s="67" t="s">
        <v>8</v>
      </c>
      <c r="C695" s="67" t="s">
        <v>562</v>
      </c>
      <c r="D695" s="67" t="s">
        <v>560</v>
      </c>
      <c r="E695" s="22">
        <f t="shared" ca="1" si="70"/>
        <v>40951</v>
      </c>
      <c r="F695" s="11">
        <f>DATE(88,2,1)</f>
        <v>32174</v>
      </c>
      <c r="G695" s="12">
        <f t="shared" ca="1" si="66"/>
        <v>24</v>
      </c>
      <c r="H695" s="12">
        <f t="shared" ca="1" si="67"/>
        <v>0</v>
      </c>
      <c r="I695" s="13">
        <f t="shared" ca="1" si="68"/>
        <v>11</v>
      </c>
      <c r="J695" s="14">
        <f t="shared" ca="1" si="65"/>
        <v>24</v>
      </c>
      <c r="K695" s="12" t="s">
        <v>40</v>
      </c>
      <c r="L695" s="15">
        <v>55</v>
      </c>
      <c r="M695" s="25" t="s">
        <v>44</v>
      </c>
      <c r="N695">
        <v>149</v>
      </c>
    </row>
    <row r="696" spans="1:14" ht="15.75" thickBot="1">
      <c r="A696" s="26">
        <f t="shared" si="69"/>
        <v>694</v>
      </c>
      <c r="B696" s="67" t="s">
        <v>8</v>
      </c>
      <c r="C696" s="68" t="s">
        <v>563</v>
      </c>
      <c r="D696" s="68" t="s">
        <v>561</v>
      </c>
      <c r="E696" s="23">
        <f t="shared" ca="1" si="70"/>
        <v>40951</v>
      </c>
      <c r="F696" s="33"/>
      <c r="G696" s="17">
        <f t="shared" ca="1" si="66"/>
        <v>112</v>
      </c>
      <c r="H696" s="17">
        <f t="shared" ca="1" si="67"/>
        <v>1</v>
      </c>
      <c r="I696" s="18">
        <f t="shared" ca="1" si="68"/>
        <v>12</v>
      </c>
      <c r="J696" s="19">
        <f t="shared" ca="1" si="65"/>
        <v>112</v>
      </c>
      <c r="K696" s="17" t="s">
        <v>41</v>
      </c>
      <c r="L696" s="20">
        <v>55</v>
      </c>
      <c r="M696" s="26" t="s">
        <v>40</v>
      </c>
      <c r="N696">
        <v>149</v>
      </c>
    </row>
    <row r="697" spans="1:14">
      <c r="A697" s="24">
        <f t="shared" si="69"/>
        <v>695</v>
      </c>
      <c r="B697" s="66" t="s">
        <v>8</v>
      </c>
      <c r="C697" s="66" t="s">
        <v>444</v>
      </c>
      <c r="D697" s="66" t="s">
        <v>564</v>
      </c>
      <c r="E697" s="21">
        <f t="shared" ca="1" si="70"/>
        <v>40951</v>
      </c>
      <c r="F697" s="6">
        <f>DATE(73,11,27)</f>
        <v>26995</v>
      </c>
      <c r="G697" s="7">
        <f t="shared" ca="1" si="66"/>
        <v>39</v>
      </c>
      <c r="H697" s="7">
        <f t="shared" ca="1" si="67"/>
        <v>-9</v>
      </c>
      <c r="I697" s="8">
        <f t="shared" ca="1" si="68"/>
        <v>-15</v>
      </c>
      <c r="J697" s="9">
        <f t="shared" ca="1" si="65"/>
        <v>38</v>
      </c>
      <c r="K697" s="7" t="s">
        <v>40</v>
      </c>
      <c r="L697" s="10">
        <v>56</v>
      </c>
      <c r="M697" s="24" t="s">
        <v>40</v>
      </c>
      <c r="N697">
        <v>150</v>
      </c>
    </row>
    <row r="698" spans="1:14">
      <c r="A698" s="25">
        <f t="shared" si="69"/>
        <v>696</v>
      </c>
      <c r="B698" s="67" t="s">
        <v>8</v>
      </c>
      <c r="C698" s="67" t="s">
        <v>565</v>
      </c>
      <c r="D698" s="67" t="s">
        <v>444</v>
      </c>
      <c r="E698" s="22">
        <f t="shared" ca="1" si="70"/>
        <v>40951</v>
      </c>
      <c r="F698" s="11">
        <f>DATE(79,9,8)</f>
        <v>29106</v>
      </c>
      <c r="G698" s="12">
        <f t="shared" ca="1" si="66"/>
        <v>33</v>
      </c>
      <c r="H698" s="12">
        <f t="shared" ca="1" si="67"/>
        <v>-7</v>
      </c>
      <c r="I698" s="13">
        <f t="shared" ca="1" si="68"/>
        <v>4</v>
      </c>
      <c r="J698" s="14">
        <f t="shared" ca="1" si="65"/>
        <v>32</v>
      </c>
      <c r="K698" s="12" t="s">
        <v>41</v>
      </c>
      <c r="L698" s="15">
        <v>56</v>
      </c>
      <c r="M698" s="25" t="s">
        <v>40</v>
      </c>
      <c r="N698">
        <v>150</v>
      </c>
    </row>
    <row r="699" spans="1:14">
      <c r="A699" s="25">
        <f t="shared" si="69"/>
        <v>697</v>
      </c>
      <c r="B699" s="67" t="s">
        <v>8</v>
      </c>
      <c r="C699" s="67" t="s">
        <v>566</v>
      </c>
      <c r="D699" s="67" t="s">
        <v>444</v>
      </c>
      <c r="E699" s="22">
        <f t="shared" ca="1" si="70"/>
        <v>40951</v>
      </c>
      <c r="F699" s="11">
        <f>DATE(2000,11,13)</f>
        <v>36843</v>
      </c>
      <c r="G699" s="12">
        <f t="shared" ca="1" si="66"/>
        <v>12</v>
      </c>
      <c r="H699" s="12">
        <f t="shared" ca="1" si="67"/>
        <v>-9</v>
      </c>
      <c r="I699" s="13">
        <f t="shared" ca="1" si="68"/>
        <v>-1</v>
      </c>
      <c r="J699" s="14">
        <f t="shared" ca="1" si="65"/>
        <v>11</v>
      </c>
      <c r="K699" s="12" t="s">
        <v>40</v>
      </c>
      <c r="L699" s="15">
        <v>56</v>
      </c>
      <c r="M699" s="25" t="s">
        <v>44</v>
      </c>
      <c r="N699">
        <v>150</v>
      </c>
    </row>
    <row r="700" spans="1:14" ht="15.75" thickBot="1">
      <c r="A700" s="26">
        <f t="shared" si="69"/>
        <v>698</v>
      </c>
      <c r="B700" s="67" t="s">
        <v>8</v>
      </c>
      <c r="C700" s="68" t="s">
        <v>567</v>
      </c>
      <c r="D700" s="68" t="s">
        <v>444</v>
      </c>
      <c r="E700" s="23">
        <f t="shared" ca="1" si="70"/>
        <v>40951</v>
      </c>
      <c r="F700" s="16">
        <f>DATE(2004,10,14)</f>
        <v>38274</v>
      </c>
      <c r="G700" s="17">
        <f t="shared" ca="1" si="66"/>
        <v>8</v>
      </c>
      <c r="H700" s="17">
        <f t="shared" ca="1" si="67"/>
        <v>-8</v>
      </c>
      <c r="I700" s="18">
        <f t="shared" ca="1" si="68"/>
        <v>-2</v>
      </c>
      <c r="J700" s="19">
        <f t="shared" ca="1" si="65"/>
        <v>7</v>
      </c>
      <c r="K700" s="17" t="s">
        <v>41</v>
      </c>
      <c r="L700" s="20">
        <v>56</v>
      </c>
      <c r="M700" s="26" t="s">
        <v>44</v>
      </c>
      <c r="N700">
        <v>150</v>
      </c>
    </row>
    <row r="701" spans="1:14">
      <c r="A701" s="24">
        <f t="shared" si="69"/>
        <v>699</v>
      </c>
      <c r="B701" s="66" t="s">
        <v>8</v>
      </c>
      <c r="C701" s="66" t="s">
        <v>568</v>
      </c>
      <c r="D701" s="66" t="s">
        <v>358</v>
      </c>
      <c r="E701" s="21">
        <f t="shared" ca="1" si="70"/>
        <v>40951</v>
      </c>
      <c r="F701" s="6">
        <f>DATE(57,4,22)</f>
        <v>20932</v>
      </c>
      <c r="G701" s="7">
        <f t="shared" ca="1" si="66"/>
        <v>55</v>
      </c>
      <c r="H701" s="7">
        <f t="shared" ca="1" si="67"/>
        <v>-2</v>
      </c>
      <c r="I701" s="8">
        <f t="shared" ca="1" si="68"/>
        <v>-10</v>
      </c>
      <c r="J701" s="9">
        <f t="shared" ca="1" si="65"/>
        <v>54</v>
      </c>
      <c r="K701" s="7" t="s">
        <v>40</v>
      </c>
      <c r="L701" s="10">
        <v>56</v>
      </c>
      <c r="M701" s="24" t="s">
        <v>40</v>
      </c>
      <c r="N701">
        <v>151</v>
      </c>
    </row>
    <row r="702" spans="1:14">
      <c r="A702" s="25">
        <f t="shared" si="69"/>
        <v>700</v>
      </c>
      <c r="B702" s="67" t="s">
        <v>8</v>
      </c>
      <c r="C702" s="67" t="s">
        <v>62</v>
      </c>
      <c r="D702" s="67" t="s">
        <v>568</v>
      </c>
      <c r="E702" s="22">
        <f t="shared" ca="1" si="70"/>
        <v>40951</v>
      </c>
      <c r="F702" s="11">
        <f>DATE(66,6,22)</f>
        <v>24280</v>
      </c>
      <c r="G702" s="12">
        <f t="shared" ca="1" si="66"/>
        <v>46</v>
      </c>
      <c r="H702" s="12">
        <f t="shared" ca="1" si="67"/>
        <v>-4</v>
      </c>
      <c r="I702" s="13">
        <f t="shared" ca="1" si="68"/>
        <v>-10</v>
      </c>
      <c r="J702" s="14">
        <f t="shared" ca="1" si="65"/>
        <v>45</v>
      </c>
      <c r="K702" s="12" t="s">
        <v>41</v>
      </c>
      <c r="L702" s="15">
        <v>56</v>
      </c>
      <c r="M702" s="25" t="s">
        <v>40</v>
      </c>
      <c r="N702">
        <v>151</v>
      </c>
    </row>
    <row r="703" spans="1:14">
      <c r="A703" s="25">
        <f t="shared" si="69"/>
        <v>701</v>
      </c>
      <c r="B703" s="67" t="s">
        <v>8</v>
      </c>
      <c r="C703" s="67" t="s">
        <v>569</v>
      </c>
      <c r="D703" s="67" t="s">
        <v>568</v>
      </c>
      <c r="E703" s="22">
        <f t="shared" ca="1" si="70"/>
        <v>40951</v>
      </c>
      <c r="F703" s="11">
        <f>DATE(86,3,7)</f>
        <v>31478</v>
      </c>
      <c r="G703" s="12">
        <f t="shared" ca="1" si="66"/>
        <v>26</v>
      </c>
      <c r="H703" s="12">
        <f t="shared" ca="1" si="67"/>
        <v>-1</v>
      </c>
      <c r="I703" s="13">
        <f t="shared" ca="1" si="68"/>
        <v>5</v>
      </c>
      <c r="J703" s="14">
        <f t="shared" ca="1" si="65"/>
        <v>25</v>
      </c>
      <c r="K703" s="12" t="s">
        <v>40</v>
      </c>
      <c r="L703" s="15">
        <v>56</v>
      </c>
      <c r="M703" s="25" t="s">
        <v>44</v>
      </c>
      <c r="N703">
        <v>151</v>
      </c>
    </row>
    <row r="704" spans="1:14" ht="15.75" thickBot="1">
      <c r="A704" s="26">
        <f t="shared" si="69"/>
        <v>702</v>
      </c>
      <c r="B704" s="67" t="s">
        <v>8</v>
      </c>
      <c r="C704" s="68" t="s">
        <v>376</v>
      </c>
      <c r="D704" s="68" t="s">
        <v>568</v>
      </c>
      <c r="E704" s="23">
        <f t="shared" ca="1" si="70"/>
        <v>40951</v>
      </c>
      <c r="F704" s="16">
        <f>DATE(89,5,31)</f>
        <v>32659</v>
      </c>
      <c r="G704" s="17">
        <f t="shared" ca="1" si="66"/>
        <v>23</v>
      </c>
      <c r="H704" s="17">
        <f t="shared" ca="1" si="67"/>
        <v>-3</v>
      </c>
      <c r="I704" s="18">
        <f t="shared" ca="1" si="68"/>
        <v>-19</v>
      </c>
      <c r="J704" s="19">
        <f t="shared" ca="1" si="65"/>
        <v>22</v>
      </c>
      <c r="K704" s="17" t="s">
        <v>40</v>
      </c>
      <c r="L704" s="20">
        <v>56</v>
      </c>
      <c r="M704" s="26" t="s">
        <v>44</v>
      </c>
      <c r="N704">
        <v>151</v>
      </c>
    </row>
    <row r="705" spans="1:14">
      <c r="A705" s="25">
        <f t="shared" si="69"/>
        <v>703</v>
      </c>
      <c r="B705" s="67" t="s">
        <v>8</v>
      </c>
      <c r="C705" s="67" t="s">
        <v>341</v>
      </c>
      <c r="D705" s="67" t="s">
        <v>77</v>
      </c>
      <c r="E705" s="22">
        <f t="shared" ca="1" si="70"/>
        <v>40951</v>
      </c>
      <c r="F705" s="11">
        <f>DATE(63,9,1)</f>
        <v>23255</v>
      </c>
      <c r="G705" s="12">
        <f t="shared" ca="1" si="66"/>
        <v>49</v>
      </c>
      <c r="H705" s="12">
        <f t="shared" ca="1" si="67"/>
        <v>-7</v>
      </c>
      <c r="I705" s="13">
        <f t="shared" ca="1" si="68"/>
        <v>11</v>
      </c>
      <c r="J705" s="14">
        <f t="shared" ca="1" si="65"/>
        <v>48</v>
      </c>
      <c r="K705" s="12" t="s">
        <v>40</v>
      </c>
      <c r="L705" s="15">
        <v>56</v>
      </c>
      <c r="M705" s="25" t="s">
        <v>40</v>
      </c>
      <c r="N705">
        <v>152</v>
      </c>
    </row>
    <row r="706" spans="1:14">
      <c r="A706" s="25">
        <f t="shared" si="69"/>
        <v>704</v>
      </c>
      <c r="B706" s="67" t="s">
        <v>8</v>
      </c>
      <c r="C706" s="67" t="s">
        <v>570</v>
      </c>
      <c r="D706" s="67" t="s">
        <v>341</v>
      </c>
      <c r="E706" s="22">
        <f t="shared" ca="1" si="70"/>
        <v>40951</v>
      </c>
      <c r="F706" s="11">
        <f>DATE(65,10,18)</f>
        <v>24033</v>
      </c>
      <c r="G706" s="12">
        <f t="shared" ca="1" si="66"/>
        <v>47</v>
      </c>
      <c r="H706" s="12">
        <f t="shared" ca="1" si="67"/>
        <v>-8</v>
      </c>
      <c r="I706" s="13">
        <f t="shared" ca="1" si="68"/>
        <v>-6</v>
      </c>
      <c r="J706" s="14">
        <f t="shared" ca="1" si="65"/>
        <v>46</v>
      </c>
      <c r="K706" s="12" t="s">
        <v>41</v>
      </c>
      <c r="L706" s="15">
        <v>56</v>
      </c>
      <c r="M706" s="25" t="s">
        <v>40</v>
      </c>
      <c r="N706">
        <v>152</v>
      </c>
    </row>
    <row r="707" spans="1:14">
      <c r="A707" s="25">
        <f t="shared" si="69"/>
        <v>705</v>
      </c>
      <c r="B707" s="67" t="s">
        <v>8</v>
      </c>
      <c r="C707" s="67" t="s">
        <v>474</v>
      </c>
      <c r="D707" s="67" t="s">
        <v>341</v>
      </c>
      <c r="E707" s="22">
        <f t="shared" ca="1" si="70"/>
        <v>40951</v>
      </c>
      <c r="F707" s="11">
        <f>DATE(81,4,6)</f>
        <v>29682</v>
      </c>
      <c r="G707" s="12">
        <f t="shared" ca="1" si="66"/>
        <v>31</v>
      </c>
      <c r="H707" s="12">
        <f t="shared" ca="1" si="67"/>
        <v>-2</v>
      </c>
      <c r="I707" s="13">
        <f t="shared" ca="1" si="68"/>
        <v>6</v>
      </c>
      <c r="J707" s="14">
        <f t="shared" ref="J707:J770" ca="1" si="71">IF(H707&lt;0,G707-1,IF(H707&gt;0,G707,IF(I707&lt;0,G707-1,G707)))</f>
        <v>30</v>
      </c>
      <c r="K707" s="12" t="s">
        <v>41</v>
      </c>
      <c r="L707" s="15">
        <v>56</v>
      </c>
      <c r="M707" s="25" t="s">
        <v>44</v>
      </c>
      <c r="N707">
        <v>152</v>
      </c>
    </row>
    <row r="708" spans="1:14" ht="15.75" thickBot="1">
      <c r="A708" s="26">
        <f t="shared" si="69"/>
        <v>706</v>
      </c>
      <c r="B708" s="67" t="s">
        <v>8</v>
      </c>
      <c r="C708" s="68" t="s">
        <v>571</v>
      </c>
      <c r="D708" s="68" t="s">
        <v>341</v>
      </c>
      <c r="E708" s="23">
        <f t="shared" ca="1" si="70"/>
        <v>40951</v>
      </c>
      <c r="F708" s="16">
        <f>DATE(84,10,8)</f>
        <v>30963</v>
      </c>
      <c r="G708" s="17">
        <f t="shared" ca="1" si="66"/>
        <v>28</v>
      </c>
      <c r="H708" s="17">
        <f t="shared" ca="1" si="67"/>
        <v>-8</v>
      </c>
      <c r="I708" s="18">
        <f t="shared" ca="1" si="68"/>
        <v>4</v>
      </c>
      <c r="J708" s="19">
        <f t="shared" ca="1" si="71"/>
        <v>27</v>
      </c>
      <c r="K708" s="17" t="s">
        <v>40</v>
      </c>
      <c r="L708" s="20">
        <v>56</v>
      </c>
      <c r="M708" s="26" t="s">
        <v>44</v>
      </c>
      <c r="N708">
        <v>152</v>
      </c>
    </row>
    <row r="709" spans="1:14">
      <c r="A709" s="25">
        <f t="shared" si="69"/>
        <v>707</v>
      </c>
      <c r="B709" s="67" t="s">
        <v>8</v>
      </c>
      <c r="C709" s="67" t="s">
        <v>572</v>
      </c>
      <c r="D709" s="67" t="s">
        <v>573</v>
      </c>
      <c r="E709" s="22">
        <f t="shared" ca="1" si="70"/>
        <v>40951</v>
      </c>
      <c r="F709" s="11">
        <f>DATE(34,4,29)</f>
        <v>12538</v>
      </c>
      <c r="G709" s="12">
        <f t="shared" ca="1" si="66"/>
        <v>78</v>
      </c>
      <c r="H709" s="12">
        <f t="shared" ca="1" si="67"/>
        <v>-2</v>
      </c>
      <c r="I709" s="13">
        <f t="shared" ca="1" si="68"/>
        <v>-17</v>
      </c>
      <c r="J709" s="14">
        <f t="shared" ca="1" si="71"/>
        <v>77</v>
      </c>
      <c r="K709" s="12" t="s">
        <v>40</v>
      </c>
      <c r="L709" s="15">
        <v>57</v>
      </c>
      <c r="M709" s="25" t="s">
        <v>40</v>
      </c>
      <c r="N709">
        <v>153</v>
      </c>
    </row>
    <row r="710" spans="1:14">
      <c r="A710" s="25">
        <f t="shared" si="69"/>
        <v>708</v>
      </c>
      <c r="B710" s="67" t="s">
        <v>8</v>
      </c>
      <c r="C710" s="67" t="s">
        <v>138</v>
      </c>
      <c r="D710" s="67" t="s">
        <v>572</v>
      </c>
      <c r="E710" s="22">
        <f t="shared" ca="1" si="70"/>
        <v>40951</v>
      </c>
      <c r="F710" s="11">
        <f>DATE(57,12,8)</f>
        <v>21162</v>
      </c>
      <c r="G710" s="12">
        <f t="shared" ca="1" si="66"/>
        <v>55</v>
      </c>
      <c r="H710" s="12">
        <f t="shared" ca="1" si="67"/>
        <v>-10</v>
      </c>
      <c r="I710" s="13">
        <f t="shared" ca="1" si="68"/>
        <v>4</v>
      </c>
      <c r="J710" s="14">
        <f t="shared" ca="1" si="71"/>
        <v>54</v>
      </c>
      <c r="K710" s="12" t="s">
        <v>40</v>
      </c>
      <c r="L710" s="15">
        <v>57</v>
      </c>
      <c r="M710" s="25" t="s">
        <v>40</v>
      </c>
      <c r="N710">
        <v>153</v>
      </c>
    </row>
    <row r="711" spans="1:14">
      <c r="A711" s="25">
        <f t="shared" si="69"/>
        <v>709</v>
      </c>
      <c r="B711" s="67" t="s">
        <v>8</v>
      </c>
      <c r="C711" s="67" t="s">
        <v>574</v>
      </c>
      <c r="D711" s="67" t="s">
        <v>138</v>
      </c>
      <c r="E711" s="22">
        <f t="shared" ca="1" si="70"/>
        <v>40951</v>
      </c>
      <c r="F711" s="11">
        <f>DATE(61,11,4)</f>
        <v>22589</v>
      </c>
      <c r="G711" s="12">
        <f t="shared" ca="1" si="66"/>
        <v>51</v>
      </c>
      <c r="H711" s="12">
        <f t="shared" ca="1" si="67"/>
        <v>-9</v>
      </c>
      <c r="I711" s="13">
        <f t="shared" ca="1" si="68"/>
        <v>8</v>
      </c>
      <c r="J711" s="14">
        <f t="shared" ca="1" si="71"/>
        <v>50</v>
      </c>
      <c r="K711" s="12" t="s">
        <v>41</v>
      </c>
      <c r="L711" s="15">
        <v>57</v>
      </c>
      <c r="M711" s="25" t="s">
        <v>40</v>
      </c>
      <c r="N711">
        <v>153</v>
      </c>
    </row>
    <row r="712" spans="1:14">
      <c r="A712" s="25">
        <f t="shared" si="69"/>
        <v>710</v>
      </c>
      <c r="B712" s="67" t="s">
        <v>8</v>
      </c>
      <c r="C712" s="67" t="s">
        <v>305</v>
      </c>
      <c r="D712" s="67" t="s">
        <v>138</v>
      </c>
      <c r="E712" s="22">
        <f t="shared" ca="1" si="70"/>
        <v>40951</v>
      </c>
      <c r="F712" s="11">
        <f>DATE(84,7,25)</f>
        <v>30888</v>
      </c>
      <c r="G712" s="12">
        <f t="shared" ca="1" si="66"/>
        <v>28</v>
      </c>
      <c r="H712" s="12">
        <f t="shared" ca="1" si="67"/>
        <v>-5</v>
      </c>
      <c r="I712" s="13">
        <f t="shared" ca="1" si="68"/>
        <v>-13</v>
      </c>
      <c r="J712" s="14">
        <f t="shared" ca="1" si="71"/>
        <v>27</v>
      </c>
      <c r="K712" s="12" t="s">
        <v>40</v>
      </c>
      <c r="L712" s="15">
        <v>57</v>
      </c>
      <c r="M712" s="25" t="s">
        <v>44</v>
      </c>
      <c r="N712">
        <v>153</v>
      </c>
    </row>
    <row r="713" spans="1:14">
      <c r="A713" s="25">
        <f t="shared" si="69"/>
        <v>711</v>
      </c>
      <c r="B713" s="67" t="s">
        <v>8</v>
      </c>
      <c r="C713" s="67" t="s">
        <v>376</v>
      </c>
      <c r="D713" s="67" t="s">
        <v>138</v>
      </c>
      <c r="E713" s="22">
        <f t="shared" ca="1" si="70"/>
        <v>40951</v>
      </c>
      <c r="F713" s="11">
        <f>DATE(90,9,13)</f>
        <v>33129</v>
      </c>
      <c r="G713" s="12">
        <f t="shared" ca="1" si="66"/>
        <v>22</v>
      </c>
      <c r="H713" s="12">
        <f t="shared" ca="1" si="67"/>
        <v>-7</v>
      </c>
      <c r="I713" s="13">
        <f t="shared" ca="1" si="68"/>
        <v>-1</v>
      </c>
      <c r="J713" s="14">
        <f t="shared" ca="1" si="71"/>
        <v>21</v>
      </c>
      <c r="K713" s="12" t="s">
        <v>40</v>
      </c>
      <c r="L713" s="15">
        <v>57</v>
      </c>
      <c r="M713" s="25" t="s">
        <v>44</v>
      </c>
      <c r="N713">
        <v>153</v>
      </c>
    </row>
    <row r="714" spans="1:14">
      <c r="A714" s="25">
        <f t="shared" si="69"/>
        <v>712</v>
      </c>
      <c r="B714" s="67" t="s">
        <v>8</v>
      </c>
      <c r="C714" s="67" t="s">
        <v>396</v>
      </c>
      <c r="D714" s="67" t="s">
        <v>572</v>
      </c>
      <c r="E714" s="22">
        <f t="shared" ca="1" si="70"/>
        <v>40951</v>
      </c>
      <c r="F714" s="11">
        <f>DATE(64,10,6)</f>
        <v>23656</v>
      </c>
      <c r="G714" s="12">
        <f t="shared" ca="1" si="66"/>
        <v>48</v>
      </c>
      <c r="H714" s="12">
        <f t="shared" ca="1" si="67"/>
        <v>-8</v>
      </c>
      <c r="I714" s="13">
        <f t="shared" ca="1" si="68"/>
        <v>6</v>
      </c>
      <c r="J714" s="14">
        <f t="shared" ca="1" si="71"/>
        <v>47</v>
      </c>
      <c r="K714" s="12" t="s">
        <v>40</v>
      </c>
      <c r="L714" s="15">
        <v>57</v>
      </c>
      <c r="M714" s="25" t="s">
        <v>40</v>
      </c>
      <c r="N714">
        <v>153</v>
      </c>
    </row>
    <row r="715" spans="1:14">
      <c r="A715" s="25">
        <f t="shared" si="69"/>
        <v>713</v>
      </c>
      <c r="B715" s="67" t="s">
        <v>8</v>
      </c>
      <c r="C715" s="67" t="s">
        <v>216</v>
      </c>
      <c r="D715" s="67" t="s">
        <v>396</v>
      </c>
      <c r="E715" s="22">
        <f t="shared" ca="1" si="70"/>
        <v>40951</v>
      </c>
      <c r="F715" s="11">
        <f>DATE(69,7,3)</f>
        <v>25387</v>
      </c>
      <c r="G715" s="12">
        <f t="shared" ca="1" si="66"/>
        <v>43</v>
      </c>
      <c r="H715" s="12">
        <f t="shared" ca="1" si="67"/>
        <v>-5</v>
      </c>
      <c r="I715" s="13">
        <f t="shared" ca="1" si="68"/>
        <v>9</v>
      </c>
      <c r="J715" s="14">
        <f t="shared" ca="1" si="71"/>
        <v>42</v>
      </c>
      <c r="K715" s="12" t="s">
        <v>41</v>
      </c>
      <c r="L715" s="15">
        <v>57</v>
      </c>
      <c r="M715" s="25" t="s">
        <v>40</v>
      </c>
      <c r="N715">
        <v>153</v>
      </c>
    </row>
    <row r="716" spans="1:14">
      <c r="A716" s="25">
        <f t="shared" si="69"/>
        <v>714</v>
      </c>
      <c r="B716" s="67" t="s">
        <v>8</v>
      </c>
      <c r="C716" s="67" t="s">
        <v>211</v>
      </c>
      <c r="D716" s="67" t="s">
        <v>396</v>
      </c>
      <c r="E716" s="22">
        <f t="shared" ca="1" si="70"/>
        <v>40951</v>
      </c>
      <c r="F716" s="11">
        <f>DATE(96,9,2)</f>
        <v>35310</v>
      </c>
      <c r="G716" s="12">
        <f t="shared" ca="1" si="66"/>
        <v>16</v>
      </c>
      <c r="H716" s="12">
        <f t="shared" ca="1" si="67"/>
        <v>-7</v>
      </c>
      <c r="I716" s="13">
        <f t="shared" ca="1" si="68"/>
        <v>10</v>
      </c>
      <c r="J716" s="14">
        <f t="shared" ca="1" si="71"/>
        <v>15</v>
      </c>
      <c r="K716" s="12" t="s">
        <v>41</v>
      </c>
      <c r="L716" s="15">
        <v>57</v>
      </c>
      <c r="M716" s="25" t="s">
        <v>44</v>
      </c>
      <c r="N716">
        <v>153</v>
      </c>
    </row>
    <row r="717" spans="1:14" ht="15.75" thickBot="1">
      <c r="A717" s="26">
        <f t="shared" si="69"/>
        <v>715</v>
      </c>
      <c r="B717" s="67" t="s">
        <v>8</v>
      </c>
      <c r="C717" s="68" t="s">
        <v>575</v>
      </c>
      <c r="D717" s="68" t="s">
        <v>396</v>
      </c>
      <c r="E717" s="23">
        <f t="shared" ca="1" si="70"/>
        <v>40951</v>
      </c>
      <c r="F717" s="16">
        <f>DATE(2000,3,2)</f>
        <v>36587</v>
      </c>
      <c r="G717" s="17">
        <f t="shared" ca="1" si="66"/>
        <v>12</v>
      </c>
      <c r="H717" s="17">
        <f t="shared" ca="1" si="67"/>
        <v>-1</v>
      </c>
      <c r="I717" s="18">
        <f t="shared" ca="1" si="68"/>
        <v>10</v>
      </c>
      <c r="J717" s="19">
        <f t="shared" ca="1" si="71"/>
        <v>11</v>
      </c>
      <c r="K717" s="17" t="s">
        <v>41</v>
      </c>
      <c r="L717" s="20">
        <v>57</v>
      </c>
      <c r="M717" s="26" t="s">
        <v>44</v>
      </c>
      <c r="N717">
        <v>153</v>
      </c>
    </row>
    <row r="718" spans="1:14" ht="15.75" thickBot="1">
      <c r="A718" s="26">
        <f t="shared" si="69"/>
        <v>716</v>
      </c>
      <c r="B718" s="68" t="s">
        <v>8</v>
      </c>
      <c r="C718" s="68" t="s">
        <v>576</v>
      </c>
      <c r="D718" s="68" t="s">
        <v>522</v>
      </c>
      <c r="E718" s="23">
        <f t="shared" ca="1" si="70"/>
        <v>40951</v>
      </c>
      <c r="F718" s="33"/>
      <c r="G718" s="17">
        <f t="shared" ca="1" si="66"/>
        <v>112</v>
      </c>
      <c r="H718" s="17">
        <f t="shared" ca="1" si="67"/>
        <v>1</v>
      </c>
      <c r="I718" s="18">
        <f t="shared" ca="1" si="68"/>
        <v>12</v>
      </c>
      <c r="J718" s="19">
        <f t="shared" ca="1" si="71"/>
        <v>112</v>
      </c>
      <c r="K718" s="17" t="s">
        <v>41</v>
      </c>
      <c r="L718" s="20">
        <v>57</v>
      </c>
      <c r="M718" s="26" t="s">
        <v>40</v>
      </c>
      <c r="N718">
        <v>154</v>
      </c>
    </row>
    <row r="719" spans="1:14">
      <c r="A719" s="24">
        <f t="shared" si="69"/>
        <v>717</v>
      </c>
      <c r="B719" s="66" t="s">
        <v>8</v>
      </c>
      <c r="C719" s="66" t="s">
        <v>577</v>
      </c>
      <c r="D719" s="66" t="s">
        <v>134</v>
      </c>
      <c r="E719" s="21">
        <f t="shared" ca="1" si="70"/>
        <v>40951</v>
      </c>
      <c r="F719" s="6">
        <f>DATE(43,1,31)</f>
        <v>15737</v>
      </c>
      <c r="G719" s="7">
        <f t="shared" ca="1" si="66"/>
        <v>69</v>
      </c>
      <c r="H719" s="7">
        <f t="shared" ca="1" si="67"/>
        <v>1</v>
      </c>
      <c r="I719" s="8">
        <f t="shared" ca="1" si="68"/>
        <v>-19</v>
      </c>
      <c r="J719" s="9">
        <f t="shared" ca="1" si="71"/>
        <v>69</v>
      </c>
      <c r="K719" s="7" t="s">
        <v>40</v>
      </c>
      <c r="L719" s="10">
        <v>58</v>
      </c>
      <c r="M719" s="24" t="s">
        <v>40</v>
      </c>
      <c r="N719">
        <v>155</v>
      </c>
    </row>
    <row r="720" spans="1:14">
      <c r="A720" s="25">
        <f t="shared" si="69"/>
        <v>718</v>
      </c>
      <c r="B720" s="67" t="s">
        <v>8</v>
      </c>
      <c r="C720" s="67" t="s">
        <v>578</v>
      </c>
      <c r="D720" s="67" t="s">
        <v>577</v>
      </c>
      <c r="E720" s="22">
        <f t="shared" ca="1" si="70"/>
        <v>40951</v>
      </c>
      <c r="F720" s="11">
        <f>DATE(52,4,6)</f>
        <v>19090</v>
      </c>
      <c r="G720" s="12">
        <f t="shared" ca="1" si="66"/>
        <v>60</v>
      </c>
      <c r="H720" s="12">
        <f t="shared" ca="1" si="67"/>
        <v>-2</v>
      </c>
      <c r="I720" s="13">
        <f t="shared" ca="1" si="68"/>
        <v>6</v>
      </c>
      <c r="J720" s="14">
        <f t="shared" ca="1" si="71"/>
        <v>59</v>
      </c>
      <c r="K720" s="12" t="s">
        <v>41</v>
      </c>
      <c r="L720" s="15">
        <v>58</v>
      </c>
      <c r="M720" s="25" t="s">
        <v>40</v>
      </c>
      <c r="N720">
        <v>155</v>
      </c>
    </row>
    <row r="721" spans="1:14">
      <c r="A721" s="25">
        <f t="shared" si="69"/>
        <v>719</v>
      </c>
      <c r="B721" s="67" t="s">
        <v>8</v>
      </c>
      <c r="C721" s="67" t="s">
        <v>118</v>
      </c>
      <c r="D721" s="67" t="s">
        <v>577</v>
      </c>
      <c r="E721" s="22">
        <f t="shared" ca="1" si="70"/>
        <v>40951</v>
      </c>
      <c r="F721" s="11">
        <f>DATE(72,1,31)</f>
        <v>26329</v>
      </c>
      <c r="G721" s="12">
        <f t="shared" ca="1" si="66"/>
        <v>40</v>
      </c>
      <c r="H721" s="12">
        <f t="shared" ca="1" si="67"/>
        <v>1</v>
      </c>
      <c r="I721" s="13">
        <f t="shared" ca="1" si="68"/>
        <v>-19</v>
      </c>
      <c r="J721" s="14">
        <f t="shared" ca="1" si="71"/>
        <v>40</v>
      </c>
      <c r="K721" s="12" t="s">
        <v>40</v>
      </c>
      <c r="L721" s="15">
        <v>58</v>
      </c>
      <c r="M721" s="25" t="s">
        <v>40</v>
      </c>
      <c r="N721">
        <v>155</v>
      </c>
    </row>
    <row r="722" spans="1:14">
      <c r="A722" s="25">
        <f t="shared" si="69"/>
        <v>720</v>
      </c>
      <c r="B722" s="67" t="s">
        <v>8</v>
      </c>
      <c r="C722" s="67" t="s">
        <v>579</v>
      </c>
      <c r="D722" s="67" t="s">
        <v>581</v>
      </c>
      <c r="E722" s="22">
        <f t="shared" ca="1" si="70"/>
        <v>40951</v>
      </c>
      <c r="F722" s="11">
        <f>DATE(76,9,29)</f>
        <v>28032</v>
      </c>
      <c r="G722" s="12">
        <f t="shared" ca="1" si="66"/>
        <v>36</v>
      </c>
      <c r="H722" s="12">
        <f t="shared" ca="1" si="67"/>
        <v>-7</v>
      </c>
      <c r="I722" s="13">
        <f t="shared" ca="1" si="68"/>
        <v>-17</v>
      </c>
      <c r="J722" s="14">
        <f t="shared" ca="1" si="71"/>
        <v>35</v>
      </c>
      <c r="K722" s="12" t="s">
        <v>41</v>
      </c>
      <c r="L722" s="15">
        <v>58</v>
      </c>
      <c r="M722" s="25" t="s">
        <v>40</v>
      </c>
      <c r="N722">
        <v>155</v>
      </c>
    </row>
    <row r="723" spans="1:14">
      <c r="A723" s="25">
        <f t="shared" si="69"/>
        <v>721</v>
      </c>
      <c r="B723" s="67" t="s">
        <v>8</v>
      </c>
      <c r="C723" s="67" t="s">
        <v>156</v>
      </c>
      <c r="D723" s="67" t="s">
        <v>581</v>
      </c>
      <c r="E723" s="22">
        <f t="shared" ca="1" si="70"/>
        <v>40951</v>
      </c>
      <c r="F723" s="11">
        <f>DATE(2000,6,8)</f>
        <v>36685</v>
      </c>
      <c r="G723" s="12">
        <f t="shared" ca="1" si="66"/>
        <v>12</v>
      </c>
      <c r="H723" s="12">
        <f t="shared" ca="1" si="67"/>
        <v>-4</v>
      </c>
      <c r="I723" s="13">
        <f t="shared" ca="1" si="68"/>
        <v>4</v>
      </c>
      <c r="J723" s="14">
        <f t="shared" ca="1" si="71"/>
        <v>11</v>
      </c>
      <c r="K723" s="12" t="s">
        <v>41</v>
      </c>
      <c r="L723" s="15">
        <v>58</v>
      </c>
      <c r="M723" s="25" t="s">
        <v>44</v>
      </c>
      <c r="N723">
        <v>155</v>
      </c>
    </row>
    <row r="724" spans="1:14">
      <c r="A724" s="25">
        <f t="shared" si="69"/>
        <v>722</v>
      </c>
      <c r="B724" s="67" t="s">
        <v>8</v>
      </c>
      <c r="C724" s="67" t="s">
        <v>580</v>
      </c>
      <c r="D724" s="67" t="s">
        <v>581</v>
      </c>
      <c r="E724" s="22">
        <f t="shared" ca="1" si="70"/>
        <v>40951</v>
      </c>
      <c r="F724" s="11">
        <f>DATE(2005,10,18)</f>
        <v>38643</v>
      </c>
      <c r="G724" s="12">
        <f t="shared" ca="1" si="66"/>
        <v>7</v>
      </c>
      <c r="H724" s="12">
        <f t="shared" ca="1" si="67"/>
        <v>-8</v>
      </c>
      <c r="I724" s="13">
        <f t="shared" ca="1" si="68"/>
        <v>-6</v>
      </c>
      <c r="J724" s="14">
        <f t="shared" ca="1" si="71"/>
        <v>6</v>
      </c>
      <c r="K724" s="12" t="s">
        <v>41</v>
      </c>
      <c r="L724" s="15">
        <v>58</v>
      </c>
      <c r="M724" s="25" t="s">
        <v>44</v>
      </c>
      <c r="N724">
        <v>155</v>
      </c>
    </row>
    <row r="725" spans="1:14">
      <c r="A725" s="25">
        <f t="shared" si="69"/>
        <v>723</v>
      </c>
      <c r="B725" s="67" t="s">
        <v>8</v>
      </c>
      <c r="C725" s="67" t="s">
        <v>582</v>
      </c>
      <c r="D725" s="67" t="s">
        <v>577</v>
      </c>
      <c r="E725" s="22">
        <f t="shared" ca="1" si="70"/>
        <v>40951</v>
      </c>
      <c r="F725" s="11">
        <f>DATE(75,5,1)</f>
        <v>27515</v>
      </c>
      <c r="G725" s="12">
        <f t="shared" ca="1" si="66"/>
        <v>37</v>
      </c>
      <c r="H725" s="12">
        <f t="shared" ca="1" si="67"/>
        <v>-3</v>
      </c>
      <c r="I725" s="13">
        <f t="shared" ca="1" si="68"/>
        <v>11</v>
      </c>
      <c r="J725" s="14">
        <f t="shared" ca="1" si="71"/>
        <v>36</v>
      </c>
      <c r="K725" s="12" t="s">
        <v>40</v>
      </c>
      <c r="L725" s="15">
        <v>58</v>
      </c>
      <c r="M725" s="25" t="s">
        <v>40</v>
      </c>
      <c r="N725">
        <v>155</v>
      </c>
    </row>
    <row r="726" spans="1:14">
      <c r="A726" s="25">
        <f t="shared" si="69"/>
        <v>724</v>
      </c>
      <c r="B726" s="67" t="s">
        <v>8</v>
      </c>
      <c r="C726" s="67" t="s">
        <v>583</v>
      </c>
      <c r="D726" s="67" t="s">
        <v>582</v>
      </c>
      <c r="E726" s="22">
        <f t="shared" ca="1" si="70"/>
        <v>40951</v>
      </c>
      <c r="F726" s="11">
        <f>DATE(75,8,18)</f>
        <v>27624</v>
      </c>
      <c r="G726" s="12">
        <f t="shared" ca="1" si="66"/>
        <v>37</v>
      </c>
      <c r="H726" s="12">
        <f t="shared" ca="1" si="67"/>
        <v>-6</v>
      </c>
      <c r="I726" s="13">
        <f t="shared" ca="1" si="68"/>
        <v>-6</v>
      </c>
      <c r="J726" s="14">
        <f t="shared" ca="1" si="71"/>
        <v>36</v>
      </c>
      <c r="K726" s="12" t="s">
        <v>41</v>
      </c>
      <c r="L726" s="15">
        <v>58</v>
      </c>
      <c r="M726" s="25" t="s">
        <v>40</v>
      </c>
      <c r="N726">
        <v>155</v>
      </c>
    </row>
    <row r="727" spans="1:14" ht="15.75" thickBot="1">
      <c r="A727" s="26">
        <f t="shared" si="69"/>
        <v>725</v>
      </c>
      <c r="B727" s="67" t="s">
        <v>8</v>
      </c>
      <c r="C727" s="68" t="s">
        <v>584</v>
      </c>
      <c r="D727" s="68" t="s">
        <v>582</v>
      </c>
      <c r="E727" s="23">
        <f t="shared" ca="1" si="70"/>
        <v>40951</v>
      </c>
      <c r="F727" s="16">
        <f>DATE(2004,12,25)</f>
        <v>38346</v>
      </c>
      <c r="G727" s="17">
        <f t="shared" ca="1" si="66"/>
        <v>8</v>
      </c>
      <c r="H727" s="17">
        <f t="shared" ca="1" si="67"/>
        <v>-10</v>
      </c>
      <c r="I727" s="18">
        <f t="shared" ca="1" si="68"/>
        <v>-13</v>
      </c>
      <c r="J727" s="19">
        <f t="shared" ca="1" si="71"/>
        <v>7</v>
      </c>
      <c r="K727" s="17" t="s">
        <v>40</v>
      </c>
      <c r="L727" s="20">
        <v>58</v>
      </c>
      <c r="M727" s="26" t="s">
        <v>44</v>
      </c>
      <c r="N727">
        <v>155</v>
      </c>
    </row>
    <row r="728" spans="1:14">
      <c r="A728" s="25">
        <f t="shared" si="69"/>
        <v>726</v>
      </c>
      <c r="B728" s="67" t="s">
        <v>8</v>
      </c>
      <c r="C728" s="67" t="s">
        <v>585</v>
      </c>
      <c r="D728" s="67" t="s">
        <v>586</v>
      </c>
      <c r="E728" s="22">
        <f t="shared" ca="1" si="70"/>
        <v>40951</v>
      </c>
      <c r="F728" s="11">
        <f>DATE(43,3,31)</f>
        <v>15796</v>
      </c>
      <c r="G728" s="12">
        <f t="shared" ca="1" si="66"/>
        <v>69</v>
      </c>
      <c r="H728" s="12">
        <f t="shared" ca="1" si="67"/>
        <v>-1</v>
      </c>
      <c r="I728" s="13">
        <f t="shared" ca="1" si="68"/>
        <v>-19</v>
      </c>
      <c r="J728" s="14">
        <f t="shared" ca="1" si="71"/>
        <v>68</v>
      </c>
      <c r="K728" s="12" t="s">
        <v>40</v>
      </c>
      <c r="L728" s="15">
        <v>58</v>
      </c>
      <c r="M728" s="25" t="s">
        <v>40</v>
      </c>
      <c r="N728">
        <v>156</v>
      </c>
    </row>
    <row r="729" spans="1:14">
      <c r="A729" s="25">
        <f t="shared" si="69"/>
        <v>727</v>
      </c>
      <c r="B729" s="67" t="s">
        <v>8</v>
      </c>
      <c r="C729" s="67" t="s">
        <v>587</v>
      </c>
      <c r="D729" s="67" t="s">
        <v>585</v>
      </c>
      <c r="E729" s="22">
        <f t="shared" ca="1" si="70"/>
        <v>40951</v>
      </c>
      <c r="F729" s="11">
        <f>DATE(45,11,8)</f>
        <v>16749</v>
      </c>
      <c r="G729" s="12">
        <f t="shared" ref="G729:G792" ca="1" si="72">YEAR(E729)-YEAR(F729)</f>
        <v>67</v>
      </c>
      <c r="H729" s="12">
        <f t="shared" ref="H729:H792" ca="1" si="73">MONTH(E729)-MONTH(F729)</f>
        <v>-9</v>
      </c>
      <c r="I729" s="13">
        <f t="shared" ref="I729:I792" ca="1" si="74">DAY(E729)-DAY(F729)</f>
        <v>4</v>
      </c>
      <c r="J729" s="14">
        <f t="shared" ca="1" si="71"/>
        <v>66</v>
      </c>
      <c r="K729" s="12" t="s">
        <v>41</v>
      </c>
      <c r="L729" s="15">
        <v>58</v>
      </c>
      <c r="M729" s="25" t="s">
        <v>40</v>
      </c>
      <c r="N729">
        <v>156</v>
      </c>
    </row>
    <row r="730" spans="1:14">
      <c r="A730" s="25">
        <f t="shared" si="69"/>
        <v>728</v>
      </c>
      <c r="B730" s="67" t="s">
        <v>8</v>
      </c>
      <c r="C730" s="67" t="s">
        <v>588</v>
      </c>
      <c r="D730" s="67" t="s">
        <v>585</v>
      </c>
      <c r="E730" s="22">
        <f t="shared" ca="1" si="70"/>
        <v>40951</v>
      </c>
      <c r="F730" s="11">
        <f>DATE(64,5,15)</f>
        <v>23512</v>
      </c>
      <c r="G730" s="12">
        <f t="shared" ca="1" si="72"/>
        <v>48</v>
      </c>
      <c r="H730" s="12">
        <f t="shared" ca="1" si="73"/>
        <v>-3</v>
      </c>
      <c r="I730" s="13">
        <f t="shared" ca="1" si="74"/>
        <v>-3</v>
      </c>
      <c r="J730" s="14">
        <f t="shared" ca="1" si="71"/>
        <v>47</v>
      </c>
      <c r="K730" s="12" t="s">
        <v>40</v>
      </c>
      <c r="L730" s="15">
        <v>58</v>
      </c>
      <c r="M730" s="25" t="s">
        <v>40</v>
      </c>
      <c r="N730">
        <v>156</v>
      </c>
    </row>
    <row r="731" spans="1:14">
      <c r="A731" s="25">
        <f t="shared" si="69"/>
        <v>729</v>
      </c>
      <c r="B731" s="67" t="s">
        <v>8</v>
      </c>
      <c r="C731" s="67" t="s">
        <v>155</v>
      </c>
      <c r="D731" s="67" t="s">
        <v>588</v>
      </c>
      <c r="E731" s="22">
        <f t="shared" ca="1" si="70"/>
        <v>40951</v>
      </c>
      <c r="F731" s="11">
        <f>DATE(68,12,28)</f>
        <v>25200</v>
      </c>
      <c r="G731" s="12">
        <f t="shared" ca="1" si="72"/>
        <v>44</v>
      </c>
      <c r="H731" s="12">
        <f t="shared" ca="1" si="73"/>
        <v>-10</v>
      </c>
      <c r="I731" s="13">
        <f t="shared" ca="1" si="74"/>
        <v>-16</v>
      </c>
      <c r="J731" s="14">
        <f t="shared" ca="1" si="71"/>
        <v>43</v>
      </c>
      <c r="K731" s="12" t="s">
        <v>41</v>
      </c>
      <c r="L731" s="15">
        <v>58</v>
      </c>
      <c r="M731" s="25" t="s">
        <v>40</v>
      </c>
      <c r="N731">
        <v>156</v>
      </c>
    </row>
    <row r="732" spans="1:14">
      <c r="A732" s="25">
        <f t="shared" si="69"/>
        <v>730</v>
      </c>
      <c r="B732" s="67" t="s">
        <v>8</v>
      </c>
      <c r="C732" s="67" t="s">
        <v>589</v>
      </c>
      <c r="D732" s="67" t="s">
        <v>588</v>
      </c>
      <c r="E732" s="22">
        <f t="shared" ca="1" si="70"/>
        <v>40951</v>
      </c>
      <c r="F732" s="11">
        <f>DATE(93,4,14)</f>
        <v>34073</v>
      </c>
      <c r="G732" s="12">
        <f t="shared" ca="1" si="72"/>
        <v>19</v>
      </c>
      <c r="H732" s="12">
        <f t="shared" ca="1" si="73"/>
        <v>-2</v>
      </c>
      <c r="I732" s="13">
        <f t="shared" ca="1" si="74"/>
        <v>-2</v>
      </c>
      <c r="J732" s="14">
        <f t="shared" ca="1" si="71"/>
        <v>18</v>
      </c>
      <c r="K732" s="12" t="s">
        <v>40</v>
      </c>
      <c r="L732" s="15">
        <v>58</v>
      </c>
      <c r="M732" s="25" t="s">
        <v>44</v>
      </c>
      <c r="N732">
        <v>156</v>
      </c>
    </row>
    <row r="733" spans="1:14" ht="15.75" thickBot="1">
      <c r="A733" s="26">
        <f t="shared" si="69"/>
        <v>731</v>
      </c>
      <c r="B733" s="67" t="s">
        <v>8</v>
      </c>
      <c r="C733" s="68" t="s">
        <v>590</v>
      </c>
      <c r="D733" s="68" t="s">
        <v>588</v>
      </c>
      <c r="E733" s="23">
        <f t="shared" ca="1" si="70"/>
        <v>40951</v>
      </c>
      <c r="F733" s="16">
        <f>DATE(95,10,25)</f>
        <v>34997</v>
      </c>
      <c r="G733" s="17">
        <f t="shared" ca="1" si="72"/>
        <v>17</v>
      </c>
      <c r="H733" s="17">
        <f t="shared" ca="1" si="73"/>
        <v>-8</v>
      </c>
      <c r="I733" s="18">
        <f t="shared" ca="1" si="74"/>
        <v>-13</v>
      </c>
      <c r="J733" s="19">
        <f t="shared" ca="1" si="71"/>
        <v>16</v>
      </c>
      <c r="K733" s="17" t="s">
        <v>41</v>
      </c>
      <c r="L733" s="20">
        <v>58</v>
      </c>
      <c r="M733" s="26" t="s">
        <v>44</v>
      </c>
      <c r="N733">
        <v>156</v>
      </c>
    </row>
    <row r="734" spans="1:14">
      <c r="A734" s="24">
        <f t="shared" ref="A734:A797" si="75">A733+1</f>
        <v>732</v>
      </c>
      <c r="B734" s="66" t="s">
        <v>8</v>
      </c>
      <c r="C734" s="66" t="s">
        <v>591</v>
      </c>
      <c r="D734" s="66" t="s">
        <v>556</v>
      </c>
      <c r="E734" s="21">
        <f t="shared" ca="1" si="70"/>
        <v>40951</v>
      </c>
      <c r="F734" s="6">
        <f>DATE(47,11,7)</f>
        <v>17478</v>
      </c>
      <c r="G734" s="7">
        <f t="shared" ca="1" si="72"/>
        <v>65</v>
      </c>
      <c r="H734" s="7">
        <f t="shared" ca="1" si="73"/>
        <v>-9</v>
      </c>
      <c r="I734" s="8">
        <f t="shared" ca="1" si="74"/>
        <v>5</v>
      </c>
      <c r="J734" s="9">
        <f t="shared" ca="1" si="71"/>
        <v>64</v>
      </c>
      <c r="K734" s="7" t="s">
        <v>40</v>
      </c>
      <c r="L734" s="10">
        <v>59</v>
      </c>
      <c r="M734" s="24" t="s">
        <v>40</v>
      </c>
      <c r="N734">
        <v>157</v>
      </c>
    </row>
    <row r="735" spans="1:14">
      <c r="A735" s="25">
        <f t="shared" si="75"/>
        <v>733</v>
      </c>
      <c r="B735" s="67" t="s">
        <v>8</v>
      </c>
      <c r="C735" s="67" t="s">
        <v>216</v>
      </c>
      <c r="D735" s="67" t="s">
        <v>423</v>
      </c>
      <c r="E735" s="22">
        <f t="shared" ca="1" si="70"/>
        <v>40951</v>
      </c>
      <c r="F735" s="11">
        <f>DATE(53,5,15)</f>
        <v>19494</v>
      </c>
      <c r="G735" s="12">
        <f t="shared" ca="1" si="72"/>
        <v>59</v>
      </c>
      <c r="H735" s="12">
        <f t="shared" ca="1" si="73"/>
        <v>-3</v>
      </c>
      <c r="I735" s="13">
        <f t="shared" ca="1" si="74"/>
        <v>-3</v>
      </c>
      <c r="J735" s="14">
        <f t="shared" ca="1" si="71"/>
        <v>58</v>
      </c>
      <c r="K735" s="12" t="s">
        <v>41</v>
      </c>
      <c r="L735" s="15">
        <v>59</v>
      </c>
      <c r="M735" s="25" t="s">
        <v>40</v>
      </c>
      <c r="N735">
        <v>157</v>
      </c>
    </row>
    <row r="736" spans="1:14">
      <c r="A736" s="25">
        <f t="shared" si="75"/>
        <v>734</v>
      </c>
      <c r="B736" s="67" t="s">
        <v>8</v>
      </c>
      <c r="C736" s="67" t="s">
        <v>592</v>
      </c>
      <c r="D736" s="67" t="s">
        <v>423</v>
      </c>
      <c r="E736" s="22">
        <f t="shared" ca="1" si="70"/>
        <v>40951</v>
      </c>
      <c r="F736" s="11">
        <f>DATE(71,12,11)</f>
        <v>26278</v>
      </c>
      <c r="G736" s="12">
        <f t="shared" ca="1" si="72"/>
        <v>41</v>
      </c>
      <c r="H736" s="12">
        <f t="shared" ca="1" si="73"/>
        <v>-10</v>
      </c>
      <c r="I736" s="13">
        <f t="shared" ca="1" si="74"/>
        <v>1</v>
      </c>
      <c r="J736" s="14">
        <f t="shared" ca="1" si="71"/>
        <v>40</v>
      </c>
      <c r="K736" s="12" t="s">
        <v>40</v>
      </c>
      <c r="L736" s="15">
        <v>59</v>
      </c>
      <c r="M736" s="25" t="s">
        <v>40</v>
      </c>
      <c r="N736">
        <v>157</v>
      </c>
    </row>
    <row r="737" spans="1:14">
      <c r="A737" s="25">
        <f t="shared" si="75"/>
        <v>735</v>
      </c>
      <c r="B737" s="67" t="s">
        <v>8</v>
      </c>
      <c r="C737" s="67" t="s">
        <v>288</v>
      </c>
      <c r="D737" s="67" t="s">
        <v>592</v>
      </c>
      <c r="E737" s="22">
        <f t="shared" ca="1" si="70"/>
        <v>40951</v>
      </c>
      <c r="F737" s="11">
        <f>DATE(72,3,16)</f>
        <v>26374</v>
      </c>
      <c r="G737" s="12">
        <f t="shared" ca="1" si="72"/>
        <v>40</v>
      </c>
      <c r="H737" s="12">
        <f t="shared" ca="1" si="73"/>
        <v>-1</v>
      </c>
      <c r="I737" s="13">
        <f t="shared" ca="1" si="74"/>
        <v>-4</v>
      </c>
      <c r="J737" s="14">
        <f t="shared" ca="1" si="71"/>
        <v>39</v>
      </c>
      <c r="K737" s="12" t="s">
        <v>41</v>
      </c>
      <c r="L737" s="15">
        <v>59</v>
      </c>
      <c r="M737" s="25" t="s">
        <v>40</v>
      </c>
      <c r="N737">
        <v>157</v>
      </c>
    </row>
    <row r="738" spans="1:14">
      <c r="A738" s="25">
        <f t="shared" si="75"/>
        <v>736</v>
      </c>
      <c r="B738" s="67" t="s">
        <v>8</v>
      </c>
      <c r="C738" s="67" t="s">
        <v>593</v>
      </c>
      <c r="D738" s="67" t="s">
        <v>592</v>
      </c>
      <c r="E738" s="22">
        <f t="shared" ca="1" si="70"/>
        <v>40951</v>
      </c>
      <c r="F738" s="11">
        <f>DATE(98,6,13)</f>
        <v>35959</v>
      </c>
      <c r="G738" s="12">
        <f t="shared" ca="1" si="72"/>
        <v>14</v>
      </c>
      <c r="H738" s="12">
        <f t="shared" ca="1" si="73"/>
        <v>-4</v>
      </c>
      <c r="I738" s="13">
        <f t="shared" ca="1" si="74"/>
        <v>-1</v>
      </c>
      <c r="J738" s="14">
        <f t="shared" ca="1" si="71"/>
        <v>13</v>
      </c>
      <c r="K738" s="12" t="s">
        <v>40</v>
      </c>
      <c r="L738" s="15">
        <v>59</v>
      </c>
      <c r="M738" s="25" t="s">
        <v>44</v>
      </c>
      <c r="N738">
        <v>157</v>
      </c>
    </row>
    <row r="739" spans="1:14">
      <c r="A739" s="25">
        <f t="shared" si="75"/>
        <v>737</v>
      </c>
      <c r="B739" s="67" t="s">
        <v>8</v>
      </c>
      <c r="C739" s="67" t="s">
        <v>590</v>
      </c>
      <c r="D739" s="67" t="s">
        <v>592</v>
      </c>
      <c r="E739" s="22">
        <f t="shared" ref="E739:E802" ca="1" si="76">TODAY()</f>
        <v>40951</v>
      </c>
      <c r="F739" s="11">
        <f>DATE(2000,2,28)</f>
        <v>36584</v>
      </c>
      <c r="G739" s="12">
        <f t="shared" ca="1" si="72"/>
        <v>12</v>
      </c>
      <c r="H739" s="12">
        <f t="shared" ca="1" si="73"/>
        <v>0</v>
      </c>
      <c r="I739" s="13">
        <f t="shared" ca="1" si="74"/>
        <v>-16</v>
      </c>
      <c r="J739" s="14">
        <f t="shared" ca="1" si="71"/>
        <v>11</v>
      </c>
      <c r="K739" s="12" t="s">
        <v>41</v>
      </c>
      <c r="L739" s="15">
        <v>59</v>
      </c>
      <c r="M739" s="25" t="s">
        <v>44</v>
      </c>
      <c r="N739">
        <v>157</v>
      </c>
    </row>
    <row r="740" spans="1:14" ht="15.75" thickBot="1">
      <c r="A740" s="26">
        <f t="shared" si="75"/>
        <v>738</v>
      </c>
      <c r="B740" s="67" t="s">
        <v>8</v>
      </c>
      <c r="C740" s="68" t="s">
        <v>594</v>
      </c>
      <c r="D740" s="68" t="s">
        <v>423</v>
      </c>
      <c r="E740" s="23">
        <f t="shared" ca="1" si="76"/>
        <v>40951</v>
      </c>
      <c r="F740" s="16">
        <f>DATE(77,10,28)</f>
        <v>28426</v>
      </c>
      <c r="G740" s="17">
        <f t="shared" ca="1" si="72"/>
        <v>35</v>
      </c>
      <c r="H740" s="17">
        <f t="shared" ca="1" si="73"/>
        <v>-8</v>
      </c>
      <c r="I740" s="18">
        <f t="shared" ca="1" si="74"/>
        <v>-16</v>
      </c>
      <c r="J740" s="19">
        <f t="shared" ca="1" si="71"/>
        <v>34</v>
      </c>
      <c r="K740" s="17" t="s">
        <v>40</v>
      </c>
      <c r="L740" s="20">
        <v>59</v>
      </c>
      <c r="M740" s="26" t="s">
        <v>44</v>
      </c>
      <c r="N740">
        <v>157</v>
      </c>
    </row>
    <row r="741" spans="1:14">
      <c r="A741" s="24">
        <f t="shared" si="75"/>
        <v>739</v>
      </c>
      <c r="B741" s="66" t="s">
        <v>8</v>
      </c>
      <c r="C741" s="66" t="s">
        <v>595</v>
      </c>
      <c r="D741" s="66" t="s">
        <v>198</v>
      </c>
      <c r="E741" s="21">
        <f t="shared" ca="1" si="76"/>
        <v>40951</v>
      </c>
      <c r="F741" s="6">
        <f>DATE(43,2,10)</f>
        <v>15747</v>
      </c>
      <c r="G741" s="7">
        <f t="shared" ca="1" si="72"/>
        <v>69</v>
      </c>
      <c r="H741" s="7">
        <f t="shared" ca="1" si="73"/>
        <v>0</v>
      </c>
      <c r="I741" s="8">
        <f t="shared" ca="1" si="74"/>
        <v>2</v>
      </c>
      <c r="J741" s="9">
        <f t="shared" ca="1" si="71"/>
        <v>69</v>
      </c>
      <c r="K741" s="7" t="s">
        <v>40</v>
      </c>
      <c r="L741" s="10">
        <v>59</v>
      </c>
      <c r="M741" s="24" t="s">
        <v>40</v>
      </c>
      <c r="N741">
        <v>158</v>
      </c>
    </row>
    <row r="742" spans="1:14">
      <c r="A742" s="25">
        <f t="shared" si="75"/>
        <v>740</v>
      </c>
      <c r="B742" s="67" t="s">
        <v>8</v>
      </c>
      <c r="C742" s="67" t="s">
        <v>596</v>
      </c>
      <c r="D742" s="67" t="s">
        <v>595</v>
      </c>
      <c r="E742" s="22">
        <f t="shared" ca="1" si="76"/>
        <v>40951</v>
      </c>
      <c r="F742" s="11">
        <f>DATE(47,7,17)</f>
        <v>17365</v>
      </c>
      <c r="G742" s="12">
        <f t="shared" ca="1" si="72"/>
        <v>65</v>
      </c>
      <c r="H742" s="12">
        <f t="shared" ca="1" si="73"/>
        <v>-5</v>
      </c>
      <c r="I742" s="13">
        <f t="shared" ca="1" si="74"/>
        <v>-5</v>
      </c>
      <c r="J742" s="14">
        <f t="shared" ca="1" si="71"/>
        <v>64</v>
      </c>
      <c r="K742" s="12" t="s">
        <v>41</v>
      </c>
      <c r="L742" s="15">
        <v>59</v>
      </c>
      <c r="M742" s="25" t="s">
        <v>40</v>
      </c>
      <c r="N742">
        <v>158</v>
      </c>
    </row>
    <row r="743" spans="1:14">
      <c r="A743" s="25">
        <f t="shared" si="75"/>
        <v>741</v>
      </c>
      <c r="B743" s="67" t="s">
        <v>8</v>
      </c>
      <c r="C743" s="67" t="s">
        <v>597</v>
      </c>
      <c r="D743" s="67" t="s">
        <v>595</v>
      </c>
      <c r="E743" s="22">
        <f t="shared" ca="1" si="76"/>
        <v>40951</v>
      </c>
      <c r="F743" s="11">
        <f>DATE(74,9,2)</f>
        <v>27274</v>
      </c>
      <c r="G743" s="12">
        <f t="shared" ca="1" si="72"/>
        <v>38</v>
      </c>
      <c r="H743" s="12">
        <f t="shared" ca="1" si="73"/>
        <v>-7</v>
      </c>
      <c r="I743" s="13">
        <f t="shared" ca="1" si="74"/>
        <v>10</v>
      </c>
      <c r="J743" s="14">
        <f t="shared" ca="1" si="71"/>
        <v>37</v>
      </c>
      <c r="K743" s="12" t="s">
        <v>40</v>
      </c>
      <c r="L743" s="15">
        <v>59</v>
      </c>
      <c r="M743" s="25" t="s">
        <v>40</v>
      </c>
      <c r="N743">
        <v>158</v>
      </c>
    </row>
    <row r="744" spans="1:14" ht="15.75" thickBot="1">
      <c r="A744" s="26">
        <f t="shared" si="75"/>
        <v>742</v>
      </c>
      <c r="B744" s="67" t="s">
        <v>8</v>
      </c>
      <c r="C744" s="68" t="s">
        <v>406</v>
      </c>
      <c r="D744" s="68" t="s">
        <v>597</v>
      </c>
      <c r="E744" s="23">
        <f t="shared" ca="1" si="76"/>
        <v>40951</v>
      </c>
      <c r="F744" s="16">
        <f>DATE(78,9,28)</f>
        <v>28761</v>
      </c>
      <c r="G744" s="17">
        <f t="shared" ca="1" si="72"/>
        <v>34</v>
      </c>
      <c r="H744" s="17">
        <f t="shared" ca="1" si="73"/>
        <v>-7</v>
      </c>
      <c r="I744" s="18">
        <f t="shared" ca="1" si="74"/>
        <v>-16</v>
      </c>
      <c r="J744" s="19">
        <f t="shared" ca="1" si="71"/>
        <v>33</v>
      </c>
      <c r="K744" s="17" t="s">
        <v>41</v>
      </c>
      <c r="L744" s="20">
        <v>59</v>
      </c>
      <c r="M744" s="26" t="s">
        <v>40</v>
      </c>
      <c r="N744">
        <v>158</v>
      </c>
    </row>
    <row r="745" spans="1:14">
      <c r="A745" s="25">
        <f t="shared" si="75"/>
        <v>743</v>
      </c>
      <c r="B745" s="67" t="s">
        <v>8</v>
      </c>
      <c r="C745" s="67" t="s">
        <v>49</v>
      </c>
      <c r="D745" s="67" t="s">
        <v>556</v>
      </c>
      <c r="E745" s="22">
        <f t="shared" ca="1" si="76"/>
        <v>40951</v>
      </c>
      <c r="F745" s="11">
        <f>DATE(57,3,23)</f>
        <v>20902</v>
      </c>
      <c r="G745" s="12">
        <f t="shared" ca="1" si="72"/>
        <v>55</v>
      </c>
      <c r="H745" s="12">
        <f t="shared" ca="1" si="73"/>
        <v>-1</v>
      </c>
      <c r="I745" s="13">
        <f t="shared" ca="1" si="74"/>
        <v>-11</v>
      </c>
      <c r="J745" s="14">
        <f t="shared" ca="1" si="71"/>
        <v>54</v>
      </c>
      <c r="K745" s="12" t="s">
        <v>40</v>
      </c>
      <c r="L745" s="15">
        <v>59</v>
      </c>
      <c r="M745" s="25" t="s">
        <v>40</v>
      </c>
      <c r="N745">
        <v>159</v>
      </c>
    </row>
    <row r="746" spans="1:14">
      <c r="A746" s="25">
        <f t="shared" si="75"/>
        <v>744</v>
      </c>
      <c r="B746" s="67" t="s">
        <v>8</v>
      </c>
      <c r="C746" s="67" t="s">
        <v>598</v>
      </c>
      <c r="D746" s="67" t="s">
        <v>49</v>
      </c>
      <c r="E746" s="22">
        <f t="shared" ca="1" si="76"/>
        <v>40951</v>
      </c>
      <c r="F746" s="11">
        <f>DATE(58,1,7)</f>
        <v>21192</v>
      </c>
      <c r="G746" s="12">
        <f t="shared" ca="1" si="72"/>
        <v>54</v>
      </c>
      <c r="H746" s="12">
        <f t="shared" ca="1" si="73"/>
        <v>1</v>
      </c>
      <c r="I746" s="13">
        <f t="shared" ca="1" si="74"/>
        <v>5</v>
      </c>
      <c r="J746" s="14">
        <f t="shared" ca="1" si="71"/>
        <v>54</v>
      </c>
      <c r="K746" s="12" t="s">
        <v>41</v>
      </c>
      <c r="L746" s="15">
        <v>59</v>
      </c>
      <c r="M746" s="25" t="s">
        <v>40</v>
      </c>
      <c r="N746">
        <v>159</v>
      </c>
    </row>
    <row r="747" spans="1:14">
      <c r="A747" s="25">
        <f t="shared" si="75"/>
        <v>745</v>
      </c>
      <c r="B747" s="67" t="s">
        <v>8</v>
      </c>
      <c r="C747" s="67" t="s">
        <v>166</v>
      </c>
      <c r="D747" s="67" t="s">
        <v>49</v>
      </c>
      <c r="E747" s="22">
        <f t="shared" ca="1" si="76"/>
        <v>40951</v>
      </c>
      <c r="F747" s="11">
        <f>DATE(81,3,25)</f>
        <v>29670</v>
      </c>
      <c r="G747" s="12">
        <f t="shared" ca="1" si="72"/>
        <v>31</v>
      </c>
      <c r="H747" s="12">
        <f t="shared" ca="1" si="73"/>
        <v>-1</v>
      </c>
      <c r="I747" s="13">
        <f t="shared" ca="1" si="74"/>
        <v>-13</v>
      </c>
      <c r="J747" s="14">
        <f t="shared" ca="1" si="71"/>
        <v>30</v>
      </c>
      <c r="K747" s="12" t="s">
        <v>40</v>
      </c>
      <c r="L747" s="15">
        <v>59</v>
      </c>
      <c r="M747" s="25" t="s">
        <v>44</v>
      </c>
      <c r="N747">
        <v>159</v>
      </c>
    </row>
    <row r="748" spans="1:14" ht="15.75" thickBot="1">
      <c r="A748" s="26">
        <f t="shared" si="75"/>
        <v>746</v>
      </c>
      <c r="B748" s="67" t="s">
        <v>8</v>
      </c>
      <c r="C748" s="68" t="s">
        <v>599</v>
      </c>
      <c r="D748" s="68" t="s">
        <v>49</v>
      </c>
      <c r="E748" s="23">
        <f t="shared" ca="1" si="76"/>
        <v>40951</v>
      </c>
      <c r="F748" s="16">
        <f>DATE(82,11,20)</f>
        <v>30275</v>
      </c>
      <c r="G748" s="17">
        <f t="shared" ca="1" si="72"/>
        <v>30</v>
      </c>
      <c r="H748" s="17">
        <f t="shared" ca="1" si="73"/>
        <v>-9</v>
      </c>
      <c r="I748" s="18">
        <f t="shared" ca="1" si="74"/>
        <v>-8</v>
      </c>
      <c r="J748" s="19">
        <f t="shared" ca="1" si="71"/>
        <v>29</v>
      </c>
      <c r="K748" s="17" t="s">
        <v>40</v>
      </c>
      <c r="L748" s="20">
        <v>59</v>
      </c>
      <c r="M748" s="26" t="s">
        <v>44</v>
      </c>
      <c r="N748">
        <v>159</v>
      </c>
    </row>
    <row r="749" spans="1:14">
      <c r="A749" s="24">
        <f t="shared" si="75"/>
        <v>747</v>
      </c>
      <c r="B749" s="66" t="s">
        <v>8</v>
      </c>
      <c r="C749" s="66" t="s">
        <v>600</v>
      </c>
      <c r="D749" s="66" t="s">
        <v>198</v>
      </c>
      <c r="E749" s="21">
        <f t="shared" ca="1" si="76"/>
        <v>40951</v>
      </c>
      <c r="F749" s="6">
        <f>DATE(45,10,11)</f>
        <v>16721</v>
      </c>
      <c r="G749" s="7">
        <f t="shared" ca="1" si="72"/>
        <v>67</v>
      </c>
      <c r="H749" s="7">
        <f t="shared" ca="1" si="73"/>
        <v>-8</v>
      </c>
      <c r="I749" s="8">
        <f t="shared" ca="1" si="74"/>
        <v>1</v>
      </c>
      <c r="J749" s="9">
        <f t="shared" ca="1" si="71"/>
        <v>66</v>
      </c>
      <c r="K749" s="7" t="s">
        <v>40</v>
      </c>
      <c r="L749" s="10">
        <v>60</v>
      </c>
      <c r="M749" s="24" t="s">
        <v>40</v>
      </c>
      <c r="N749">
        <v>160</v>
      </c>
    </row>
    <row r="750" spans="1:14" ht="15.75" thickBot="1">
      <c r="A750" s="26">
        <f t="shared" si="75"/>
        <v>748</v>
      </c>
      <c r="B750" s="67" t="s">
        <v>8</v>
      </c>
      <c r="C750" s="68" t="s">
        <v>218</v>
      </c>
      <c r="D750" s="68" t="s">
        <v>463</v>
      </c>
      <c r="E750" s="23">
        <f t="shared" ca="1" si="76"/>
        <v>40951</v>
      </c>
      <c r="F750" s="16">
        <f>DATE(47,1,25)</f>
        <v>17192</v>
      </c>
      <c r="G750" s="17">
        <f t="shared" ca="1" si="72"/>
        <v>65</v>
      </c>
      <c r="H750" s="17">
        <f t="shared" ca="1" si="73"/>
        <v>1</v>
      </c>
      <c r="I750" s="18">
        <f t="shared" ca="1" si="74"/>
        <v>-13</v>
      </c>
      <c r="J750" s="19">
        <f t="shared" ca="1" si="71"/>
        <v>65</v>
      </c>
      <c r="K750" s="17" t="s">
        <v>41</v>
      </c>
      <c r="L750" s="20">
        <v>60</v>
      </c>
      <c r="M750" s="26" t="s">
        <v>40</v>
      </c>
      <c r="N750">
        <v>160</v>
      </c>
    </row>
    <row r="751" spans="1:14">
      <c r="A751" s="24">
        <f t="shared" si="75"/>
        <v>749</v>
      </c>
      <c r="B751" s="66" t="s">
        <v>8</v>
      </c>
      <c r="C751" s="66" t="s">
        <v>601</v>
      </c>
      <c r="D751" s="66" t="s">
        <v>528</v>
      </c>
      <c r="E751" s="21">
        <f t="shared" ca="1" si="76"/>
        <v>40951</v>
      </c>
      <c r="F751" s="6">
        <f>DATE(27,7,31)</f>
        <v>10074</v>
      </c>
      <c r="G751" s="7">
        <f t="shared" ca="1" si="72"/>
        <v>85</v>
      </c>
      <c r="H751" s="7">
        <f t="shared" ca="1" si="73"/>
        <v>-5</v>
      </c>
      <c r="I751" s="8">
        <f t="shared" ca="1" si="74"/>
        <v>-19</v>
      </c>
      <c r="J751" s="9">
        <f t="shared" ca="1" si="71"/>
        <v>84</v>
      </c>
      <c r="K751" s="7" t="s">
        <v>40</v>
      </c>
      <c r="L751" s="10">
        <v>60</v>
      </c>
      <c r="M751" s="24" t="s">
        <v>40</v>
      </c>
      <c r="N751">
        <v>161</v>
      </c>
    </row>
    <row r="752" spans="1:14" ht="15.75" thickBot="1">
      <c r="A752" s="26">
        <f t="shared" si="75"/>
        <v>750</v>
      </c>
      <c r="B752" s="67" t="s">
        <v>8</v>
      </c>
      <c r="C752" s="68" t="s">
        <v>400</v>
      </c>
      <c r="D752" s="68" t="s">
        <v>601</v>
      </c>
      <c r="E752" s="23">
        <f t="shared" ca="1" si="76"/>
        <v>40951</v>
      </c>
      <c r="F752" s="16">
        <f>DATE(30,11,30)</f>
        <v>11292</v>
      </c>
      <c r="G752" s="17">
        <f t="shared" ca="1" si="72"/>
        <v>82</v>
      </c>
      <c r="H752" s="17">
        <f t="shared" ca="1" si="73"/>
        <v>-9</v>
      </c>
      <c r="I752" s="18">
        <f t="shared" ca="1" si="74"/>
        <v>-18</v>
      </c>
      <c r="J752" s="19">
        <f t="shared" ca="1" si="71"/>
        <v>81</v>
      </c>
      <c r="K752" s="17" t="s">
        <v>41</v>
      </c>
      <c r="L752" s="20">
        <v>60</v>
      </c>
      <c r="M752" s="26" t="s">
        <v>40</v>
      </c>
      <c r="N752">
        <v>161</v>
      </c>
    </row>
    <row r="753" spans="1:14">
      <c r="A753" s="24">
        <f t="shared" si="75"/>
        <v>751</v>
      </c>
      <c r="B753" s="66" t="s">
        <v>8</v>
      </c>
      <c r="C753" s="66" t="s">
        <v>400</v>
      </c>
      <c r="D753" s="66" t="s">
        <v>602</v>
      </c>
      <c r="E753" s="21">
        <f t="shared" ca="1" si="76"/>
        <v>40951</v>
      </c>
      <c r="F753" s="6">
        <f>DATE(39,10,20)</f>
        <v>14538</v>
      </c>
      <c r="G753" s="7">
        <f t="shared" ca="1" si="72"/>
        <v>73</v>
      </c>
      <c r="H753" s="7">
        <f t="shared" ca="1" si="73"/>
        <v>-8</v>
      </c>
      <c r="I753" s="8">
        <f t="shared" ca="1" si="74"/>
        <v>-8</v>
      </c>
      <c r="J753" s="9">
        <f t="shared" ca="1" si="71"/>
        <v>72</v>
      </c>
      <c r="K753" s="7" t="s">
        <v>41</v>
      </c>
      <c r="L753" s="10">
        <v>60</v>
      </c>
      <c r="M753" s="24" t="s">
        <v>40</v>
      </c>
      <c r="N753">
        <v>162</v>
      </c>
    </row>
    <row r="754" spans="1:14">
      <c r="A754" s="25">
        <f t="shared" si="75"/>
        <v>752</v>
      </c>
      <c r="B754" s="67" t="s">
        <v>8</v>
      </c>
      <c r="C754" s="67" t="s">
        <v>367</v>
      </c>
      <c r="D754" s="67" t="s">
        <v>602</v>
      </c>
      <c r="E754" s="22">
        <f t="shared" ca="1" si="76"/>
        <v>40951</v>
      </c>
      <c r="F754" s="11">
        <f>DATE(60,1,26)</f>
        <v>21941</v>
      </c>
      <c r="G754" s="12">
        <f t="shared" ca="1" si="72"/>
        <v>52</v>
      </c>
      <c r="H754" s="12">
        <f t="shared" ca="1" si="73"/>
        <v>1</v>
      </c>
      <c r="I754" s="13">
        <f t="shared" ca="1" si="74"/>
        <v>-14</v>
      </c>
      <c r="J754" s="14">
        <f t="shared" ca="1" si="71"/>
        <v>52</v>
      </c>
      <c r="K754" s="12" t="s">
        <v>40</v>
      </c>
      <c r="L754" s="15">
        <v>60</v>
      </c>
      <c r="M754" s="25" t="s">
        <v>40</v>
      </c>
      <c r="N754">
        <v>162</v>
      </c>
    </row>
    <row r="755" spans="1:14">
      <c r="A755" s="25">
        <f t="shared" si="75"/>
        <v>753</v>
      </c>
      <c r="B755" s="67" t="s">
        <v>8</v>
      </c>
      <c r="C755" s="67" t="s">
        <v>603</v>
      </c>
      <c r="D755" s="67" t="s">
        <v>367</v>
      </c>
      <c r="E755" s="22">
        <f t="shared" ca="1" si="76"/>
        <v>40951</v>
      </c>
      <c r="F755" s="11">
        <f>DATE(68,5,2)</f>
        <v>24960</v>
      </c>
      <c r="G755" s="12">
        <f t="shared" ca="1" si="72"/>
        <v>44</v>
      </c>
      <c r="H755" s="12">
        <f t="shared" ca="1" si="73"/>
        <v>-3</v>
      </c>
      <c r="I755" s="13">
        <f t="shared" ca="1" si="74"/>
        <v>10</v>
      </c>
      <c r="J755" s="14">
        <f t="shared" ca="1" si="71"/>
        <v>43</v>
      </c>
      <c r="K755" s="12" t="s">
        <v>41</v>
      </c>
      <c r="L755" s="15">
        <v>60</v>
      </c>
      <c r="M755" s="25" t="s">
        <v>40</v>
      </c>
      <c r="N755">
        <v>162</v>
      </c>
    </row>
    <row r="756" spans="1:14">
      <c r="A756" s="25">
        <f t="shared" si="75"/>
        <v>754</v>
      </c>
      <c r="B756" s="67" t="s">
        <v>8</v>
      </c>
      <c r="C756" s="67" t="s">
        <v>604</v>
      </c>
      <c r="D756" s="67" t="s">
        <v>367</v>
      </c>
      <c r="E756" s="22">
        <f t="shared" ca="1" si="76"/>
        <v>40951</v>
      </c>
      <c r="F756" s="11">
        <f>DATE(88,8,23)</f>
        <v>32378</v>
      </c>
      <c r="G756" s="12">
        <f t="shared" ca="1" si="72"/>
        <v>24</v>
      </c>
      <c r="H756" s="12">
        <f t="shared" ca="1" si="73"/>
        <v>-6</v>
      </c>
      <c r="I756" s="13">
        <f t="shared" ca="1" si="74"/>
        <v>-11</v>
      </c>
      <c r="J756" s="14">
        <f t="shared" ca="1" si="71"/>
        <v>23</v>
      </c>
      <c r="K756" s="12" t="s">
        <v>40</v>
      </c>
      <c r="L756" s="15">
        <v>60</v>
      </c>
      <c r="M756" s="25" t="s">
        <v>44</v>
      </c>
      <c r="N756">
        <v>162</v>
      </c>
    </row>
    <row r="757" spans="1:14" ht="15.75" thickBot="1">
      <c r="A757" s="26">
        <f t="shared" si="75"/>
        <v>755</v>
      </c>
      <c r="B757" s="67" t="s">
        <v>8</v>
      </c>
      <c r="C757" s="68" t="s">
        <v>605</v>
      </c>
      <c r="D757" s="68" t="s">
        <v>367</v>
      </c>
      <c r="E757" s="23">
        <f t="shared" ca="1" si="76"/>
        <v>40951</v>
      </c>
      <c r="F757" s="16">
        <f>DATE(96,8,20)</f>
        <v>35297</v>
      </c>
      <c r="G757" s="17">
        <f t="shared" ca="1" si="72"/>
        <v>16</v>
      </c>
      <c r="H757" s="17">
        <f t="shared" ca="1" si="73"/>
        <v>-6</v>
      </c>
      <c r="I757" s="18">
        <f t="shared" ca="1" si="74"/>
        <v>-8</v>
      </c>
      <c r="J757" s="19">
        <f t="shared" ca="1" si="71"/>
        <v>15</v>
      </c>
      <c r="K757" s="17" t="s">
        <v>40</v>
      </c>
      <c r="L757" s="20">
        <v>60</v>
      </c>
      <c r="M757" s="26" t="s">
        <v>44</v>
      </c>
      <c r="N757">
        <v>162</v>
      </c>
    </row>
    <row r="758" spans="1:14">
      <c r="A758" s="25">
        <f t="shared" si="75"/>
        <v>756</v>
      </c>
      <c r="B758" s="67" t="s">
        <v>8</v>
      </c>
      <c r="C758" s="67" t="s">
        <v>367</v>
      </c>
      <c r="D758" s="67" t="s">
        <v>606</v>
      </c>
      <c r="E758" s="22">
        <f t="shared" ca="1" si="76"/>
        <v>40951</v>
      </c>
      <c r="F758" s="32"/>
      <c r="G758" s="12">
        <f t="shared" ca="1" si="72"/>
        <v>112</v>
      </c>
      <c r="H758" s="12">
        <f t="shared" ca="1" si="73"/>
        <v>1</v>
      </c>
      <c r="I758" s="13">
        <f t="shared" ca="1" si="74"/>
        <v>12</v>
      </c>
      <c r="J758" s="14">
        <f t="shared" ca="1" si="71"/>
        <v>112</v>
      </c>
      <c r="K758" s="12" t="s">
        <v>40</v>
      </c>
      <c r="L758" s="15">
        <v>60</v>
      </c>
      <c r="M758" s="25" t="s">
        <v>40</v>
      </c>
      <c r="N758">
        <v>163</v>
      </c>
    </row>
    <row r="759" spans="1:14">
      <c r="A759" s="25">
        <f t="shared" si="75"/>
        <v>757</v>
      </c>
      <c r="B759" s="67" t="s">
        <v>8</v>
      </c>
      <c r="C759" s="67" t="s">
        <v>607</v>
      </c>
      <c r="D759" s="67" t="s">
        <v>367</v>
      </c>
      <c r="E759" s="22">
        <f t="shared" ca="1" si="76"/>
        <v>40951</v>
      </c>
      <c r="F759" s="32"/>
      <c r="G759" s="12">
        <f t="shared" ca="1" si="72"/>
        <v>112</v>
      </c>
      <c r="H759" s="12">
        <f t="shared" ca="1" si="73"/>
        <v>1</v>
      </c>
      <c r="I759" s="13">
        <f t="shared" ca="1" si="74"/>
        <v>12</v>
      </c>
      <c r="J759" s="14">
        <f t="shared" ca="1" si="71"/>
        <v>112</v>
      </c>
      <c r="K759" s="12" t="s">
        <v>41</v>
      </c>
      <c r="L759" s="15">
        <v>60</v>
      </c>
      <c r="M759" s="25" t="s">
        <v>40</v>
      </c>
      <c r="N759">
        <v>163</v>
      </c>
    </row>
    <row r="760" spans="1:14" ht="15.75" thickBot="1">
      <c r="A760" s="26">
        <f t="shared" si="75"/>
        <v>758</v>
      </c>
      <c r="B760" s="67" t="s">
        <v>8</v>
      </c>
      <c r="C760" s="68" t="s">
        <v>608</v>
      </c>
      <c r="D760" s="68" t="s">
        <v>367</v>
      </c>
      <c r="E760" s="23">
        <f t="shared" ca="1" si="76"/>
        <v>40951</v>
      </c>
      <c r="F760" s="33"/>
      <c r="G760" s="17">
        <f t="shared" ca="1" si="72"/>
        <v>112</v>
      </c>
      <c r="H760" s="17">
        <f t="shared" ca="1" si="73"/>
        <v>1</v>
      </c>
      <c r="I760" s="18">
        <f t="shared" ca="1" si="74"/>
        <v>12</v>
      </c>
      <c r="J760" s="19">
        <f t="shared" ca="1" si="71"/>
        <v>112</v>
      </c>
      <c r="K760" s="17" t="s">
        <v>40</v>
      </c>
      <c r="L760" s="20">
        <v>60</v>
      </c>
      <c r="M760" s="26" t="s">
        <v>44</v>
      </c>
      <c r="N760">
        <v>163</v>
      </c>
    </row>
    <row r="761" spans="1:14">
      <c r="A761" s="24">
        <f t="shared" si="75"/>
        <v>759</v>
      </c>
      <c r="B761" s="66" t="s">
        <v>8</v>
      </c>
      <c r="C761" s="66" t="s">
        <v>235</v>
      </c>
      <c r="D761" s="66" t="s">
        <v>546</v>
      </c>
      <c r="E761" s="21">
        <f t="shared" ca="1" si="76"/>
        <v>40951</v>
      </c>
      <c r="F761" s="6">
        <f>DATE(53,6,26)</f>
        <v>19536</v>
      </c>
      <c r="G761" s="7">
        <f t="shared" ca="1" si="72"/>
        <v>59</v>
      </c>
      <c r="H761" s="7">
        <f t="shared" ca="1" si="73"/>
        <v>-4</v>
      </c>
      <c r="I761" s="8">
        <f t="shared" ca="1" si="74"/>
        <v>-14</v>
      </c>
      <c r="J761" s="9">
        <f t="shared" ca="1" si="71"/>
        <v>58</v>
      </c>
      <c r="K761" s="7" t="s">
        <v>40</v>
      </c>
      <c r="L761" s="7">
        <v>61</v>
      </c>
      <c r="M761" s="24" t="s">
        <v>40</v>
      </c>
      <c r="N761">
        <v>164</v>
      </c>
    </row>
    <row r="762" spans="1:14">
      <c r="A762" s="25">
        <f t="shared" si="75"/>
        <v>760</v>
      </c>
      <c r="B762" s="67" t="s">
        <v>8</v>
      </c>
      <c r="C762" s="67" t="s">
        <v>609</v>
      </c>
      <c r="D762" s="67" t="s">
        <v>235</v>
      </c>
      <c r="E762" s="22">
        <f t="shared" ca="1" si="76"/>
        <v>40951</v>
      </c>
      <c r="F762" s="11">
        <f>DATE(54,5,19)</f>
        <v>19863</v>
      </c>
      <c r="G762" s="12">
        <f t="shared" ca="1" si="72"/>
        <v>58</v>
      </c>
      <c r="H762" s="12">
        <f t="shared" ca="1" si="73"/>
        <v>-3</v>
      </c>
      <c r="I762" s="13">
        <f t="shared" ca="1" si="74"/>
        <v>-7</v>
      </c>
      <c r="J762" s="14">
        <f t="shared" ca="1" si="71"/>
        <v>57</v>
      </c>
      <c r="K762" s="12" t="s">
        <v>41</v>
      </c>
      <c r="L762" s="12">
        <v>61</v>
      </c>
      <c r="M762" s="25" t="s">
        <v>40</v>
      </c>
      <c r="N762">
        <v>164</v>
      </c>
    </row>
    <row r="763" spans="1:14" ht="15.75" thickBot="1">
      <c r="A763" s="26">
        <f t="shared" si="75"/>
        <v>761</v>
      </c>
      <c r="B763" s="67" t="s">
        <v>8</v>
      </c>
      <c r="C763" s="68" t="s">
        <v>183</v>
      </c>
      <c r="D763" s="68" t="s">
        <v>235</v>
      </c>
      <c r="E763" s="23">
        <f t="shared" ca="1" si="76"/>
        <v>40951</v>
      </c>
      <c r="F763" s="16">
        <f>DATE(81,5,17)</f>
        <v>29723</v>
      </c>
      <c r="G763" s="17">
        <f t="shared" ca="1" si="72"/>
        <v>31</v>
      </c>
      <c r="H763" s="17">
        <f t="shared" ca="1" si="73"/>
        <v>-3</v>
      </c>
      <c r="I763" s="18">
        <f t="shared" ca="1" si="74"/>
        <v>-5</v>
      </c>
      <c r="J763" s="19">
        <f t="shared" ca="1" si="71"/>
        <v>30</v>
      </c>
      <c r="K763" s="17" t="s">
        <v>40</v>
      </c>
      <c r="L763" s="17">
        <v>61</v>
      </c>
      <c r="M763" s="26" t="s">
        <v>44</v>
      </c>
      <c r="N763">
        <v>164</v>
      </c>
    </row>
    <row r="764" spans="1:14">
      <c r="A764" s="24">
        <f t="shared" si="75"/>
        <v>762</v>
      </c>
      <c r="B764" s="66" t="s">
        <v>8</v>
      </c>
      <c r="C764" s="66" t="s">
        <v>610</v>
      </c>
      <c r="D764" s="66" t="s">
        <v>267</v>
      </c>
      <c r="E764" s="21">
        <f t="shared" ca="1" si="76"/>
        <v>40951</v>
      </c>
      <c r="F764" s="6">
        <f>DATE(57,9,15)</f>
        <v>21078</v>
      </c>
      <c r="G764" s="7">
        <f t="shared" ca="1" si="72"/>
        <v>55</v>
      </c>
      <c r="H764" s="7">
        <f t="shared" ca="1" si="73"/>
        <v>-7</v>
      </c>
      <c r="I764" s="8">
        <f t="shared" ca="1" si="74"/>
        <v>-3</v>
      </c>
      <c r="J764" s="9">
        <f t="shared" ca="1" si="71"/>
        <v>54</v>
      </c>
      <c r="K764" s="7" t="s">
        <v>40</v>
      </c>
      <c r="L764" s="7">
        <v>61</v>
      </c>
      <c r="M764" s="24" t="s">
        <v>40</v>
      </c>
      <c r="N764">
        <v>165</v>
      </c>
    </row>
    <row r="765" spans="1:14">
      <c r="A765" s="25">
        <f t="shared" si="75"/>
        <v>763</v>
      </c>
      <c r="B765" s="67" t="s">
        <v>8</v>
      </c>
      <c r="C765" s="67" t="s">
        <v>611</v>
      </c>
      <c r="D765" s="67" t="s">
        <v>610</v>
      </c>
      <c r="E765" s="22">
        <f t="shared" ca="1" si="76"/>
        <v>40951</v>
      </c>
      <c r="F765" s="11">
        <f>DATE(62,12,10)</f>
        <v>22990</v>
      </c>
      <c r="G765" s="12">
        <f t="shared" ca="1" si="72"/>
        <v>50</v>
      </c>
      <c r="H765" s="12">
        <f t="shared" ca="1" si="73"/>
        <v>-10</v>
      </c>
      <c r="I765" s="13">
        <f t="shared" ca="1" si="74"/>
        <v>2</v>
      </c>
      <c r="J765" s="14">
        <f t="shared" ca="1" si="71"/>
        <v>49</v>
      </c>
      <c r="K765" s="12" t="s">
        <v>41</v>
      </c>
      <c r="L765" s="12">
        <v>61</v>
      </c>
      <c r="M765" s="25" t="s">
        <v>40</v>
      </c>
      <c r="N765">
        <v>165</v>
      </c>
    </row>
    <row r="766" spans="1:14">
      <c r="A766" s="25">
        <f t="shared" si="75"/>
        <v>764</v>
      </c>
      <c r="B766" s="67" t="s">
        <v>8</v>
      </c>
      <c r="C766" s="67" t="s">
        <v>612</v>
      </c>
      <c r="D766" s="67" t="s">
        <v>610</v>
      </c>
      <c r="E766" s="22">
        <f t="shared" ca="1" si="76"/>
        <v>40951</v>
      </c>
      <c r="F766" s="11">
        <f>DATE(84,8,11)</f>
        <v>30905</v>
      </c>
      <c r="G766" s="12">
        <f t="shared" ca="1" si="72"/>
        <v>28</v>
      </c>
      <c r="H766" s="12">
        <f t="shared" ca="1" si="73"/>
        <v>-6</v>
      </c>
      <c r="I766" s="13">
        <f t="shared" ca="1" si="74"/>
        <v>1</v>
      </c>
      <c r="J766" s="14">
        <f t="shared" ca="1" si="71"/>
        <v>27</v>
      </c>
      <c r="K766" s="12" t="s">
        <v>40</v>
      </c>
      <c r="L766" s="12">
        <v>61</v>
      </c>
      <c r="M766" s="25" t="s">
        <v>44</v>
      </c>
      <c r="N766">
        <v>165</v>
      </c>
    </row>
    <row r="767" spans="1:14" ht="15.75" thickBot="1">
      <c r="A767" s="26">
        <f t="shared" si="75"/>
        <v>765</v>
      </c>
      <c r="B767" s="67" t="s">
        <v>8</v>
      </c>
      <c r="C767" s="68" t="s">
        <v>613</v>
      </c>
      <c r="D767" s="68" t="s">
        <v>610</v>
      </c>
      <c r="E767" s="23">
        <f t="shared" ca="1" si="76"/>
        <v>40951</v>
      </c>
      <c r="F767" s="16">
        <f>DATE(89,9,29)</f>
        <v>32780</v>
      </c>
      <c r="G767" s="17">
        <f t="shared" ca="1" si="72"/>
        <v>23</v>
      </c>
      <c r="H767" s="17">
        <f t="shared" ca="1" si="73"/>
        <v>-7</v>
      </c>
      <c r="I767" s="18">
        <f t="shared" ca="1" si="74"/>
        <v>-17</v>
      </c>
      <c r="J767" s="19">
        <f t="shared" ca="1" si="71"/>
        <v>22</v>
      </c>
      <c r="K767" s="17" t="s">
        <v>41</v>
      </c>
      <c r="L767" s="17">
        <v>61</v>
      </c>
      <c r="M767" s="26" t="s">
        <v>44</v>
      </c>
      <c r="N767">
        <v>165</v>
      </c>
    </row>
    <row r="768" spans="1:14">
      <c r="A768" s="25">
        <f t="shared" si="75"/>
        <v>766</v>
      </c>
      <c r="B768" s="67" t="s">
        <v>8</v>
      </c>
      <c r="C768" s="67" t="s">
        <v>157</v>
      </c>
      <c r="D768" s="67" t="s">
        <v>198</v>
      </c>
      <c r="E768" s="22">
        <f t="shared" ca="1" si="76"/>
        <v>40951</v>
      </c>
      <c r="F768" s="11">
        <f>DATE(59,1,6)</f>
        <v>21556</v>
      </c>
      <c r="G768" s="12">
        <f t="shared" ca="1" si="72"/>
        <v>53</v>
      </c>
      <c r="H768" s="12">
        <f t="shared" ca="1" si="73"/>
        <v>1</v>
      </c>
      <c r="I768" s="13">
        <f t="shared" ca="1" si="74"/>
        <v>6</v>
      </c>
      <c r="J768" s="14">
        <f t="shared" ca="1" si="71"/>
        <v>53</v>
      </c>
      <c r="K768" s="12" t="s">
        <v>40</v>
      </c>
      <c r="L768" s="12">
        <v>61</v>
      </c>
      <c r="M768" s="25" t="s">
        <v>40</v>
      </c>
      <c r="N768">
        <v>166</v>
      </c>
    </row>
    <row r="769" spans="1:14">
      <c r="A769" s="25">
        <f t="shared" si="75"/>
        <v>767</v>
      </c>
      <c r="B769" s="67" t="s">
        <v>8</v>
      </c>
      <c r="C769" s="67" t="s">
        <v>614</v>
      </c>
      <c r="D769" s="67" t="s">
        <v>157</v>
      </c>
      <c r="E769" s="22">
        <f t="shared" ca="1" si="76"/>
        <v>40951</v>
      </c>
      <c r="F769" s="11">
        <f>DATE(65,7,7)</f>
        <v>23930</v>
      </c>
      <c r="G769" s="12">
        <f t="shared" ca="1" si="72"/>
        <v>47</v>
      </c>
      <c r="H769" s="12">
        <f t="shared" ca="1" si="73"/>
        <v>-5</v>
      </c>
      <c r="I769" s="13">
        <f t="shared" ca="1" si="74"/>
        <v>5</v>
      </c>
      <c r="J769" s="14">
        <f t="shared" ca="1" si="71"/>
        <v>46</v>
      </c>
      <c r="K769" s="12" t="s">
        <v>41</v>
      </c>
      <c r="L769" s="12">
        <v>61</v>
      </c>
      <c r="M769" s="25" t="s">
        <v>40</v>
      </c>
      <c r="N769">
        <v>166</v>
      </c>
    </row>
    <row r="770" spans="1:14">
      <c r="A770" s="25">
        <f t="shared" si="75"/>
        <v>768</v>
      </c>
      <c r="B770" s="67" t="s">
        <v>8</v>
      </c>
      <c r="C770" s="67" t="s">
        <v>615</v>
      </c>
      <c r="D770" s="67" t="s">
        <v>198</v>
      </c>
      <c r="E770" s="22">
        <f t="shared" ca="1" si="76"/>
        <v>40951</v>
      </c>
      <c r="F770" s="11">
        <f>DATE(56,9,5)</f>
        <v>20703</v>
      </c>
      <c r="G770" s="12">
        <f t="shared" ca="1" si="72"/>
        <v>56</v>
      </c>
      <c r="H770" s="12">
        <f t="shared" ca="1" si="73"/>
        <v>-7</v>
      </c>
      <c r="I770" s="13">
        <f t="shared" ca="1" si="74"/>
        <v>7</v>
      </c>
      <c r="J770" s="14">
        <f t="shared" ca="1" si="71"/>
        <v>55</v>
      </c>
      <c r="K770" s="12" t="s">
        <v>41</v>
      </c>
      <c r="L770" s="12">
        <v>61</v>
      </c>
      <c r="M770" s="25" t="s">
        <v>44</v>
      </c>
      <c r="N770">
        <v>166</v>
      </c>
    </row>
    <row r="771" spans="1:14" ht="15.75" thickBot="1">
      <c r="A771" s="26">
        <f t="shared" si="75"/>
        <v>769</v>
      </c>
      <c r="B771" s="67" t="s">
        <v>8</v>
      </c>
      <c r="C771" s="68" t="s">
        <v>616</v>
      </c>
      <c r="D771" s="68" t="s">
        <v>157</v>
      </c>
      <c r="E771" s="23">
        <f t="shared" ca="1" si="76"/>
        <v>40951</v>
      </c>
      <c r="F771" s="16">
        <f>DATE(85,11,4)</f>
        <v>31355</v>
      </c>
      <c r="G771" s="17">
        <f t="shared" ca="1" si="72"/>
        <v>27</v>
      </c>
      <c r="H771" s="17">
        <f t="shared" ca="1" si="73"/>
        <v>-9</v>
      </c>
      <c r="I771" s="18">
        <f t="shared" ca="1" si="74"/>
        <v>8</v>
      </c>
      <c r="J771" s="19">
        <f t="shared" ref="J771:J834" ca="1" si="77">IF(H771&lt;0,G771-1,IF(H771&gt;0,G771,IF(I771&lt;0,G771-1,G771)))</f>
        <v>26</v>
      </c>
      <c r="K771" s="17" t="s">
        <v>41</v>
      </c>
      <c r="L771" s="20">
        <v>61</v>
      </c>
      <c r="M771" s="26" t="s">
        <v>44</v>
      </c>
      <c r="N771">
        <v>166</v>
      </c>
    </row>
    <row r="772" spans="1:14">
      <c r="A772" s="24">
        <f t="shared" si="75"/>
        <v>770</v>
      </c>
      <c r="B772" s="66" t="s">
        <v>8</v>
      </c>
      <c r="C772" s="66" t="s">
        <v>617</v>
      </c>
      <c r="D772" s="66" t="s">
        <v>77</v>
      </c>
      <c r="E772" s="21">
        <f t="shared" ca="1" si="76"/>
        <v>40951</v>
      </c>
      <c r="F772" s="6">
        <f>DATE(42,3,6)</f>
        <v>15406</v>
      </c>
      <c r="G772" s="7">
        <f t="shared" ca="1" si="72"/>
        <v>70</v>
      </c>
      <c r="H772" s="7">
        <f t="shared" ca="1" si="73"/>
        <v>-1</v>
      </c>
      <c r="I772" s="8">
        <f t="shared" ca="1" si="74"/>
        <v>6</v>
      </c>
      <c r="J772" s="9">
        <f t="shared" ca="1" si="77"/>
        <v>69</v>
      </c>
      <c r="K772" s="7" t="s">
        <v>40</v>
      </c>
      <c r="L772" s="10">
        <v>62</v>
      </c>
      <c r="M772" s="24" t="s">
        <v>40</v>
      </c>
      <c r="N772">
        <v>167</v>
      </c>
    </row>
    <row r="773" spans="1:14">
      <c r="A773" s="25">
        <f t="shared" si="75"/>
        <v>771</v>
      </c>
      <c r="B773" s="67" t="s">
        <v>8</v>
      </c>
      <c r="C773" s="67" t="s">
        <v>615</v>
      </c>
      <c r="D773" s="67" t="s">
        <v>77</v>
      </c>
      <c r="E773" s="22">
        <f t="shared" ca="1" si="76"/>
        <v>40951</v>
      </c>
      <c r="F773" s="11">
        <f>DATE(22,6,25)</f>
        <v>8212</v>
      </c>
      <c r="G773" s="12">
        <f t="shared" ca="1" si="72"/>
        <v>90</v>
      </c>
      <c r="H773" s="12">
        <f t="shared" ca="1" si="73"/>
        <v>-4</v>
      </c>
      <c r="I773" s="13">
        <f t="shared" ca="1" si="74"/>
        <v>-13</v>
      </c>
      <c r="J773" s="14">
        <f t="shared" ca="1" si="77"/>
        <v>89</v>
      </c>
      <c r="K773" s="12" t="s">
        <v>41</v>
      </c>
      <c r="L773" s="15">
        <v>62</v>
      </c>
      <c r="M773" s="25" t="s">
        <v>40</v>
      </c>
      <c r="N773">
        <v>167</v>
      </c>
    </row>
    <row r="774" spans="1:14">
      <c r="A774" s="25">
        <f t="shared" si="75"/>
        <v>772</v>
      </c>
      <c r="B774" s="67" t="s">
        <v>8</v>
      </c>
      <c r="C774" s="67" t="s">
        <v>57</v>
      </c>
      <c r="D774" s="67" t="s">
        <v>617</v>
      </c>
      <c r="E774" s="22">
        <f t="shared" ca="1" si="76"/>
        <v>40951</v>
      </c>
      <c r="F774" s="11">
        <f>DATE(48,4,1)</f>
        <v>17624</v>
      </c>
      <c r="G774" s="12">
        <f t="shared" ca="1" si="72"/>
        <v>64</v>
      </c>
      <c r="H774" s="12">
        <f t="shared" ca="1" si="73"/>
        <v>-2</v>
      </c>
      <c r="I774" s="13">
        <f t="shared" ca="1" si="74"/>
        <v>11</v>
      </c>
      <c r="J774" s="14">
        <f t="shared" ca="1" si="77"/>
        <v>63</v>
      </c>
      <c r="K774" s="12" t="s">
        <v>41</v>
      </c>
      <c r="L774" s="15">
        <v>62</v>
      </c>
      <c r="M774" s="25" t="s">
        <v>40</v>
      </c>
      <c r="N774">
        <v>167</v>
      </c>
    </row>
    <row r="775" spans="1:14">
      <c r="A775" s="25">
        <f t="shared" si="75"/>
        <v>773</v>
      </c>
      <c r="B775" s="67" t="s">
        <v>8</v>
      </c>
      <c r="C775" s="67" t="s">
        <v>618</v>
      </c>
      <c r="D775" s="67" t="s">
        <v>617</v>
      </c>
      <c r="E775" s="22">
        <f t="shared" ca="1" si="76"/>
        <v>40951</v>
      </c>
      <c r="F775" s="11">
        <f>DATE(74,8,16)</f>
        <v>27257</v>
      </c>
      <c r="G775" s="12">
        <f t="shared" ca="1" si="72"/>
        <v>38</v>
      </c>
      <c r="H775" s="12">
        <f t="shared" ca="1" si="73"/>
        <v>-6</v>
      </c>
      <c r="I775" s="13">
        <f t="shared" ca="1" si="74"/>
        <v>-4</v>
      </c>
      <c r="J775" s="14">
        <f t="shared" ca="1" si="77"/>
        <v>37</v>
      </c>
      <c r="K775" s="12" t="s">
        <v>40</v>
      </c>
      <c r="L775" s="15">
        <v>62</v>
      </c>
      <c r="M775" s="25" t="s">
        <v>40</v>
      </c>
      <c r="N775">
        <v>167</v>
      </c>
    </row>
    <row r="776" spans="1:14">
      <c r="A776" s="25">
        <f t="shared" si="75"/>
        <v>774</v>
      </c>
      <c r="B776" s="67" t="s">
        <v>8</v>
      </c>
      <c r="C776" s="67" t="s">
        <v>619</v>
      </c>
      <c r="D776" s="67" t="s">
        <v>618</v>
      </c>
      <c r="E776" s="22">
        <f t="shared" ca="1" si="76"/>
        <v>40951</v>
      </c>
      <c r="F776" s="11">
        <f>DATE(81,7,18)</f>
        <v>29785</v>
      </c>
      <c r="G776" s="12">
        <f t="shared" ca="1" si="72"/>
        <v>31</v>
      </c>
      <c r="H776" s="12">
        <f t="shared" ca="1" si="73"/>
        <v>-5</v>
      </c>
      <c r="I776" s="13">
        <f t="shared" ca="1" si="74"/>
        <v>-6</v>
      </c>
      <c r="J776" s="14">
        <f t="shared" ca="1" si="77"/>
        <v>30</v>
      </c>
      <c r="K776" s="12" t="s">
        <v>41</v>
      </c>
      <c r="L776" s="15">
        <v>62</v>
      </c>
      <c r="M776" s="25" t="s">
        <v>40</v>
      </c>
      <c r="N776">
        <v>167</v>
      </c>
    </row>
    <row r="777" spans="1:14" ht="15.75" thickBot="1">
      <c r="A777" s="26">
        <f t="shared" si="75"/>
        <v>775</v>
      </c>
      <c r="B777" s="67" t="s">
        <v>8</v>
      </c>
      <c r="C777" s="68" t="s">
        <v>297</v>
      </c>
      <c r="D777" s="68" t="s">
        <v>618</v>
      </c>
      <c r="E777" s="23">
        <f t="shared" ca="1" si="76"/>
        <v>40951</v>
      </c>
      <c r="F777" s="16">
        <f>DATE(2005,10,30)</f>
        <v>38655</v>
      </c>
      <c r="G777" s="17">
        <f t="shared" ca="1" si="72"/>
        <v>7</v>
      </c>
      <c r="H777" s="17">
        <f t="shared" ca="1" si="73"/>
        <v>-8</v>
      </c>
      <c r="I777" s="18">
        <f t="shared" ca="1" si="74"/>
        <v>-18</v>
      </c>
      <c r="J777" s="19">
        <f t="shared" ca="1" si="77"/>
        <v>6</v>
      </c>
      <c r="K777" s="17" t="s">
        <v>40</v>
      </c>
      <c r="L777" s="20">
        <v>62</v>
      </c>
      <c r="M777" s="26" t="s">
        <v>44</v>
      </c>
      <c r="N777">
        <v>167</v>
      </c>
    </row>
    <row r="778" spans="1:14">
      <c r="A778" s="24">
        <f t="shared" si="75"/>
        <v>776</v>
      </c>
      <c r="B778" s="66" t="s">
        <v>8</v>
      </c>
      <c r="C778" s="66" t="s">
        <v>620</v>
      </c>
      <c r="D778" s="66" t="s">
        <v>65</v>
      </c>
      <c r="E778" s="21">
        <f t="shared" ca="1" si="76"/>
        <v>40951</v>
      </c>
      <c r="F778" s="45"/>
      <c r="G778" s="7">
        <f t="shared" ca="1" si="72"/>
        <v>112</v>
      </c>
      <c r="H778" s="7">
        <f t="shared" ca="1" si="73"/>
        <v>1</v>
      </c>
      <c r="I778" s="8">
        <f t="shared" ca="1" si="74"/>
        <v>12</v>
      </c>
      <c r="J778" s="9">
        <f t="shared" ca="1" si="77"/>
        <v>112</v>
      </c>
      <c r="K778" s="7" t="s">
        <v>41</v>
      </c>
      <c r="L778" s="10">
        <v>62</v>
      </c>
      <c r="M778" s="24" t="s">
        <v>40</v>
      </c>
      <c r="N778">
        <v>168</v>
      </c>
    </row>
    <row r="779" spans="1:14">
      <c r="A779" s="25">
        <f t="shared" si="75"/>
        <v>777</v>
      </c>
      <c r="B779" s="67" t="s">
        <v>8</v>
      </c>
      <c r="C779" s="67" t="s">
        <v>621</v>
      </c>
      <c r="D779" s="67" t="s">
        <v>65</v>
      </c>
      <c r="E779" s="22">
        <f t="shared" ca="1" si="76"/>
        <v>40951</v>
      </c>
      <c r="F779" s="32"/>
      <c r="G779" s="12">
        <f t="shared" ca="1" si="72"/>
        <v>112</v>
      </c>
      <c r="H779" s="12">
        <f t="shared" ca="1" si="73"/>
        <v>1</v>
      </c>
      <c r="I779" s="13">
        <f t="shared" ca="1" si="74"/>
        <v>12</v>
      </c>
      <c r="J779" s="14">
        <f t="shared" ca="1" si="77"/>
        <v>112</v>
      </c>
      <c r="K779" s="12" t="s">
        <v>41</v>
      </c>
      <c r="L779" s="15">
        <v>62</v>
      </c>
      <c r="M779" s="25" t="s">
        <v>44</v>
      </c>
      <c r="N779">
        <v>168</v>
      </c>
    </row>
    <row r="780" spans="1:14">
      <c r="A780" s="25">
        <f t="shared" si="75"/>
        <v>778</v>
      </c>
      <c r="B780" s="67" t="s">
        <v>8</v>
      </c>
      <c r="C780" s="67" t="s">
        <v>622</v>
      </c>
      <c r="D780" s="67" t="s">
        <v>65</v>
      </c>
      <c r="E780" s="22">
        <f t="shared" ca="1" si="76"/>
        <v>40951</v>
      </c>
      <c r="F780" s="32"/>
      <c r="G780" s="12">
        <f t="shared" ca="1" si="72"/>
        <v>112</v>
      </c>
      <c r="H780" s="12">
        <f t="shared" ca="1" si="73"/>
        <v>1</v>
      </c>
      <c r="I780" s="13">
        <f t="shared" ca="1" si="74"/>
        <v>12</v>
      </c>
      <c r="J780" s="14">
        <f t="shared" ca="1" si="77"/>
        <v>112</v>
      </c>
      <c r="K780" s="12" t="s">
        <v>41</v>
      </c>
      <c r="L780" s="15">
        <v>62</v>
      </c>
      <c r="M780" s="25" t="s">
        <v>44</v>
      </c>
      <c r="N780">
        <v>168</v>
      </c>
    </row>
    <row r="781" spans="1:14" ht="15.75" thickBot="1">
      <c r="A781" s="26">
        <f t="shared" si="75"/>
        <v>779</v>
      </c>
      <c r="B781" s="67" t="s">
        <v>8</v>
      </c>
      <c r="C781" s="68" t="s">
        <v>74</v>
      </c>
      <c r="D781" s="68"/>
      <c r="E781" s="23">
        <f t="shared" ca="1" si="76"/>
        <v>40951</v>
      </c>
      <c r="F781" s="16">
        <f>DATE(81,6,29)</f>
        <v>29766</v>
      </c>
      <c r="G781" s="17">
        <f t="shared" ca="1" si="72"/>
        <v>31</v>
      </c>
      <c r="H781" s="17">
        <f t="shared" ca="1" si="73"/>
        <v>-4</v>
      </c>
      <c r="I781" s="18">
        <f t="shared" ca="1" si="74"/>
        <v>-17</v>
      </c>
      <c r="J781" s="19">
        <f t="shared" ca="1" si="77"/>
        <v>30</v>
      </c>
      <c r="K781" s="17" t="s">
        <v>41</v>
      </c>
      <c r="L781" s="20">
        <v>62</v>
      </c>
      <c r="M781" s="26" t="s">
        <v>44</v>
      </c>
      <c r="N781">
        <v>168</v>
      </c>
    </row>
    <row r="782" spans="1:14">
      <c r="A782" s="24">
        <f t="shared" si="75"/>
        <v>780</v>
      </c>
      <c r="B782" s="66" t="s">
        <v>8</v>
      </c>
      <c r="C782" s="66" t="s">
        <v>623</v>
      </c>
      <c r="D782" s="66" t="s">
        <v>624</v>
      </c>
      <c r="E782" s="21">
        <f t="shared" ca="1" si="76"/>
        <v>40951</v>
      </c>
      <c r="F782" s="6">
        <f>DATE(39,11,6)</f>
        <v>14555</v>
      </c>
      <c r="G782" s="7">
        <f t="shared" ca="1" si="72"/>
        <v>73</v>
      </c>
      <c r="H782" s="7">
        <f t="shared" ca="1" si="73"/>
        <v>-9</v>
      </c>
      <c r="I782" s="8">
        <f t="shared" ca="1" si="74"/>
        <v>6</v>
      </c>
      <c r="J782" s="9">
        <f t="shared" ca="1" si="77"/>
        <v>72</v>
      </c>
      <c r="K782" s="7" t="s">
        <v>40</v>
      </c>
      <c r="L782" s="10">
        <v>62</v>
      </c>
      <c r="M782" s="24" t="s">
        <v>40</v>
      </c>
      <c r="N782">
        <v>169</v>
      </c>
    </row>
    <row r="783" spans="1:14" ht="15.75" thickBot="1">
      <c r="A783" s="26">
        <f t="shared" si="75"/>
        <v>781</v>
      </c>
      <c r="B783" s="67" t="s">
        <v>8</v>
      </c>
      <c r="C783" s="68" t="s">
        <v>625</v>
      </c>
      <c r="D783" s="68" t="s">
        <v>623</v>
      </c>
      <c r="E783" s="23">
        <f t="shared" ca="1" si="76"/>
        <v>40951</v>
      </c>
      <c r="F783" s="16">
        <f>DATE(42,10,23)</f>
        <v>15637</v>
      </c>
      <c r="G783" s="17">
        <f t="shared" ca="1" si="72"/>
        <v>70</v>
      </c>
      <c r="H783" s="17">
        <f t="shared" ca="1" si="73"/>
        <v>-8</v>
      </c>
      <c r="I783" s="18">
        <f t="shared" ca="1" si="74"/>
        <v>-11</v>
      </c>
      <c r="J783" s="19">
        <f t="shared" ca="1" si="77"/>
        <v>69</v>
      </c>
      <c r="K783" s="17" t="s">
        <v>41</v>
      </c>
      <c r="L783" s="20">
        <v>62</v>
      </c>
      <c r="M783" s="26" t="s">
        <v>40</v>
      </c>
      <c r="N783">
        <v>169</v>
      </c>
    </row>
    <row r="784" spans="1:14">
      <c r="A784" s="24">
        <f t="shared" si="75"/>
        <v>782</v>
      </c>
      <c r="B784" s="66" t="s">
        <v>8</v>
      </c>
      <c r="C784" s="66" t="s">
        <v>623</v>
      </c>
      <c r="D784" s="66" t="s">
        <v>573</v>
      </c>
      <c r="E784" s="21">
        <f t="shared" ca="1" si="76"/>
        <v>40951</v>
      </c>
      <c r="F784" s="6">
        <f>DATE(40,7,27)</f>
        <v>14819</v>
      </c>
      <c r="G784" s="7">
        <f t="shared" ca="1" si="72"/>
        <v>72</v>
      </c>
      <c r="H784" s="7">
        <f t="shared" ca="1" si="73"/>
        <v>-5</v>
      </c>
      <c r="I784" s="8">
        <f t="shared" ca="1" si="74"/>
        <v>-15</v>
      </c>
      <c r="J784" s="9">
        <f t="shared" ca="1" si="77"/>
        <v>71</v>
      </c>
      <c r="K784" s="7" t="s">
        <v>40</v>
      </c>
      <c r="L784" s="10">
        <v>62</v>
      </c>
      <c r="M784" s="24" t="s">
        <v>40</v>
      </c>
      <c r="N784">
        <v>170</v>
      </c>
    </row>
    <row r="785" spans="1:14">
      <c r="A785" s="25">
        <f t="shared" si="75"/>
        <v>783</v>
      </c>
      <c r="B785" s="67" t="s">
        <v>8</v>
      </c>
      <c r="C785" s="67" t="s">
        <v>626</v>
      </c>
      <c r="D785" s="67" t="s">
        <v>623</v>
      </c>
      <c r="E785" s="22">
        <f t="shared" ca="1" si="76"/>
        <v>40951</v>
      </c>
      <c r="F785" s="11">
        <f>DATE(43,6,13)</f>
        <v>15870</v>
      </c>
      <c r="G785" s="12">
        <f t="shared" ca="1" si="72"/>
        <v>69</v>
      </c>
      <c r="H785" s="12">
        <f t="shared" ca="1" si="73"/>
        <v>-4</v>
      </c>
      <c r="I785" s="13">
        <f t="shared" ca="1" si="74"/>
        <v>-1</v>
      </c>
      <c r="J785" s="14">
        <f t="shared" ca="1" si="77"/>
        <v>68</v>
      </c>
      <c r="K785" s="12" t="s">
        <v>41</v>
      </c>
      <c r="L785" s="15">
        <v>62</v>
      </c>
      <c r="M785" s="25" t="s">
        <v>40</v>
      </c>
      <c r="N785">
        <v>170</v>
      </c>
    </row>
    <row r="786" spans="1:14">
      <c r="A786" s="25">
        <f t="shared" si="75"/>
        <v>784</v>
      </c>
      <c r="B786" s="67" t="s">
        <v>8</v>
      </c>
      <c r="C786" s="67" t="s">
        <v>627</v>
      </c>
      <c r="D786" s="67" t="s">
        <v>623</v>
      </c>
      <c r="E786" s="22">
        <f t="shared" ca="1" si="76"/>
        <v>40951</v>
      </c>
      <c r="F786" s="11">
        <f>DATE(77,8,7)</f>
        <v>28344</v>
      </c>
      <c r="G786" s="12">
        <f t="shared" ca="1" si="72"/>
        <v>35</v>
      </c>
      <c r="H786" s="12">
        <f t="shared" ca="1" si="73"/>
        <v>-6</v>
      </c>
      <c r="I786" s="13">
        <f t="shared" ca="1" si="74"/>
        <v>5</v>
      </c>
      <c r="J786" s="14">
        <f t="shared" ca="1" si="77"/>
        <v>34</v>
      </c>
      <c r="K786" s="12" t="s">
        <v>40</v>
      </c>
      <c r="L786" s="15">
        <v>62</v>
      </c>
      <c r="M786" s="25" t="s">
        <v>40</v>
      </c>
      <c r="N786">
        <v>170</v>
      </c>
    </row>
    <row r="787" spans="1:14" ht="15.75" thickBot="1">
      <c r="A787" s="26">
        <f t="shared" si="75"/>
        <v>785</v>
      </c>
      <c r="B787" s="67" t="s">
        <v>8</v>
      </c>
      <c r="C787" s="68" t="s">
        <v>628</v>
      </c>
      <c r="D787" s="68" t="s">
        <v>627</v>
      </c>
      <c r="E787" s="23">
        <f t="shared" ca="1" si="76"/>
        <v>40951</v>
      </c>
      <c r="F787" s="16">
        <f>DATE(81,3,10)</f>
        <v>29655</v>
      </c>
      <c r="G787" s="17">
        <f t="shared" ca="1" si="72"/>
        <v>31</v>
      </c>
      <c r="H787" s="17">
        <f t="shared" ca="1" si="73"/>
        <v>-1</v>
      </c>
      <c r="I787" s="18">
        <f t="shared" ca="1" si="74"/>
        <v>2</v>
      </c>
      <c r="J787" s="19">
        <f t="shared" ca="1" si="77"/>
        <v>30</v>
      </c>
      <c r="K787" s="17" t="s">
        <v>41</v>
      </c>
      <c r="L787" s="20">
        <v>62</v>
      </c>
      <c r="M787" s="26" t="s">
        <v>40</v>
      </c>
      <c r="N787">
        <v>170</v>
      </c>
    </row>
    <row r="788" spans="1:14">
      <c r="A788" s="24">
        <f t="shared" si="75"/>
        <v>786</v>
      </c>
      <c r="B788" s="66" t="s">
        <v>8</v>
      </c>
      <c r="C788" s="66" t="s">
        <v>90</v>
      </c>
      <c r="D788" s="66" t="s">
        <v>372</v>
      </c>
      <c r="E788" s="21">
        <f t="shared" ca="1" si="76"/>
        <v>40951</v>
      </c>
      <c r="F788" s="6">
        <f>DATE(49,8,10)</f>
        <v>18120</v>
      </c>
      <c r="G788" s="7">
        <f t="shared" ca="1" si="72"/>
        <v>63</v>
      </c>
      <c r="H788" s="7">
        <f t="shared" ca="1" si="73"/>
        <v>-6</v>
      </c>
      <c r="I788" s="8">
        <f t="shared" ca="1" si="74"/>
        <v>2</v>
      </c>
      <c r="J788" s="9">
        <f t="shared" ca="1" si="77"/>
        <v>62</v>
      </c>
      <c r="K788" s="7" t="s">
        <v>40</v>
      </c>
      <c r="L788" s="10">
        <v>63</v>
      </c>
      <c r="M788" s="24" t="s">
        <v>40</v>
      </c>
      <c r="N788">
        <v>171</v>
      </c>
    </row>
    <row r="789" spans="1:14">
      <c r="A789" s="25">
        <f t="shared" si="75"/>
        <v>787</v>
      </c>
      <c r="B789" s="67" t="s">
        <v>8</v>
      </c>
      <c r="C789" s="67" t="s">
        <v>188</v>
      </c>
      <c r="D789" s="67" t="s">
        <v>90</v>
      </c>
      <c r="E789" s="22">
        <f t="shared" ca="1" si="76"/>
        <v>40951</v>
      </c>
      <c r="F789" s="11">
        <f>DATE(54,9,20)</f>
        <v>19987</v>
      </c>
      <c r="G789" s="12">
        <f t="shared" ca="1" si="72"/>
        <v>58</v>
      </c>
      <c r="H789" s="12">
        <f t="shared" ca="1" si="73"/>
        <v>-7</v>
      </c>
      <c r="I789" s="13">
        <f t="shared" ca="1" si="74"/>
        <v>-8</v>
      </c>
      <c r="J789" s="14">
        <f t="shared" ca="1" si="77"/>
        <v>57</v>
      </c>
      <c r="K789" s="12" t="s">
        <v>41</v>
      </c>
      <c r="L789" s="15">
        <v>63</v>
      </c>
      <c r="M789" s="25" t="s">
        <v>40</v>
      </c>
      <c r="N789">
        <v>171</v>
      </c>
    </row>
    <row r="790" spans="1:14">
      <c r="A790" s="25">
        <f t="shared" si="75"/>
        <v>788</v>
      </c>
      <c r="B790" s="67" t="s">
        <v>8</v>
      </c>
      <c r="C790" s="67" t="s">
        <v>629</v>
      </c>
      <c r="D790" s="67" t="s">
        <v>372</v>
      </c>
      <c r="E790" s="22">
        <f t="shared" ca="1" si="76"/>
        <v>40951</v>
      </c>
      <c r="F790" s="11">
        <f>DATE(32,9,1)</f>
        <v>11933</v>
      </c>
      <c r="G790" s="12">
        <f t="shared" ca="1" si="72"/>
        <v>80</v>
      </c>
      <c r="H790" s="12">
        <f t="shared" ca="1" si="73"/>
        <v>-7</v>
      </c>
      <c r="I790" s="13">
        <f t="shared" ca="1" si="74"/>
        <v>11</v>
      </c>
      <c r="J790" s="14">
        <f t="shared" ca="1" si="77"/>
        <v>79</v>
      </c>
      <c r="K790" s="12" t="s">
        <v>41</v>
      </c>
      <c r="L790" s="15">
        <v>63</v>
      </c>
      <c r="M790" s="25" t="s">
        <v>40</v>
      </c>
      <c r="N790">
        <v>171</v>
      </c>
    </row>
    <row r="791" spans="1:14">
      <c r="A791" s="25">
        <f t="shared" si="75"/>
        <v>789</v>
      </c>
      <c r="B791" s="67" t="s">
        <v>8</v>
      </c>
      <c r="C791" s="67" t="s">
        <v>630</v>
      </c>
      <c r="D791" s="67" t="s">
        <v>90</v>
      </c>
      <c r="E791" s="22">
        <f t="shared" ca="1" si="76"/>
        <v>40951</v>
      </c>
      <c r="F791" s="11">
        <f>DATE(77,7,26)</f>
        <v>28332</v>
      </c>
      <c r="G791" s="12">
        <f t="shared" ca="1" si="72"/>
        <v>35</v>
      </c>
      <c r="H791" s="12">
        <f t="shared" ca="1" si="73"/>
        <v>-5</v>
      </c>
      <c r="I791" s="13">
        <f t="shared" ca="1" si="74"/>
        <v>-14</v>
      </c>
      <c r="J791" s="14">
        <f t="shared" ca="1" si="77"/>
        <v>34</v>
      </c>
      <c r="K791" s="12" t="s">
        <v>40</v>
      </c>
      <c r="L791" s="15">
        <v>63</v>
      </c>
      <c r="M791" s="25" t="s">
        <v>40</v>
      </c>
      <c r="N791">
        <v>171</v>
      </c>
    </row>
    <row r="792" spans="1:14">
      <c r="A792" s="25">
        <f t="shared" si="75"/>
        <v>790</v>
      </c>
      <c r="B792" s="67" t="s">
        <v>8</v>
      </c>
      <c r="C792" s="67" t="s">
        <v>631</v>
      </c>
      <c r="D792" s="67" t="s">
        <v>630</v>
      </c>
      <c r="E792" s="22">
        <f t="shared" ca="1" si="76"/>
        <v>40951</v>
      </c>
      <c r="F792" s="11">
        <f>DATE(80,9,29)</f>
        <v>29493</v>
      </c>
      <c r="G792" s="12">
        <f t="shared" ca="1" si="72"/>
        <v>32</v>
      </c>
      <c r="H792" s="12">
        <f t="shared" ca="1" si="73"/>
        <v>-7</v>
      </c>
      <c r="I792" s="13">
        <f t="shared" ca="1" si="74"/>
        <v>-17</v>
      </c>
      <c r="J792" s="14">
        <f t="shared" ca="1" si="77"/>
        <v>31</v>
      </c>
      <c r="K792" s="12" t="s">
        <v>41</v>
      </c>
      <c r="L792" s="15">
        <v>63</v>
      </c>
      <c r="M792" s="25" t="s">
        <v>40</v>
      </c>
      <c r="N792">
        <v>171</v>
      </c>
    </row>
    <row r="793" spans="1:14">
      <c r="A793" s="25">
        <f t="shared" si="75"/>
        <v>791</v>
      </c>
      <c r="B793" s="67" t="s">
        <v>8</v>
      </c>
      <c r="C793" s="67" t="s">
        <v>632</v>
      </c>
      <c r="D793" s="67" t="s">
        <v>90</v>
      </c>
      <c r="E793" s="22">
        <f t="shared" ca="1" si="76"/>
        <v>40951</v>
      </c>
      <c r="F793" s="11">
        <f>DATE(87,5,18)</f>
        <v>31915</v>
      </c>
      <c r="G793" s="12">
        <f t="shared" ref="G793:G856" ca="1" si="78">YEAR(E793)-YEAR(F793)</f>
        <v>25</v>
      </c>
      <c r="H793" s="12">
        <f t="shared" ref="H793:H856" ca="1" si="79">MONTH(E793)-MONTH(F793)</f>
        <v>-3</v>
      </c>
      <c r="I793" s="13">
        <f t="shared" ref="I793:I856" ca="1" si="80">DAY(E793)-DAY(F793)</f>
        <v>-6</v>
      </c>
      <c r="J793" s="14">
        <f t="shared" ca="1" si="77"/>
        <v>24</v>
      </c>
      <c r="K793" s="12" t="s">
        <v>41</v>
      </c>
      <c r="L793" s="15">
        <v>63</v>
      </c>
      <c r="M793" s="25" t="s">
        <v>44</v>
      </c>
      <c r="N793">
        <v>171</v>
      </c>
    </row>
    <row r="794" spans="1:14" ht="15.75" thickBot="1">
      <c r="A794" s="26">
        <f t="shared" si="75"/>
        <v>792</v>
      </c>
      <c r="B794" s="67" t="s">
        <v>8</v>
      </c>
      <c r="C794" s="68" t="s">
        <v>633</v>
      </c>
      <c r="D794" s="68" t="s">
        <v>630</v>
      </c>
      <c r="E794" s="23">
        <f t="shared" ca="1" si="76"/>
        <v>40951</v>
      </c>
      <c r="F794" s="16">
        <f>DATE(2005,10,7)</f>
        <v>38632</v>
      </c>
      <c r="G794" s="17">
        <f t="shared" ca="1" si="78"/>
        <v>7</v>
      </c>
      <c r="H794" s="17">
        <f t="shared" ca="1" si="79"/>
        <v>-8</v>
      </c>
      <c r="I794" s="18">
        <f t="shared" ca="1" si="80"/>
        <v>5</v>
      </c>
      <c r="J794" s="19">
        <f t="shared" ca="1" si="77"/>
        <v>6</v>
      </c>
      <c r="K794" s="17" t="s">
        <v>41</v>
      </c>
      <c r="L794" s="20">
        <v>63</v>
      </c>
      <c r="M794" s="26" t="s">
        <v>44</v>
      </c>
      <c r="N794">
        <v>171</v>
      </c>
    </row>
    <row r="795" spans="1:14">
      <c r="A795" s="24">
        <f t="shared" si="75"/>
        <v>793</v>
      </c>
      <c r="B795" s="66" t="s">
        <v>8</v>
      </c>
      <c r="C795" s="66" t="s">
        <v>90</v>
      </c>
      <c r="D795" s="66" t="s">
        <v>556</v>
      </c>
      <c r="E795" s="21">
        <f t="shared" ca="1" si="76"/>
        <v>40951</v>
      </c>
      <c r="F795" s="6">
        <f>DATE(59,11,9)</f>
        <v>21863</v>
      </c>
      <c r="G795" s="7">
        <f t="shared" ca="1" si="78"/>
        <v>53</v>
      </c>
      <c r="H795" s="7">
        <f t="shared" ca="1" si="79"/>
        <v>-9</v>
      </c>
      <c r="I795" s="8">
        <f t="shared" ca="1" si="80"/>
        <v>3</v>
      </c>
      <c r="J795" s="9">
        <f t="shared" ca="1" si="77"/>
        <v>52</v>
      </c>
      <c r="K795" s="7" t="s">
        <v>40</v>
      </c>
      <c r="L795" s="10">
        <v>63</v>
      </c>
      <c r="M795" s="24" t="s">
        <v>40</v>
      </c>
      <c r="N795">
        <v>172</v>
      </c>
    </row>
    <row r="796" spans="1:14">
      <c r="A796" s="25">
        <f t="shared" si="75"/>
        <v>794</v>
      </c>
      <c r="B796" s="67" t="s">
        <v>8</v>
      </c>
      <c r="C796" s="67" t="s">
        <v>570</v>
      </c>
      <c r="D796" s="67" t="s">
        <v>90</v>
      </c>
      <c r="E796" s="22">
        <f t="shared" ca="1" si="76"/>
        <v>40951</v>
      </c>
      <c r="F796" s="11">
        <f>DATE(59,10,27)</f>
        <v>21850</v>
      </c>
      <c r="G796" s="12">
        <f t="shared" ca="1" si="78"/>
        <v>53</v>
      </c>
      <c r="H796" s="12">
        <f t="shared" ca="1" si="79"/>
        <v>-8</v>
      </c>
      <c r="I796" s="13">
        <f t="shared" ca="1" si="80"/>
        <v>-15</v>
      </c>
      <c r="J796" s="14">
        <f t="shared" ca="1" si="77"/>
        <v>52</v>
      </c>
      <c r="K796" s="12" t="s">
        <v>41</v>
      </c>
      <c r="L796" s="15">
        <v>63</v>
      </c>
      <c r="M796" s="25" t="s">
        <v>40</v>
      </c>
      <c r="N796">
        <v>172</v>
      </c>
    </row>
    <row r="797" spans="1:14">
      <c r="A797" s="25">
        <f t="shared" si="75"/>
        <v>795</v>
      </c>
      <c r="B797" s="67" t="s">
        <v>8</v>
      </c>
      <c r="C797" s="67" t="s">
        <v>634</v>
      </c>
      <c r="D797" s="67" t="s">
        <v>90</v>
      </c>
      <c r="E797" s="22">
        <f t="shared" ca="1" si="76"/>
        <v>40951</v>
      </c>
      <c r="F797" s="11">
        <f>DATE(82,7,21)</f>
        <v>30153</v>
      </c>
      <c r="G797" s="12">
        <f t="shared" ca="1" si="78"/>
        <v>30</v>
      </c>
      <c r="H797" s="12">
        <f t="shared" ca="1" si="79"/>
        <v>-5</v>
      </c>
      <c r="I797" s="13">
        <f t="shared" ca="1" si="80"/>
        <v>-9</v>
      </c>
      <c r="J797" s="14">
        <f t="shared" ca="1" si="77"/>
        <v>29</v>
      </c>
      <c r="K797" s="12" t="s">
        <v>40</v>
      </c>
      <c r="L797" s="15">
        <v>63</v>
      </c>
      <c r="M797" s="25" t="s">
        <v>44</v>
      </c>
      <c r="N797">
        <v>172</v>
      </c>
    </row>
    <row r="798" spans="1:14">
      <c r="A798" s="25">
        <f t="shared" ref="A798:A861" si="81">A797+1</f>
        <v>796</v>
      </c>
      <c r="B798" s="67" t="s">
        <v>8</v>
      </c>
      <c r="C798" s="67" t="s">
        <v>635</v>
      </c>
      <c r="D798" s="67" t="s">
        <v>90</v>
      </c>
      <c r="E798" s="22">
        <f t="shared" ca="1" si="76"/>
        <v>40951</v>
      </c>
      <c r="F798" s="11">
        <f>DATE(83,8,28)</f>
        <v>30556</v>
      </c>
      <c r="G798" s="12">
        <f t="shared" ca="1" si="78"/>
        <v>29</v>
      </c>
      <c r="H798" s="12">
        <f t="shared" ca="1" si="79"/>
        <v>-6</v>
      </c>
      <c r="I798" s="13">
        <f t="shared" ca="1" si="80"/>
        <v>-16</v>
      </c>
      <c r="J798" s="14">
        <f t="shared" ca="1" si="77"/>
        <v>28</v>
      </c>
      <c r="K798" s="12" t="s">
        <v>41</v>
      </c>
      <c r="L798" s="15">
        <v>63</v>
      </c>
      <c r="M798" s="25" t="s">
        <v>44</v>
      </c>
      <c r="N798">
        <v>172</v>
      </c>
    </row>
    <row r="799" spans="1:14">
      <c r="A799" s="25">
        <f t="shared" si="81"/>
        <v>797</v>
      </c>
      <c r="B799" s="67" t="s">
        <v>8</v>
      </c>
      <c r="C799" s="67" t="s">
        <v>290</v>
      </c>
      <c r="D799" s="67" t="s">
        <v>90</v>
      </c>
      <c r="E799" s="22">
        <f t="shared" ca="1" si="76"/>
        <v>40951</v>
      </c>
      <c r="F799" s="11">
        <f>DATE(86,3,13)</f>
        <v>31484</v>
      </c>
      <c r="G799" s="12">
        <f t="shared" ca="1" si="78"/>
        <v>26</v>
      </c>
      <c r="H799" s="12">
        <f t="shared" ca="1" si="79"/>
        <v>-1</v>
      </c>
      <c r="I799" s="13">
        <f t="shared" ca="1" si="80"/>
        <v>-1</v>
      </c>
      <c r="J799" s="14">
        <f t="shared" ca="1" si="77"/>
        <v>25</v>
      </c>
      <c r="K799" s="12" t="s">
        <v>41</v>
      </c>
      <c r="L799" s="15">
        <v>63</v>
      </c>
      <c r="M799" s="25" t="s">
        <v>44</v>
      </c>
      <c r="N799">
        <v>172</v>
      </c>
    </row>
    <row r="800" spans="1:14" ht="15.75" thickBot="1">
      <c r="A800" s="26">
        <f t="shared" si="81"/>
        <v>798</v>
      </c>
      <c r="B800" s="67" t="s">
        <v>8</v>
      </c>
      <c r="C800" s="68" t="s">
        <v>636</v>
      </c>
      <c r="D800" s="68" t="s">
        <v>90</v>
      </c>
      <c r="E800" s="23">
        <f t="shared" ca="1" si="76"/>
        <v>40951</v>
      </c>
      <c r="F800" s="16">
        <f>DATE(90,11,18)</f>
        <v>33195</v>
      </c>
      <c r="G800" s="17">
        <f t="shared" ca="1" si="78"/>
        <v>22</v>
      </c>
      <c r="H800" s="17">
        <f t="shared" ca="1" si="79"/>
        <v>-9</v>
      </c>
      <c r="I800" s="18">
        <f t="shared" ca="1" si="80"/>
        <v>-6</v>
      </c>
      <c r="J800" s="19">
        <f t="shared" ca="1" si="77"/>
        <v>21</v>
      </c>
      <c r="K800" s="17" t="s">
        <v>41</v>
      </c>
      <c r="L800" s="20">
        <v>63</v>
      </c>
      <c r="M800" s="26" t="s">
        <v>44</v>
      </c>
      <c r="N800">
        <v>172</v>
      </c>
    </row>
    <row r="801" spans="1:14">
      <c r="A801" s="24">
        <f t="shared" si="81"/>
        <v>799</v>
      </c>
      <c r="B801" s="66" t="s">
        <v>8</v>
      </c>
      <c r="C801" s="66" t="s">
        <v>359</v>
      </c>
      <c r="D801" s="66" t="s">
        <v>637</v>
      </c>
      <c r="E801" s="21">
        <f t="shared" ca="1" si="76"/>
        <v>40951</v>
      </c>
      <c r="F801" s="45"/>
      <c r="G801" s="7">
        <f t="shared" ca="1" si="78"/>
        <v>112</v>
      </c>
      <c r="H801" s="7">
        <f t="shared" ca="1" si="79"/>
        <v>1</v>
      </c>
      <c r="I801" s="8">
        <f t="shared" ca="1" si="80"/>
        <v>12</v>
      </c>
      <c r="J801" s="9">
        <f t="shared" ca="1" si="77"/>
        <v>112</v>
      </c>
      <c r="K801" s="7" t="s">
        <v>41</v>
      </c>
      <c r="L801" s="10">
        <v>63</v>
      </c>
      <c r="M801" s="24" t="s">
        <v>40</v>
      </c>
      <c r="N801">
        <v>173</v>
      </c>
    </row>
    <row r="802" spans="1:14">
      <c r="A802" s="25">
        <f t="shared" si="81"/>
        <v>800</v>
      </c>
      <c r="B802" s="67" t="s">
        <v>8</v>
      </c>
      <c r="C802" s="67" t="s">
        <v>462</v>
      </c>
      <c r="D802" s="67" t="s">
        <v>637</v>
      </c>
      <c r="E802" s="22">
        <f t="shared" ca="1" si="76"/>
        <v>40951</v>
      </c>
      <c r="F802" s="32"/>
      <c r="G802" s="12">
        <f t="shared" ca="1" si="78"/>
        <v>112</v>
      </c>
      <c r="H802" s="12">
        <f t="shared" ca="1" si="79"/>
        <v>1</v>
      </c>
      <c r="I802" s="13">
        <f t="shared" ca="1" si="80"/>
        <v>12</v>
      </c>
      <c r="J802" s="14">
        <f t="shared" ca="1" si="77"/>
        <v>112</v>
      </c>
      <c r="K802" s="12" t="s">
        <v>41</v>
      </c>
      <c r="L802" s="15">
        <v>63</v>
      </c>
      <c r="M802" s="25" t="s">
        <v>44</v>
      </c>
      <c r="N802">
        <v>173</v>
      </c>
    </row>
    <row r="803" spans="1:14">
      <c r="A803" s="25">
        <f t="shared" si="81"/>
        <v>801</v>
      </c>
      <c r="B803" s="67" t="s">
        <v>8</v>
      </c>
      <c r="C803" s="67" t="s">
        <v>96</v>
      </c>
      <c r="D803" s="67" t="s">
        <v>637</v>
      </c>
      <c r="E803" s="22">
        <f t="shared" ref="E803:E866" ca="1" si="82">TODAY()</f>
        <v>40951</v>
      </c>
      <c r="F803" s="32"/>
      <c r="G803" s="12">
        <f t="shared" ca="1" si="78"/>
        <v>112</v>
      </c>
      <c r="H803" s="12">
        <f t="shared" ca="1" si="79"/>
        <v>1</v>
      </c>
      <c r="I803" s="13">
        <f t="shared" ca="1" si="80"/>
        <v>12</v>
      </c>
      <c r="J803" s="14">
        <f t="shared" ca="1" si="77"/>
        <v>112</v>
      </c>
      <c r="K803" s="12" t="s">
        <v>40</v>
      </c>
      <c r="L803" s="15">
        <v>63</v>
      </c>
      <c r="M803" s="25" t="s">
        <v>40</v>
      </c>
      <c r="N803">
        <v>173</v>
      </c>
    </row>
    <row r="804" spans="1:14">
      <c r="A804" s="25">
        <f t="shared" si="81"/>
        <v>802</v>
      </c>
      <c r="B804" s="67" t="s">
        <v>8</v>
      </c>
      <c r="C804" s="67" t="s">
        <v>368</v>
      </c>
      <c r="D804" s="67" t="s">
        <v>93</v>
      </c>
      <c r="E804" s="22">
        <f t="shared" ca="1" si="82"/>
        <v>40951</v>
      </c>
      <c r="F804" s="32"/>
      <c r="G804" s="12">
        <f t="shared" ca="1" si="78"/>
        <v>112</v>
      </c>
      <c r="H804" s="12">
        <f t="shared" ca="1" si="79"/>
        <v>1</v>
      </c>
      <c r="I804" s="13">
        <f t="shared" ca="1" si="80"/>
        <v>12</v>
      </c>
      <c r="J804" s="14">
        <f t="shared" ca="1" si="77"/>
        <v>112</v>
      </c>
      <c r="K804" s="12" t="s">
        <v>41</v>
      </c>
      <c r="L804" s="15">
        <v>63</v>
      </c>
      <c r="M804" s="25" t="s">
        <v>40</v>
      </c>
      <c r="N804">
        <v>173</v>
      </c>
    </row>
    <row r="805" spans="1:14">
      <c r="A805" s="25">
        <f t="shared" si="81"/>
        <v>803</v>
      </c>
      <c r="B805" s="67" t="s">
        <v>8</v>
      </c>
      <c r="C805" s="67" t="s">
        <v>638</v>
      </c>
      <c r="D805" s="67" t="s">
        <v>93</v>
      </c>
      <c r="E805" s="22">
        <f t="shared" ca="1" si="82"/>
        <v>40951</v>
      </c>
      <c r="F805" s="32"/>
      <c r="G805" s="12">
        <f t="shared" ca="1" si="78"/>
        <v>112</v>
      </c>
      <c r="H805" s="12">
        <f t="shared" ca="1" si="79"/>
        <v>1</v>
      </c>
      <c r="I805" s="13">
        <f t="shared" ca="1" si="80"/>
        <v>12</v>
      </c>
      <c r="J805" s="14">
        <f t="shared" ca="1" si="77"/>
        <v>112</v>
      </c>
      <c r="K805" s="12" t="s">
        <v>41</v>
      </c>
      <c r="L805" s="15">
        <v>63</v>
      </c>
      <c r="M805" s="25" t="s">
        <v>44</v>
      </c>
      <c r="N805">
        <v>173</v>
      </c>
    </row>
    <row r="806" spans="1:14" ht="15.75" thickBot="1">
      <c r="A806" s="26">
        <f t="shared" si="81"/>
        <v>804</v>
      </c>
      <c r="B806" s="67" t="s">
        <v>8</v>
      </c>
      <c r="C806" s="68" t="s">
        <v>75</v>
      </c>
      <c r="D806" s="68" t="s">
        <v>93</v>
      </c>
      <c r="E806" s="23">
        <f t="shared" ca="1" si="82"/>
        <v>40951</v>
      </c>
      <c r="F806" s="33"/>
      <c r="G806" s="17">
        <f t="shared" ca="1" si="78"/>
        <v>112</v>
      </c>
      <c r="H806" s="17">
        <f t="shared" ca="1" si="79"/>
        <v>1</v>
      </c>
      <c r="I806" s="18">
        <f t="shared" ca="1" si="80"/>
        <v>12</v>
      </c>
      <c r="J806" s="19">
        <f t="shared" ca="1" si="77"/>
        <v>112</v>
      </c>
      <c r="K806" s="17" t="s">
        <v>40</v>
      </c>
      <c r="L806" s="20">
        <v>63</v>
      </c>
      <c r="M806" s="26" t="s">
        <v>44</v>
      </c>
      <c r="N806">
        <v>173</v>
      </c>
    </row>
    <row r="807" spans="1:14">
      <c r="A807" s="24">
        <f t="shared" si="81"/>
        <v>805</v>
      </c>
      <c r="B807" s="66" t="s">
        <v>8</v>
      </c>
      <c r="C807" s="66" t="s">
        <v>237</v>
      </c>
      <c r="D807" s="66" t="s">
        <v>546</v>
      </c>
      <c r="E807" s="21">
        <f t="shared" ca="1" si="82"/>
        <v>40951</v>
      </c>
      <c r="F807" s="6">
        <f>DATE(47,9,1)</f>
        <v>17411</v>
      </c>
      <c r="G807" s="7">
        <f t="shared" ca="1" si="78"/>
        <v>65</v>
      </c>
      <c r="H807" s="7">
        <f t="shared" ca="1" si="79"/>
        <v>-7</v>
      </c>
      <c r="I807" s="8">
        <f t="shared" ca="1" si="80"/>
        <v>11</v>
      </c>
      <c r="J807" s="9">
        <f t="shared" ca="1" si="77"/>
        <v>64</v>
      </c>
      <c r="K807" s="7" t="s">
        <v>40</v>
      </c>
      <c r="L807" s="10">
        <v>64</v>
      </c>
      <c r="M807" s="24" t="s">
        <v>40</v>
      </c>
      <c r="N807">
        <v>174</v>
      </c>
    </row>
    <row r="808" spans="1:14">
      <c r="A808" s="25">
        <f t="shared" si="81"/>
        <v>806</v>
      </c>
      <c r="B808" s="67" t="s">
        <v>8</v>
      </c>
      <c r="C808" s="67" t="s">
        <v>639</v>
      </c>
      <c r="D808" s="67" t="s">
        <v>237</v>
      </c>
      <c r="E808" s="22">
        <f t="shared" ca="1" si="82"/>
        <v>40951</v>
      </c>
      <c r="F808" s="11">
        <f>DATE(52,10,19)</f>
        <v>19286</v>
      </c>
      <c r="G808" s="12">
        <f t="shared" ca="1" si="78"/>
        <v>60</v>
      </c>
      <c r="H808" s="12">
        <f t="shared" ca="1" si="79"/>
        <v>-8</v>
      </c>
      <c r="I808" s="13">
        <f t="shared" ca="1" si="80"/>
        <v>-7</v>
      </c>
      <c r="J808" s="14">
        <f t="shared" ca="1" si="77"/>
        <v>59</v>
      </c>
      <c r="K808" s="12" t="s">
        <v>41</v>
      </c>
      <c r="L808" s="15">
        <v>64</v>
      </c>
      <c r="M808" s="25" t="s">
        <v>40</v>
      </c>
      <c r="N808">
        <v>174</v>
      </c>
    </row>
    <row r="809" spans="1:14" ht="15.75" thickBot="1">
      <c r="A809" s="26">
        <f t="shared" si="81"/>
        <v>807</v>
      </c>
      <c r="B809" s="67" t="s">
        <v>8</v>
      </c>
      <c r="C809" s="68" t="s">
        <v>442</v>
      </c>
      <c r="D809" s="68" t="s">
        <v>237</v>
      </c>
      <c r="E809" s="23">
        <f t="shared" ca="1" si="82"/>
        <v>40951</v>
      </c>
      <c r="F809" s="16">
        <f>DATE(94,3,25)</f>
        <v>34418</v>
      </c>
      <c r="G809" s="17">
        <f t="shared" ca="1" si="78"/>
        <v>18</v>
      </c>
      <c r="H809" s="17">
        <f t="shared" ca="1" si="79"/>
        <v>-1</v>
      </c>
      <c r="I809" s="18">
        <f t="shared" ca="1" si="80"/>
        <v>-13</v>
      </c>
      <c r="J809" s="19">
        <f t="shared" ca="1" si="77"/>
        <v>17</v>
      </c>
      <c r="K809" s="17" t="s">
        <v>41</v>
      </c>
      <c r="L809" s="20">
        <v>64</v>
      </c>
      <c r="M809" s="26" t="s">
        <v>44</v>
      </c>
      <c r="N809">
        <v>174</v>
      </c>
    </row>
    <row r="810" spans="1:14">
      <c r="A810" s="24">
        <f t="shared" si="81"/>
        <v>808</v>
      </c>
      <c r="B810" s="66" t="s">
        <v>8</v>
      </c>
      <c r="C810" s="66" t="s">
        <v>641</v>
      </c>
      <c r="D810" s="66" t="s">
        <v>640</v>
      </c>
      <c r="E810" s="21">
        <f t="shared" ca="1" si="82"/>
        <v>40951</v>
      </c>
      <c r="F810" s="6">
        <f>DATE(79,6,16)</f>
        <v>29022</v>
      </c>
      <c r="G810" s="7">
        <f t="shared" ca="1" si="78"/>
        <v>33</v>
      </c>
      <c r="H810" s="7">
        <f t="shared" ca="1" si="79"/>
        <v>-4</v>
      </c>
      <c r="I810" s="8">
        <f t="shared" ca="1" si="80"/>
        <v>-4</v>
      </c>
      <c r="J810" s="9">
        <f t="shared" ca="1" si="77"/>
        <v>32</v>
      </c>
      <c r="K810" s="7" t="s">
        <v>40</v>
      </c>
      <c r="L810" s="10">
        <v>64</v>
      </c>
      <c r="M810" s="24" t="s">
        <v>40</v>
      </c>
      <c r="N810">
        <v>175</v>
      </c>
    </row>
    <row r="811" spans="1:14" ht="15.75" thickBot="1">
      <c r="A811" s="26">
        <f t="shared" si="81"/>
        <v>809</v>
      </c>
      <c r="B811" s="67" t="s">
        <v>8</v>
      </c>
      <c r="C811" s="68" t="s">
        <v>583</v>
      </c>
      <c r="D811" s="68" t="s">
        <v>641</v>
      </c>
      <c r="E811" s="23">
        <f t="shared" ca="1" si="82"/>
        <v>40951</v>
      </c>
      <c r="F811" s="16">
        <f>DATE(80,2,19)</f>
        <v>29270</v>
      </c>
      <c r="G811" s="17">
        <f t="shared" ca="1" si="78"/>
        <v>32</v>
      </c>
      <c r="H811" s="17">
        <f t="shared" ca="1" si="79"/>
        <v>0</v>
      </c>
      <c r="I811" s="18">
        <f t="shared" ca="1" si="80"/>
        <v>-7</v>
      </c>
      <c r="J811" s="19">
        <f t="shared" ca="1" si="77"/>
        <v>31</v>
      </c>
      <c r="K811" s="17" t="s">
        <v>41</v>
      </c>
      <c r="L811" s="20">
        <v>64</v>
      </c>
      <c r="M811" s="26" t="s">
        <v>40</v>
      </c>
      <c r="N811">
        <v>175</v>
      </c>
    </row>
    <row r="812" spans="1:14">
      <c r="A812" s="24">
        <f t="shared" si="81"/>
        <v>810</v>
      </c>
      <c r="B812" s="66" t="s">
        <v>8</v>
      </c>
      <c r="C812" s="66" t="s">
        <v>274</v>
      </c>
      <c r="D812" s="66" t="s">
        <v>642</v>
      </c>
      <c r="E812" s="21">
        <f t="shared" ca="1" si="82"/>
        <v>40951</v>
      </c>
      <c r="F812" s="6">
        <f>DATE(55,5,16)</f>
        <v>20225</v>
      </c>
      <c r="G812" s="7">
        <f t="shared" ca="1" si="78"/>
        <v>57</v>
      </c>
      <c r="H812" s="7">
        <f t="shared" ca="1" si="79"/>
        <v>-3</v>
      </c>
      <c r="I812" s="8">
        <f t="shared" ca="1" si="80"/>
        <v>-4</v>
      </c>
      <c r="J812" s="9">
        <f t="shared" ca="1" si="77"/>
        <v>56</v>
      </c>
      <c r="K812" s="7" t="s">
        <v>40</v>
      </c>
      <c r="L812" s="10">
        <v>64</v>
      </c>
      <c r="M812" s="24" t="s">
        <v>40</v>
      </c>
      <c r="N812">
        <v>176</v>
      </c>
    </row>
    <row r="813" spans="1:14">
      <c r="A813" s="25">
        <f t="shared" si="81"/>
        <v>811</v>
      </c>
      <c r="B813" s="67" t="s">
        <v>8</v>
      </c>
      <c r="C813" s="67" t="s">
        <v>113</v>
      </c>
      <c r="D813" s="67" t="s">
        <v>274</v>
      </c>
      <c r="E813" s="22">
        <f t="shared" ca="1" si="82"/>
        <v>40951</v>
      </c>
      <c r="F813" s="11">
        <f>DATE(61,9,28)</f>
        <v>22552</v>
      </c>
      <c r="G813" s="12">
        <f t="shared" ca="1" si="78"/>
        <v>51</v>
      </c>
      <c r="H813" s="12">
        <f t="shared" ca="1" si="79"/>
        <v>-7</v>
      </c>
      <c r="I813" s="13">
        <f t="shared" ca="1" si="80"/>
        <v>-16</v>
      </c>
      <c r="J813" s="14">
        <f t="shared" ca="1" si="77"/>
        <v>50</v>
      </c>
      <c r="K813" s="12" t="s">
        <v>41</v>
      </c>
      <c r="L813" s="15">
        <v>64</v>
      </c>
      <c r="M813" s="25" t="s">
        <v>40</v>
      </c>
      <c r="N813">
        <v>176</v>
      </c>
    </row>
    <row r="814" spans="1:14">
      <c r="A814" s="25">
        <f t="shared" si="81"/>
        <v>812</v>
      </c>
      <c r="B814" s="67" t="s">
        <v>8</v>
      </c>
      <c r="C814" s="67" t="s">
        <v>643</v>
      </c>
      <c r="D814" s="67" t="s">
        <v>274</v>
      </c>
      <c r="E814" s="22">
        <f t="shared" ca="1" si="82"/>
        <v>40951</v>
      </c>
      <c r="F814" s="11">
        <f>DATE(87,2,9)</f>
        <v>31817</v>
      </c>
      <c r="G814" s="12">
        <f t="shared" ca="1" si="78"/>
        <v>25</v>
      </c>
      <c r="H814" s="12">
        <f t="shared" ca="1" si="79"/>
        <v>0</v>
      </c>
      <c r="I814" s="13">
        <f t="shared" ca="1" si="80"/>
        <v>3</v>
      </c>
      <c r="J814" s="14">
        <f t="shared" ca="1" si="77"/>
        <v>25</v>
      </c>
      <c r="K814" s="12" t="s">
        <v>41</v>
      </c>
      <c r="L814" s="15">
        <v>64</v>
      </c>
      <c r="M814" s="25" t="s">
        <v>44</v>
      </c>
      <c r="N814">
        <v>176</v>
      </c>
    </row>
    <row r="815" spans="1:14" ht="15.75" thickBot="1">
      <c r="A815" s="26">
        <f t="shared" si="81"/>
        <v>813</v>
      </c>
      <c r="B815" s="67" t="s">
        <v>8</v>
      </c>
      <c r="C815" s="68" t="s">
        <v>350</v>
      </c>
      <c r="D815" s="68" t="s">
        <v>274</v>
      </c>
      <c r="E815" s="23">
        <f t="shared" ca="1" si="82"/>
        <v>40951</v>
      </c>
      <c r="F815" s="16">
        <f>DATE(94,7,20)</f>
        <v>34535</v>
      </c>
      <c r="G815" s="17">
        <f t="shared" ca="1" si="78"/>
        <v>18</v>
      </c>
      <c r="H815" s="17">
        <f t="shared" ca="1" si="79"/>
        <v>-5</v>
      </c>
      <c r="I815" s="18">
        <f t="shared" ca="1" si="80"/>
        <v>-8</v>
      </c>
      <c r="J815" s="19">
        <f t="shared" ca="1" si="77"/>
        <v>17</v>
      </c>
      <c r="K815" s="17" t="s">
        <v>41</v>
      </c>
      <c r="L815" s="20">
        <v>64</v>
      </c>
      <c r="M815" s="26" t="s">
        <v>44</v>
      </c>
      <c r="N815">
        <v>176</v>
      </c>
    </row>
    <row r="816" spans="1:14">
      <c r="A816" s="24">
        <f t="shared" si="81"/>
        <v>814</v>
      </c>
      <c r="B816" s="66" t="s">
        <v>8</v>
      </c>
      <c r="C816" s="66" t="s">
        <v>644</v>
      </c>
      <c r="D816" s="66" t="s">
        <v>645</v>
      </c>
      <c r="E816" s="21">
        <f t="shared" ca="1" si="82"/>
        <v>40951</v>
      </c>
      <c r="F816" s="45"/>
      <c r="G816" s="7">
        <f t="shared" ca="1" si="78"/>
        <v>112</v>
      </c>
      <c r="H816" s="7">
        <f t="shared" ca="1" si="79"/>
        <v>1</v>
      </c>
      <c r="I816" s="8">
        <f t="shared" ca="1" si="80"/>
        <v>12</v>
      </c>
      <c r="J816" s="9">
        <f t="shared" ca="1" si="77"/>
        <v>112</v>
      </c>
      <c r="K816" s="7" t="s">
        <v>40</v>
      </c>
      <c r="L816" s="10">
        <v>65</v>
      </c>
      <c r="M816" s="24" t="s">
        <v>40</v>
      </c>
      <c r="N816">
        <v>177</v>
      </c>
    </row>
    <row r="817" spans="1:14">
      <c r="A817" s="25">
        <f t="shared" si="81"/>
        <v>815</v>
      </c>
      <c r="B817" s="67" t="s">
        <v>8</v>
      </c>
      <c r="C817" s="67" t="s">
        <v>261</v>
      </c>
      <c r="D817" s="67" t="s">
        <v>646</v>
      </c>
      <c r="E817" s="22">
        <f t="shared" ca="1" si="82"/>
        <v>40951</v>
      </c>
      <c r="F817" s="32"/>
      <c r="G817" s="12">
        <f t="shared" ca="1" si="78"/>
        <v>112</v>
      </c>
      <c r="H817" s="12">
        <f t="shared" ca="1" si="79"/>
        <v>1</v>
      </c>
      <c r="I817" s="13">
        <f t="shared" ca="1" si="80"/>
        <v>12</v>
      </c>
      <c r="J817" s="14">
        <f t="shared" ca="1" si="77"/>
        <v>112</v>
      </c>
      <c r="K817" s="12" t="s">
        <v>41</v>
      </c>
      <c r="L817" s="15">
        <v>65</v>
      </c>
      <c r="M817" s="25" t="s">
        <v>40</v>
      </c>
      <c r="N817">
        <v>177</v>
      </c>
    </row>
    <row r="818" spans="1:14" ht="15.75" thickBot="1">
      <c r="A818" s="26">
        <f t="shared" si="81"/>
        <v>816</v>
      </c>
      <c r="B818" s="67" t="s">
        <v>8</v>
      </c>
      <c r="C818" s="68" t="s">
        <v>647</v>
      </c>
      <c r="D818" s="68" t="s">
        <v>645</v>
      </c>
      <c r="E818" s="23">
        <f t="shared" ca="1" si="82"/>
        <v>40951</v>
      </c>
      <c r="F818" s="33"/>
      <c r="G818" s="17">
        <f t="shared" ca="1" si="78"/>
        <v>112</v>
      </c>
      <c r="H818" s="17">
        <f t="shared" ca="1" si="79"/>
        <v>1</v>
      </c>
      <c r="I818" s="18">
        <f t="shared" ca="1" si="80"/>
        <v>12</v>
      </c>
      <c r="J818" s="19">
        <f t="shared" ca="1" si="77"/>
        <v>112</v>
      </c>
      <c r="K818" s="17" t="s">
        <v>41</v>
      </c>
      <c r="L818" s="20">
        <v>65</v>
      </c>
      <c r="M818" s="26" t="s">
        <v>40</v>
      </c>
      <c r="N818">
        <v>177</v>
      </c>
    </row>
    <row r="819" spans="1:14">
      <c r="A819" s="24">
        <f t="shared" si="81"/>
        <v>817</v>
      </c>
      <c r="B819" s="66" t="s">
        <v>8</v>
      </c>
      <c r="C819" s="66" t="s">
        <v>648</v>
      </c>
      <c r="D819" s="66" t="s">
        <v>546</v>
      </c>
      <c r="E819" s="21">
        <f t="shared" ca="1" si="82"/>
        <v>40951</v>
      </c>
      <c r="F819" s="6">
        <f>DATE(50,20,23)</f>
        <v>18863</v>
      </c>
      <c r="G819" s="7">
        <f t="shared" ca="1" si="78"/>
        <v>61</v>
      </c>
      <c r="H819" s="7">
        <f t="shared" ca="1" si="79"/>
        <v>-6</v>
      </c>
      <c r="I819" s="8">
        <f t="shared" ca="1" si="80"/>
        <v>-11</v>
      </c>
      <c r="J819" s="9">
        <f t="shared" ca="1" si="77"/>
        <v>60</v>
      </c>
      <c r="K819" s="7" t="s">
        <v>40</v>
      </c>
      <c r="L819" s="10">
        <v>65</v>
      </c>
      <c r="M819" s="24" t="s">
        <v>40</v>
      </c>
      <c r="N819">
        <v>178</v>
      </c>
    </row>
    <row r="820" spans="1:14">
      <c r="A820" s="25">
        <f t="shared" si="81"/>
        <v>818</v>
      </c>
      <c r="B820" s="67" t="s">
        <v>8</v>
      </c>
      <c r="C820" s="67" t="s">
        <v>649</v>
      </c>
      <c r="D820" s="67" t="s">
        <v>648</v>
      </c>
      <c r="E820" s="22">
        <f t="shared" ca="1" si="82"/>
        <v>40951</v>
      </c>
      <c r="F820" s="11">
        <f>DATE(54,1,21)</f>
        <v>19745</v>
      </c>
      <c r="G820" s="12">
        <f t="shared" ca="1" si="78"/>
        <v>58</v>
      </c>
      <c r="H820" s="12">
        <f t="shared" ca="1" si="79"/>
        <v>1</v>
      </c>
      <c r="I820" s="13">
        <f t="shared" ca="1" si="80"/>
        <v>-9</v>
      </c>
      <c r="J820" s="14">
        <f t="shared" ca="1" si="77"/>
        <v>58</v>
      </c>
      <c r="K820" s="12" t="s">
        <v>41</v>
      </c>
      <c r="L820" s="15">
        <v>65</v>
      </c>
      <c r="M820" s="25" t="s">
        <v>40</v>
      </c>
      <c r="N820">
        <v>178</v>
      </c>
    </row>
    <row r="821" spans="1:14" ht="15.75" thickBot="1">
      <c r="A821" s="26">
        <f t="shared" si="81"/>
        <v>819</v>
      </c>
      <c r="B821" s="67" t="s">
        <v>8</v>
      </c>
      <c r="C821" s="68" t="s">
        <v>228</v>
      </c>
      <c r="D821" s="68" t="s">
        <v>648</v>
      </c>
      <c r="E821" s="23">
        <f t="shared" ca="1" si="82"/>
        <v>40951</v>
      </c>
      <c r="F821" s="16">
        <f>DATE(79,8,25)</f>
        <v>29092</v>
      </c>
      <c r="G821" s="17">
        <f t="shared" ca="1" si="78"/>
        <v>33</v>
      </c>
      <c r="H821" s="17">
        <f t="shared" ca="1" si="79"/>
        <v>-6</v>
      </c>
      <c r="I821" s="18">
        <f t="shared" ca="1" si="80"/>
        <v>-13</v>
      </c>
      <c r="J821" s="19">
        <f t="shared" ca="1" si="77"/>
        <v>32</v>
      </c>
      <c r="K821" s="17" t="s">
        <v>40</v>
      </c>
      <c r="L821" s="20">
        <v>65</v>
      </c>
      <c r="M821" s="26" t="s">
        <v>44</v>
      </c>
      <c r="N821">
        <v>178</v>
      </c>
    </row>
    <row r="822" spans="1:14">
      <c r="A822" s="24">
        <f t="shared" si="81"/>
        <v>820</v>
      </c>
      <c r="B822" s="66" t="s">
        <v>8</v>
      </c>
      <c r="C822" s="66" t="s">
        <v>648</v>
      </c>
      <c r="D822" s="66" t="s">
        <v>134</v>
      </c>
      <c r="E822" s="21">
        <f t="shared" ca="1" si="82"/>
        <v>40951</v>
      </c>
      <c r="F822" s="45"/>
      <c r="G822" s="7">
        <f t="shared" ca="1" si="78"/>
        <v>112</v>
      </c>
      <c r="H822" s="7">
        <f t="shared" ca="1" si="79"/>
        <v>1</v>
      </c>
      <c r="I822" s="8">
        <f t="shared" ca="1" si="80"/>
        <v>12</v>
      </c>
      <c r="J822" s="9">
        <f t="shared" ca="1" si="77"/>
        <v>112</v>
      </c>
      <c r="K822" s="7" t="s">
        <v>40</v>
      </c>
      <c r="L822" s="10">
        <v>65</v>
      </c>
      <c r="M822" s="24" t="s">
        <v>40</v>
      </c>
      <c r="N822">
        <v>179</v>
      </c>
    </row>
    <row r="823" spans="1:14">
      <c r="A823" s="25">
        <f t="shared" si="81"/>
        <v>821</v>
      </c>
      <c r="B823" s="67" t="s">
        <v>8</v>
      </c>
      <c r="C823" s="67" t="s">
        <v>650</v>
      </c>
      <c r="D823" s="67" t="s">
        <v>648</v>
      </c>
      <c r="E823" s="22">
        <f t="shared" ca="1" si="82"/>
        <v>40951</v>
      </c>
      <c r="F823" s="32"/>
      <c r="G823" s="12">
        <f t="shared" ca="1" si="78"/>
        <v>112</v>
      </c>
      <c r="H823" s="12">
        <f t="shared" ca="1" si="79"/>
        <v>1</v>
      </c>
      <c r="I823" s="13">
        <f t="shared" ca="1" si="80"/>
        <v>12</v>
      </c>
      <c r="J823" s="14">
        <f t="shared" ca="1" si="77"/>
        <v>112</v>
      </c>
      <c r="K823" s="12" t="s">
        <v>41</v>
      </c>
      <c r="L823" s="15">
        <v>65</v>
      </c>
      <c r="M823" s="25" t="s">
        <v>40</v>
      </c>
      <c r="N823">
        <v>179</v>
      </c>
    </row>
    <row r="824" spans="1:14">
      <c r="A824" s="25">
        <f t="shared" si="81"/>
        <v>822</v>
      </c>
      <c r="B824" s="67" t="s">
        <v>8</v>
      </c>
      <c r="C824" s="67" t="s">
        <v>651</v>
      </c>
      <c r="D824" s="67" t="s">
        <v>648</v>
      </c>
      <c r="E824" s="22">
        <f t="shared" ca="1" si="82"/>
        <v>40951</v>
      </c>
      <c r="F824" s="32"/>
      <c r="G824" s="12">
        <f t="shared" ca="1" si="78"/>
        <v>112</v>
      </c>
      <c r="H824" s="12">
        <f t="shared" ca="1" si="79"/>
        <v>1</v>
      </c>
      <c r="I824" s="13">
        <f t="shared" ca="1" si="80"/>
        <v>12</v>
      </c>
      <c r="J824" s="14">
        <f t="shared" ca="1" si="77"/>
        <v>112</v>
      </c>
      <c r="K824" s="12" t="s">
        <v>40</v>
      </c>
      <c r="L824" s="15">
        <v>65</v>
      </c>
      <c r="M824" s="25" t="s">
        <v>40</v>
      </c>
      <c r="N824">
        <v>179</v>
      </c>
    </row>
    <row r="825" spans="1:14">
      <c r="A825" s="25">
        <f t="shared" si="81"/>
        <v>823</v>
      </c>
      <c r="B825" s="67" t="s">
        <v>8</v>
      </c>
      <c r="C825" s="67" t="s">
        <v>565</v>
      </c>
      <c r="D825" s="67" t="s">
        <v>651</v>
      </c>
      <c r="E825" s="22">
        <f t="shared" ca="1" si="82"/>
        <v>40951</v>
      </c>
      <c r="F825" s="32"/>
      <c r="G825" s="12">
        <f t="shared" ca="1" si="78"/>
        <v>112</v>
      </c>
      <c r="H825" s="12">
        <f t="shared" ca="1" si="79"/>
        <v>1</v>
      </c>
      <c r="I825" s="13">
        <f t="shared" ca="1" si="80"/>
        <v>12</v>
      </c>
      <c r="J825" s="14">
        <f t="shared" ca="1" si="77"/>
        <v>112</v>
      </c>
      <c r="K825" s="12" t="s">
        <v>41</v>
      </c>
      <c r="L825" s="15">
        <v>65</v>
      </c>
      <c r="M825" s="25" t="s">
        <v>40</v>
      </c>
      <c r="N825">
        <v>179</v>
      </c>
    </row>
    <row r="826" spans="1:14">
      <c r="A826" s="25">
        <f t="shared" si="81"/>
        <v>824</v>
      </c>
      <c r="B826" s="67" t="s">
        <v>8</v>
      </c>
      <c r="C826" s="67" t="s">
        <v>75</v>
      </c>
      <c r="D826" s="67" t="s">
        <v>651</v>
      </c>
      <c r="E826" s="22">
        <f t="shared" ca="1" si="82"/>
        <v>40951</v>
      </c>
      <c r="F826" s="32"/>
      <c r="G826" s="12">
        <f t="shared" ca="1" si="78"/>
        <v>112</v>
      </c>
      <c r="H826" s="12">
        <f t="shared" ca="1" si="79"/>
        <v>1</v>
      </c>
      <c r="I826" s="13">
        <f t="shared" ca="1" si="80"/>
        <v>12</v>
      </c>
      <c r="J826" s="14">
        <f t="shared" ca="1" si="77"/>
        <v>112</v>
      </c>
      <c r="K826" s="12" t="s">
        <v>41</v>
      </c>
      <c r="L826" s="15">
        <v>65</v>
      </c>
      <c r="M826" s="25" t="s">
        <v>44</v>
      </c>
      <c r="N826">
        <v>179</v>
      </c>
    </row>
    <row r="827" spans="1:14" ht="15.75" thickBot="1">
      <c r="A827" s="26">
        <f t="shared" si="81"/>
        <v>825</v>
      </c>
      <c r="B827" s="67" t="s">
        <v>8</v>
      </c>
      <c r="C827" s="68" t="s">
        <v>430</v>
      </c>
      <c r="D827" s="68" t="s">
        <v>648</v>
      </c>
      <c r="E827" s="23">
        <f t="shared" ca="1" si="82"/>
        <v>40951</v>
      </c>
      <c r="F827" s="33"/>
      <c r="G827" s="17">
        <f t="shared" ca="1" si="78"/>
        <v>112</v>
      </c>
      <c r="H827" s="17">
        <f t="shared" ca="1" si="79"/>
        <v>1</v>
      </c>
      <c r="I827" s="18">
        <f t="shared" ca="1" si="80"/>
        <v>12</v>
      </c>
      <c r="J827" s="19">
        <f t="shared" ca="1" si="77"/>
        <v>112</v>
      </c>
      <c r="K827" s="17" t="s">
        <v>41</v>
      </c>
      <c r="L827" s="20">
        <v>65</v>
      </c>
      <c r="M827" s="26" t="s">
        <v>44</v>
      </c>
      <c r="N827">
        <v>179</v>
      </c>
    </row>
    <row r="828" spans="1:14">
      <c r="A828" s="24">
        <f t="shared" si="81"/>
        <v>826</v>
      </c>
      <c r="B828" s="66" t="s">
        <v>8</v>
      </c>
      <c r="C828" s="66" t="s">
        <v>648</v>
      </c>
      <c r="D828" s="66" t="s">
        <v>77</v>
      </c>
      <c r="E828" s="21">
        <f t="shared" ca="1" si="82"/>
        <v>40951</v>
      </c>
      <c r="F828" s="6">
        <f>DATE(53,10,20)</f>
        <v>19652</v>
      </c>
      <c r="G828" s="7">
        <f t="shared" ca="1" si="78"/>
        <v>59</v>
      </c>
      <c r="H828" s="7">
        <f t="shared" ca="1" si="79"/>
        <v>-8</v>
      </c>
      <c r="I828" s="8">
        <f t="shared" ca="1" si="80"/>
        <v>-8</v>
      </c>
      <c r="J828" s="9">
        <f t="shared" ca="1" si="77"/>
        <v>58</v>
      </c>
      <c r="K828" s="7" t="s">
        <v>40</v>
      </c>
      <c r="L828" s="10">
        <v>66</v>
      </c>
      <c r="M828" s="24" t="s">
        <v>40</v>
      </c>
      <c r="N828">
        <v>180</v>
      </c>
    </row>
    <row r="829" spans="1:14">
      <c r="A829" s="25">
        <f t="shared" si="81"/>
        <v>827</v>
      </c>
      <c r="B829" s="67" t="s">
        <v>8</v>
      </c>
      <c r="C829" s="67" t="s">
        <v>115</v>
      </c>
      <c r="D829" s="67" t="s">
        <v>648</v>
      </c>
      <c r="E829" s="22">
        <f t="shared" ca="1" si="82"/>
        <v>40951</v>
      </c>
      <c r="F829" s="11">
        <f>DATE(57,6,16)</f>
        <v>20987</v>
      </c>
      <c r="G829" s="12">
        <f t="shared" ca="1" si="78"/>
        <v>55</v>
      </c>
      <c r="H829" s="12">
        <f t="shared" ca="1" si="79"/>
        <v>-4</v>
      </c>
      <c r="I829" s="13">
        <f t="shared" ca="1" si="80"/>
        <v>-4</v>
      </c>
      <c r="J829" s="14">
        <f t="shared" ca="1" si="77"/>
        <v>54</v>
      </c>
      <c r="K829" s="12" t="s">
        <v>41</v>
      </c>
      <c r="L829" s="15">
        <v>66</v>
      </c>
      <c r="M829" s="25" t="s">
        <v>40</v>
      </c>
      <c r="N829">
        <v>180</v>
      </c>
    </row>
    <row r="830" spans="1:14">
      <c r="A830" s="25">
        <f t="shared" si="81"/>
        <v>828</v>
      </c>
      <c r="B830" s="67" t="s">
        <v>8</v>
      </c>
      <c r="C830" s="67" t="s">
        <v>652</v>
      </c>
      <c r="D830" s="67" t="s">
        <v>648</v>
      </c>
      <c r="E830" s="22">
        <f t="shared" ca="1" si="82"/>
        <v>40951</v>
      </c>
      <c r="F830" s="11">
        <f>DATE(82,4,22)</f>
        <v>30063</v>
      </c>
      <c r="G830" s="12">
        <f t="shared" ca="1" si="78"/>
        <v>30</v>
      </c>
      <c r="H830" s="12">
        <f t="shared" ca="1" si="79"/>
        <v>-2</v>
      </c>
      <c r="I830" s="13">
        <f t="shared" ca="1" si="80"/>
        <v>-10</v>
      </c>
      <c r="J830" s="14">
        <f t="shared" ca="1" si="77"/>
        <v>29</v>
      </c>
      <c r="K830" s="12" t="s">
        <v>40</v>
      </c>
      <c r="L830" s="15">
        <v>66</v>
      </c>
      <c r="M830" s="25" t="s">
        <v>44</v>
      </c>
      <c r="N830">
        <v>180</v>
      </c>
    </row>
    <row r="831" spans="1:14">
      <c r="A831" s="25">
        <f t="shared" si="81"/>
        <v>829</v>
      </c>
      <c r="B831" s="67" t="s">
        <v>8</v>
      </c>
      <c r="C831" s="67" t="s">
        <v>276</v>
      </c>
      <c r="D831" s="67" t="s">
        <v>648</v>
      </c>
      <c r="E831" s="22">
        <f t="shared" ca="1" si="82"/>
        <v>40951</v>
      </c>
      <c r="F831" s="11">
        <f>DATE(84,7,16)</f>
        <v>30879</v>
      </c>
      <c r="G831" s="12">
        <f t="shared" ca="1" si="78"/>
        <v>28</v>
      </c>
      <c r="H831" s="12">
        <f t="shared" ca="1" si="79"/>
        <v>-5</v>
      </c>
      <c r="I831" s="13">
        <f t="shared" ca="1" si="80"/>
        <v>-4</v>
      </c>
      <c r="J831" s="14">
        <f t="shared" ca="1" si="77"/>
        <v>27</v>
      </c>
      <c r="K831" s="12" t="s">
        <v>40</v>
      </c>
      <c r="L831" s="15">
        <v>66</v>
      </c>
      <c r="M831" s="25" t="s">
        <v>44</v>
      </c>
      <c r="N831">
        <v>180</v>
      </c>
    </row>
    <row r="832" spans="1:14" ht="15.75" thickBot="1">
      <c r="A832" s="26">
        <f t="shared" si="81"/>
        <v>830</v>
      </c>
      <c r="B832" s="67" t="s">
        <v>8</v>
      </c>
      <c r="C832" s="68" t="s">
        <v>653</v>
      </c>
      <c r="D832" s="68" t="s">
        <v>648</v>
      </c>
      <c r="E832" s="23">
        <f t="shared" ca="1" si="82"/>
        <v>40951</v>
      </c>
      <c r="F832" s="16">
        <f>DATE(90,7,24)</f>
        <v>33078</v>
      </c>
      <c r="G832" s="17">
        <f t="shared" ca="1" si="78"/>
        <v>22</v>
      </c>
      <c r="H832" s="17">
        <f t="shared" ca="1" si="79"/>
        <v>-5</v>
      </c>
      <c r="I832" s="18">
        <f t="shared" ca="1" si="80"/>
        <v>-12</v>
      </c>
      <c r="J832" s="19">
        <f t="shared" ca="1" si="77"/>
        <v>21</v>
      </c>
      <c r="K832" s="17" t="s">
        <v>41</v>
      </c>
      <c r="L832" s="20">
        <v>66</v>
      </c>
      <c r="M832" s="26" t="s">
        <v>44</v>
      </c>
      <c r="N832">
        <v>180</v>
      </c>
    </row>
    <row r="833" spans="1:14">
      <c r="A833" s="24">
        <f t="shared" si="81"/>
        <v>831</v>
      </c>
      <c r="B833" s="66" t="s">
        <v>8</v>
      </c>
      <c r="C833" s="66" t="s">
        <v>509</v>
      </c>
      <c r="D833" s="66" t="s">
        <v>198</v>
      </c>
      <c r="E833" s="21">
        <f t="shared" ca="1" si="82"/>
        <v>40951</v>
      </c>
      <c r="F833" s="45"/>
      <c r="G833" s="7">
        <f t="shared" ca="1" si="78"/>
        <v>112</v>
      </c>
      <c r="H833" s="7">
        <f t="shared" ca="1" si="79"/>
        <v>1</v>
      </c>
      <c r="I833" s="8">
        <f t="shared" ca="1" si="80"/>
        <v>12</v>
      </c>
      <c r="J833" s="9">
        <f t="shared" ca="1" si="77"/>
        <v>112</v>
      </c>
      <c r="K833" s="7" t="s">
        <v>40</v>
      </c>
      <c r="L833" s="10">
        <v>66</v>
      </c>
      <c r="M833" s="24" t="s">
        <v>40</v>
      </c>
      <c r="N833">
        <v>181</v>
      </c>
    </row>
    <row r="834" spans="1:14">
      <c r="A834" s="25">
        <f t="shared" si="81"/>
        <v>832</v>
      </c>
      <c r="B834" s="67" t="s">
        <v>8</v>
      </c>
      <c r="C834" s="67" t="s">
        <v>252</v>
      </c>
      <c r="D834" s="67" t="s">
        <v>509</v>
      </c>
      <c r="E834" s="22">
        <f t="shared" ca="1" si="82"/>
        <v>40951</v>
      </c>
      <c r="F834" s="11">
        <f>DATE(59,10,18)</f>
        <v>21841</v>
      </c>
      <c r="G834" s="12">
        <f t="shared" ca="1" si="78"/>
        <v>53</v>
      </c>
      <c r="H834" s="12">
        <f t="shared" ca="1" si="79"/>
        <v>-8</v>
      </c>
      <c r="I834" s="13">
        <f t="shared" ca="1" si="80"/>
        <v>-6</v>
      </c>
      <c r="J834" s="14">
        <f t="shared" ca="1" si="77"/>
        <v>52</v>
      </c>
      <c r="K834" s="12" t="s">
        <v>41</v>
      </c>
      <c r="L834" s="15">
        <v>66</v>
      </c>
      <c r="M834" s="25" t="s">
        <v>40</v>
      </c>
      <c r="N834">
        <v>181</v>
      </c>
    </row>
    <row r="835" spans="1:14">
      <c r="A835" s="25">
        <f t="shared" si="81"/>
        <v>833</v>
      </c>
      <c r="B835" s="67" t="s">
        <v>8</v>
      </c>
      <c r="C835" s="67" t="s">
        <v>105</v>
      </c>
      <c r="D835" s="67" t="s">
        <v>509</v>
      </c>
      <c r="E835" s="22">
        <f t="shared" ca="1" si="82"/>
        <v>40951</v>
      </c>
      <c r="F835" s="11">
        <f>DATE(87,4,28)</f>
        <v>31895</v>
      </c>
      <c r="G835" s="12">
        <f t="shared" ca="1" si="78"/>
        <v>25</v>
      </c>
      <c r="H835" s="12">
        <f t="shared" ca="1" si="79"/>
        <v>-2</v>
      </c>
      <c r="I835" s="13">
        <f t="shared" ca="1" si="80"/>
        <v>-16</v>
      </c>
      <c r="J835" s="14">
        <f t="shared" ref="J835:J898" ca="1" si="83">IF(H835&lt;0,G835-1,IF(H835&gt;0,G835,IF(I835&lt;0,G835-1,G835)))</f>
        <v>24</v>
      </c>
      <c r="K835" s="12" t="s">
        <v>41</v>
      </c>
      <c r="L835" s="15">
        <v>66</v>
      </c>
      <c r="M835" s="25" t="s">
        <v>44</v>
      </c>
      <c r="N835">
        <v>181</v>
      </c>
    </row>
    <row r="836" spans="1:14">
      <c r="A836" s="25">
        <f t="shared" si="81"/>
        <v>834</v>
      </c>
      <c r="B836" s="67" t="s">
        <v>8</v>
      </c>
      <c r="C836" s="67" t="s">
        <v>377</v>
      </c>
      <c r="D836" s="67" t="s">
        <v>509</v>
      </c>
      <c r="E836" s="22">
        <f t="shared" ca="1" si="82"/>
        <v>40951</v>
      </c>
      <c r="F836" s="11">
        <f>DATE(87,7,13)</f>
        <v>31971</v>
      </c>
      <c r="G836" s="12">
        <f t="shared" ca="1" si="78"/>
        <v>25</v>
      </c>
      <c r="H836" s="12">
        <f t="shared" ca="1" si="79"/>
        <v>-5</v>
      </c>
      <c r="I836" s="13">
        <f t="shared" ca="1" si="80"/>
        <v>-1</v>
      </c>
      <c r="J836" s="14">
        <f t="shared" ca="1" si="83"/>
        <v>24</v>
      </c>
      <c r="K836" s="12" t="s">
        <v>40</v>
      </c>
      <c r="L836" s="15">
        <v>66</v>
      </c>
      <c r="M836" s="25" t="s">
        <v>44</v>
      </c>
      <c r="N836">
        <v>181</v>
      </c>
    </row>
    <row r="837" spans="1:14">
      <c r="A837" s="25">
        <f t="shared" si="81"/>
        <v>835</v>
      </c>
      <c r="B837" s="67" t="s">
        <v>8</v>
      </c>
      <c r="C837" s="67" t="s">
        <v>100</v>
      </c>
      <c r="D837" s="67" t="s">
        <v>509</v>
      </c>
      <c r="E837" s="22">
        <f t="shared" ca="1" si="82"/>
        <v>40951</v>
      </c>
      <c r="F837" s="11">
        <f>DATE(88,9,22)</f>
        <v>32408</v>
      </c>
      <c r="G837" s="12">
        <f t="shared" ca="1" si="78"/>
        <v>24</v>
      </c>
      <c r="H837" s="12">
        <f t="shared" ca="1" si="79"/>
        <v>-7</v>
      </c>
      <c r="I837" s="13">
        <f t="shared" ca="1" si="80"/>
        <v>-10</v>
      </c>
      <c r="J837" s="14">
        <f t="shared" ca="1" si="83"/>
        <v>23</v>
      </c>
      <c r="K837" s="12" t="s">
        <v>41</v>
      </c>
      <c r="L837" s="15">
        <v>66</v>
      </c>
      <c r="M837" s="25" t="s">
        <v>44</v>
      </c>
      <c r="N837">
        <v>181</v>
      </c>
    </row>
    <row r="838" spans="1:14" ht="15.75" thickBot="1">
      <c r="A838" s="26">
        <f t="shared" si="81"/>
        <v>836</v>
      </c>
      <c r="B838" s="67" t="s">
        <v>8</v>
      </c>
      <c r="C838" s="68" t="s">
        <v>538</v>
      </c>
      <c r="D838" s="68" t="s">
        <v>198</v>
      </c>
      <c r="E838" s="23">
        <f t="shared" ca="1" si="82"/>
        <v>40951</v>
      </c>
      <c r="F838" s="33"/>
      <c r="G838" s="17">
        <f t="shared" ca="1" si="78"/>
        <v>112</v>
      </c>
      <c r="H838" s="17">
        <f t="shared" ca="1" si="79"/>
        <v>1</v>
      </c>
      <c r="I838" s="18">
        <f t="shared" ca="1" si="80"/>
        <v>12</v>
      </c>
      <c r="J838" s="19">
        <f t="shared" ca="1" si="83"/>
        <v>112</v>
      </c>
      <c r="K838" s="17" t="s">
        <v>41</v>
      </c>
      <c r="L838" s="20">
        <v>66</v>
      </c>
      <c r="M838" s="26" t="s">
        <v>40</v>
      </c>
      <c r="N838">
        <v>181</v>
      </c>
    </row>
    <row r="839" spans="1:14" ht="15.75" thickBot="1">
      <c r="A839" s="43">
        <f t="shared" si="81"/>
        <v>837</v>
      </c>
      <c r="B839" s="69" t="s">
        <v>8</v>
      </c>
      <c r="C839" s="69" t="s">
        <v>634</v>
      </c>
      <c r="D839" s="69" t="s">
        <v>198</v>
      </c>
      <c r="E839" s="37">
        <f t="shared" ca="1" si="82"/>
        <v>40951</v>
      </c>
      <c r="F839" s="38">
        <f>DATE(52,6,24)</f>
        <v>19169</v>
      </c>
      <c r="G839" s="39">
        <f t="shared" ca="1" si="78"/>
        <v>60</v>
      </c>
      <c r="H839" s="39">
        <f t="shared" ca="1" si="79"/>
        <v>-4</v>
      </c>
      <c r="I839" s="40">
        <f t="shared" ca="1" si="80"/>
        <v>-12</v>
      </c>
      <c r="J839" s="41">
        <f t="shared" ca="1" si="83"/>
        <v>59</v>
      </c>
      <c r="K839" s="39" t="s">
        <v>41</v>
      </c>
      <c r="L839" s="42">
        <v>66</v>
      </c>
      <c r="M839" s="43" t="s">
        <v>44</v>
      </c>
      <c r="N839">
        <v>182</v>
      </c>
    </row>
    <row r="840" spans="1:14">
      <c r="A840" s="24">
        <f t="shared" si="81"/>
        <v>838</v>
      </c>
      <c r="B840" s="66" t="s">
        <v>8</v>
      </c>
      <c r="C840" s="66" t="s">
        <v>503</v>
      </c>
      <c r="D840" s="66" t="s">
        <v>391</v>
      </c>
      <c r="E840" s="21">
        <f t="shared" ca="1" si="82"/>
        <v>40951</v>
      </c>
      <c r="F840" s="45"/>
      <c r="G840" s="7">
        <f t="shared" ca="1" si="78"/>
        <v>112</v>
      </c>
      <c r="H840" s="7">
        <f t="shared" ca="1" si="79"/>
        <v>1</v>
      </c>
      <c r="I840" s="8">
        <f t="shared" ca="1" si="80"/>
        <v>12</v>
      </c>
      <c r="J840" s="9">
        <f t="shared" ca="1" si="83"/>
        <v>112</v>
      </c>
      <c r="K840" s="7" t="s">
        <v>41</v>
      </c>
      <c r="L840" s="10">
        <v>67</v>
      </c>
      <c r="M840" s="24" t="s">
        <v>40</v>
      </c>
      <c r="N840">
        <v>183</v>
      </c>
    </row>
    <row r="841" spans="1:14">
      <c r="A841" s="25">
        <f t="shared" si="81"/>
        <v>839</v>
      </c>
      <c r="B841" s="67" t="s">
        <v>8</v>
      </c>
      <c r="C841" s="67" t="s">
        <v>654</v>
      </c>
      <c r="D841" s="67" t="s">
        <v>391</v>
      </c>
      <c r="E841" s="22">
        <f t="shared" ca="1" si="82"/>
        <v>40951</v>
      </c>
      <c r="F841" s="11">
        <f>DATE(56,10,8)</f>
        <v>20736</v>
      </c>
      <c r="G841" s="12">
        <f t="shared" ca="1" si="78"/>
        <v>56</v>
      </c>
      <c r="H841" s="12">
        <f t="shared" ca="1" si="79"/>
        <v>-8</v>
      </c>
      <c r="I841" s="13">
        <f t="shared" ca="1" si="80"/>
        <v>4</v>
      </c>
      <c r="J841" s="14">
        <f t="shared" ca="1" si="83"/>
        <v>55</v>
      </c>
      <c r="K841" s="12" t="s">
        <v>40</v>
      </c>
      <c r="L841" s="15">
        <v>67</v>
      </c>
      <c r="M841" s="25" t="s">
        <v>44</v>
      </c>
      <c r="N841">
        <v>183</v>
      </c>
    </row>
    <row r="842" spans="1:14">
      <c r="A842" s="25">
        <f t="shared" si="81"/>
        <v>840</v>
      </c>
      <c r="B842" s="67" t="s">
        <v>8</v>
      </c>
      <c r="C842" s="67" t="s">
        <v>164</v>
      </c>
      <c r="D842" s="67" t="s">
        <v>391</v>
      </c>
      <c r="E842" s="22">
        <f t="shared" ca="1" si="82"/>
        <v>40951</v>
      </c>
      <c r="F842" s="11">
        <f>DATE(64,6,28)</f>
        <v>23556</v>
      </c>
      <c r="G842" s="12">
        <f t="shared" ca="1" si="78"/>
        <v>48</v>
      </c>
      <c r="H842" s="12">
        <f t="shared" ca="1" si="79"/>
        <v>-4</v>
      </c>
      <c r="I842" s="13">
        <f t="shared" ca="1" si="80"/>
        <v>-16</v>
      </c>
      <c r="J842" s="14">
        <f t="shared" ca="1" si="83"/>
        <v>47</v>
      </c>
      <c r="K842" s="12" t="s">
        <v>40</v>
      </c>
      <c r="L842" s="15">
        <v>67</v>
      </c>
      <c r="M842" s="25" t="s">
        <v>40</v>
      </c>
      <c r="N842">
        <v>183</v>
      </c>
    </row>
    <row r="843" spans="1:14">
      <c r="A843" s="25">
        <f t="shared" si="81"/>
        <v>841</v>
      </c>
      <c r="B843" s="67" t="s">
        <v>8</v>
      </c>
      <c r="C843" s="67" t="s">
        <v>622</v>
      </c>
      <c r="D843" s="67" t="s">
        <v>164</v>
      </c>
      <c r="E843" s="22">
        <f t="shared" ca="1" si="82"/>
        <v>40951</v>
      </c>
      <c r="F843" s="11">
        <f>DATE(68,9,13)</f>
        <v>25094</v>
      </c>
      <c r="G843" s="12">
        <f t="shared" ca="1" si="78"/>
        <v>44</v>
      </c>
      <c r="H843" s="12">
        <f t="shared" ca="1" si="79"/>
        <v>-7</v>
      </c>
      <c r="I843" s="13">
        <f t="shared" ca="1" si="80"/>
        <v>-1</v>
      </c>
      <c r="J843" s="14">
        <f t="shared" ca="1" si="83"/>
        <v>43</v>
      </c>
      <c r="K843" s="12" t="s">
        <v>41</v>
      </c>
      <c r="L843" s="15">
        <v>67</v>
      </c>
      <c r="M843" s="25" t="s">
        <v>40</v>
      </c>
      <c r="N843">
        <v>183</v>
      </c>
    </row>
    <row r="844" spans="1:14">
      <c r="A844" s="25">
        <f t="shared" si="81"/>
        <v>842</v>
      </c>
      <c r="B844" s="67" t="s">
        <v>8</v>
      </c>
      <c r="C844" s="67" t="s">
        <v>422</v>
      </c>
      <c r="D844" s="67" t="s">
        <v>164</v>
      </c>
      <c r="E844" s="22">
        <f t="shared" ca="1" si="82"/>
        <v>40951</v>
      </c>
      <c r="F844" s="11">
        <f>DATE(89,7,19)</f>
        <v>32708</v>
      </c>
      <c r="G844" s="12">
        <f t="shared" ca="1" si="78"/>
        <v>23</v>
      </c>
      <c r="H844" s="12">
        <f t="shared" ca="1" si="79"/>
        <v>-5</v>
      </c>
      <c r="I844" s="13">
        <f t="shared" ca="1" si="80"/>
        <v>-7</v>
      </c>
      <c r="J844" s="14">
        <f t="shared" ca="1" si="83"/>
        <v>22</v>
      </c>
      <c r="K844" s="12" t="s">
        <v>41</v>
      </c>
      <c r="L844" s="15">
        <v>67</v>
      </c>
      <c r="M844" s="25" t="s">
        <v>44</v>
      </c>
      <c r="N844">
        <v>183</v>
      </c>
    </row>
    <row r="845" spans="1:14">
      <c r="A845" s="25">
        <f t="shared" si="81"/>
        <v>843</v>
      </c>
      <c r="B845" s="67" t="s">
        <v>8</v>
      </c>
      <c r="C845" s="67" t="s">
        <v>612</v>
      </c>
      <c r="D845" s="67" t="s">
        <v>164</v>
      </c>
      <c r="E845" s="22">
        <f t="shared" ca="1" si="82"/>
        <v>40951</v>
      </c>
      <c r="F845" s="11">
        <f>DATE(97,6,28)</f>
        <v>35609</v>
      </c>
      <c r="G845" s="12">
        <f t="shared" ca="1" si="78"/>
        <v>15</v>
      </c>
      <c r="H845" s="12">
        <f t="shared" ca="1" si="79"/>
        <v>-4</v>
      </c>
      <c r="I845" s="13">
        <f t="shared" ca="1" si="80"/>
        <v>-16</v>
      </c>
      <c r="J845" s="14">
        <f t="shared" ca="1" si="83"/>
        <v>14</v>
      </c>
      <c r="K845" s="12" t="s">
        <v>40</v>
      </c>
      <c r="L845" s="15">
        <v>67</v>
      </c>
      <c r="M845" s="25" t="s">
        <v>44</v>
      </c>
      <c r="N845">
        <v>183</v>
      </c>
    </row>
    <row r="846" spans="1:14">
      <c r="A846" s="25">
        <f t="shared" si="81"/>
        <v>844</v>
      </c>
      <c r="B846" s="67" t="s">
        <v>8</v>
      </c>
      <c r="C846" s="67" t="s">
        <v>396</v>
      </c>
      <c r="D846" s="67" t="s">
        <v>391</v>
      </c>
      <c r="E846" s="22">
        <f t="shared" ca="1" si="82"/>
        <v>40951</v>
      </c>
      <c r="F846" s="11">
        <f>DATE(67,8,18)</f>
        <v>24702</v>
      </c>
      <c r="G846" s="12">
        <f t="shared" ca="1" si="78"/>
        <v>45</v>
      </c>
      <c r="H846" s="12">
        <f t="shared" ca="1" si="79"/>
        <v>-6</v>
      </c>
      <c r="I846" s="13">
        <f t="shared" ca="1" si="80"/>
        <v>-6</v>
      </c>
      <c r="J846" s="14">
        <f t="shared" ca="1" si="83"/>
        <v>44</v>
      </c>
      <c r="K846" s="12" t="s">
        <v>40</v>
      </c>
      <c r="L846" s="15">
        <v>67</v>
      </c>
      <c r="M846" s="25" t="s">
        <v>40</v>
      </c>
      <c r="N846">
        <v>183</v>
      </c>
    </row>
    <row r="847" spans="1:14">
      <c r="A847" s="25">
        <f t="shared" si="81"/>
        <v>845</v>
      </c>
      <c r="B847" s="67" t="s">
        <v>8</v>
      </c>
      <c r="C847" s="67" t="s">
        <v>655</v>
      </c>
      <c r="D847" s="67" t="s">
        <v>396</v>
      </c>
      <c r="E847" s="22">
        <f t="shared" ca="1" si="82"/>
        <v>40951</v>
      </c>
      <c r="F847" s="11">
        <f>DATE(73,1,11)</f>
        <v>26675</v>
      </c>
      <c r="G847" s="12">
        <f t="shared" ca="1" si="78"/>
        <v>39</v>
      </c>
      <c r="H847" s="12">
        <f t="shared" ca="1" si="79"/>
        <v>1</v>
      </c>
      <c r="I847" s="13">
        <f t="shared" ca="1" si="80"/>
        <v>1</v>
      </c>
      <c r="J847" s="14">
        <f t="shared" ca="1" si="83"/>
        <v>39</v>
      </c>
      <c r="K847" s="12" t="s">
        <v>41</v>
      </c>
      <c r="L847" s="15">
        <v>67</v>
      </c>
      <c r="M847" s="25" t="s">
        <v>40</v>
      </c>
      <c r="N847">
        <v>183</v>
      </c>
    </row>
    <row r="848" spans="1:14" ht="15.75" thickBot="1">
      <c r="A848" s="26">
        <f t="shared" si="81"/>
        <v>846</v>
      </c>
      <c r="B848" s="67" t="s">
        <v>8</v>
      </c>
      <c r="C848" s="68" t="s">
        <v>257</v>
      </c>
      <c r="D848" s="68" t="s">
        <v>396</v>
      </c>
      <c r="E848" s="23">
        <f t="shared" ca="1" si="82"/>
        <v>40951</v>
      </c>
      <c r="F848" s="16">
        <f>DATE(95,9,19)</f>
        <v>34961</v>
      </c>
      <c r="G848" s="17">
        <f t="shared" ca="1" si="78"/>
        <v>17</v>
      </c>
      <c r="H848" s="17">
        <f t="shared" ca="1" si="79"/>
        <v>-7</v>
      </c>
      <c r="I848" s="18">
        <f t="shared" ca="1" si="80"/>
        <v>-7</v>
      </c>
      <c r="J848" s="19">
        <f t="shared" ca="1" si="83"/>
        <v>16</v>
      </c>
      <c r="K848" s="17" t="s">
        <v>40</v>
      </c>
      <c r="L848" s="20">
        <v>67</v>
      </c>
      <c r="M848" s="26" t="s">
        <v>44</v>
      </c>
      <c r="N848">
        <v>183</v>
      </c>
    </row>
    <row r="849" spans="1:14">
      <c r="A849" s="25">
        <f t="shared" si="81"/>
        <v>847</v>
      </c>
      <c r="B849" s="67" t="s">
        <v>8</v>
      </c>
      <c r="C849" s="67" t="s">
        <v>164</v>
      </c>
      <c r="D849" s="67" t="s">
        <v>602</v>
      </c>
      <c r="E849" s="22">
        <f t="shared" ca="1" si="82"/>
        <v>40951</v>
      </c>
      <c r="F849" s="11">
        <f>DATE(69,10,25)</f>
        <v>25501</v>
      </c>
      <c r="G849" s="12">
        <f t="shared" ca="1" si="78"/>
        <v>43</v>
      </c>
      <c r="H849" s="12">
        <f t="shared" ca="1" si="79"/>
        <v>-8</v>
      </c>
      <c r="I849" s="13">
        <f t="shared" ca="1" si="80"/>
        <v>-13</v>
      </c>
      <c r="J849" s="14">
        <f t="shared" ca="1" si="83"/>
        <v>42</v>
      </c>
      <c r="K849" s="12" t="s">
        <v>40</v>
      </c>
      <c r="L849" s="15">
        <v>67</v>
      </c>
      <c r="M849" s="25" t="s">
        <v>40</v>
      </c>
      <c r="N849">
        <v>184</v>
      </c>
    </row>
    <row r="850" spans="1:14">
      <c r="A850" s="25">
        <f t="shared" si="81"/>
        <v>848</v>
      </c>
      <c r="B850" s="67" t="s">
        <v>8</v>
      </c>
      <c r="C850" s="67" t="s">
        <v>656</v>
      </c>
      <c r="D850" s="67" t="s">
        <v>164</v>
      </c>
      <c r="E850" s="22">
        <f t="shared" ca="1" si="82"/>
        <v>40951</v>
      </c>
      <c r="F850" s="11">
        <f>DATE(72,12,20)</f>
        <v>26653</v>
      </c>
      <c r="G850" s="12">
        <f t="shared" ca="1" si="78"/>
        <v>40</v>
      </c>
      <c r="H850" s="12">
        <f t="shared" ca="1" si="79"/>
        <v>-10</v>
      </c>
      <c r="I850" s="13">
        <f t="shared" ca="1" si="80"/>
        <v>-8</v>
      </c>
      <c r="J850" s="14">
        <f t="shared" ca="1" si="83"/>
        <v>39</v>
      </c>
      <c r="K850" s="12" t="s">
        <v>41</v>
      </c>
      <c r="L850" s="15">
        <v>67</v>
      </c>
      <c r="M850" s="25" t="s">
        <v>40</v>
      </c>
      <c r="N850">
        <v>184</v>
      </c>
    </row>
    <row r="851" spans="1:14">
      <c r="A851" s="25">
        <f t="shared" si="81"/>
        <v>849</v>
      </c>
      <c r="B851" s="67" t="s">
        <v>8</v>
      </c>
      <c r="C851" s="67" t="s">
        <v>657</v>
      </c>
      <c r="D851" s="67" t="s">
        <v>164</v>
      </c>
      <c r="E851" s="22">
        <f t="shared" ca="1" si="82"/>
        <v>40951</v>
      </c>
      <c r="F851" s="11">
        <f>DATE(2001,7,1)</f>
        <v>37073</v>
      </c>
      <c r="G851" s="12">
        <f t="shared" ca="1" si="78"/>
        <v>11</v>
      </c>
      <c r="H851" s="12">
        <f t="shared" ca="1" si="79"/>
        <v>-5</v>
      </c>
      <c r="I851" s="13">
        <f t="shared" ca="1" si="80"/>
        <v>11</v>
      </c>
      <c r="J851" s="14">
        <f t="shared" ca="1" si="83"/>
        <v>10</v>
      </c>
      <c r="K851" s="12" t="s">
        <v>41</v>
      </c>
      <c r="L851" s="15">
        <v>67</v>
      </c>
      <c r="M851" s="25" t="s">
        <v>44</v>
      </c>
      <c r="N851">
        <v>184</v>
      </c>
    </row>
    <row r="852" spans="1:14" ht="15.75" thickBot="1">
      <c r="A852" s="26">
        <f t="shared" si="81"/>
        <v>850</v>
      </c>
      <c r="B852" s="67" t="s">
        <v>8</v>
      </c>
      <c r="C852" s="68" t="s">
        <v>105</v>
      </c>
      <c r="D852" s="68" t="s">
        <v>164</v>
      </c>
      <c r="E852" s="23">
        <f t="shared" ca="1" si="82"/>
        <v>40951</v>
      </c>
      <c r="F852" s="16">
        <f>DATE(2005,11,25)</f>
        <v>38681</v>
      </c>
      <c r="G852" s="17">
        <f t="shared" ca="1" si="78"/>
        <v>7</v>
      </c>
      <c r="H852" s="17">
        <f t="shared" ca="1" si="79"/>
        <v>-9</v>
      </c>
      <c r="I852" s="18">
        <f t="shared" ca="1" si="80"/>
        <v>-13</v>
      </c>
      <c r="J852" s="19">
        <f t="shared" ca="1" si="83"/>
        <v>6</v>
      </c>
      <c r="K852" s="17" t="s">
        <v>40</v>
      </c>
      <c r="L852" s="20">
        <v>67</v>
      </c>
      <c r="M852" s="26" t="s">
        <v>44</v>
      </c>
      <c r="N852">
        <v>184</v>
      </c>
    </row>
    <row r="853" spans="1:14">
      <c r="A853" s="24">
        <f t="shared" si="81"/>
        <v>851</v>
      </c>
      <c r="B853" s="66" t="s">
        <v>8</v>
      </c>
      <c r="C853" s="66" t="s">
        <v>249</v>
      </c>
      <c r="D853" s="66" t="s">
        <v>198</v>
      </c>
      <c r="E853" s="21">
        <f t="shared" ca="1" si="82"/>
        <v>40951</v>
      </c>
      <c r="F853" s="6">
        <f>DATE(60,10,29)</f>
        <v>22218</v>
      </c>
      <c r="G853" s="7">
        <f t="shared" ca="1" si="78"/>
        <v>52</v>
      </c>
      <c r="H853" s="7">
        <f t="shared" ca="1" si="79"/>
        <v>-8</v>
      </c>
      <c r="I853" s="8">
        <f t="shared" ca="1" si="80"/>
        <v>-17</v>
      </c>
      <c r="J853" s="9">
        <f t="shared" ca="1" si="83"/>
        <v>51</v>
      </c>
      <c r="K853" s="7" t="s">
        <v>40</v>
      </c>
      <c r="L853" s="10">
        <v>68</v>
      </c>
      <c r="M853" s="24" t="s">
        <v>40</v>
      </c>
      <c r="N853">
        <v>185</v>
      </c>
    </row>
    <row r="854" spans="1:14">
      <c r="A854" s="25">
        <f t="shared" si="81"/>
        <v>852</v>
      </c>
      <c r="B854" s="67" t="s">
        <v>8</v>
      </c>
      <c r="C854" s="67" t="s">
        <v>658</v>
      </c>
      <c r="D854" s="67" t="s">
        <v>249</v>
      </c>
      <c r="E854" s="22">
        <f t="shared" ca="1" si="82"/>
        <v>40951</v>
      </c>
      <c r="F854" s="11">
        <f>DATE(69,5,11)</f>
        <v>25334</v>
      </c>
      <c r="G854" s="12">
        <f t="shared" ca="1" si="78"/>
        <v>43</v>
      </c>
      <c r="H854" s="12">
        <f t="shared" ca="1" si="79"/>
        <v>-3</v>
      </c>
      <c r="I854" s="13">
        <f t="shared" ca="1" si="80"/>
        <v>1</v>
      </c>
      <c r="J854" s="14">
        <f t="shared" ca="1" si="83"/>
        <v>42</v>
      </c>
      <c r="K854" s="12" t="s">
        <v>41</v>
      </c>
      <c r="L854" s="15">
        <v>68</v>
      </c>
      <c r="M854" s="25" t="s">
        <v>40</v>
      </c>
      <c r="N854">
        <v>185</v>
      </c>
    </row>
    <row r="855" spans="1:14">
      <c r="A855" s="25">
        <f t="shared" si="81"/>
        <v>853</v>
      </c>
      <c r="B855" s="67" t="s">
        <v>8</v>
      </c>
      <c r="C855" s="67" t="s">
        <v>659</v>
      </c>
      <c r="D855" s="67" t="s">
        <v>249</v>
      </c>
      <c r="E855" s="22">
        <f t="shared" ca="1" si="82"/>
        <v>40951</v>
      </c>
      <c r="F855" s="11">
        <f>DATE(95,7,16)</f>
        <v>34896</v>
      </c>
      <c r="G855" s="12">
        <f t="shared" ca="1" si="78"/>
        <v>17</v>
      </c>
      <c r="H855" s="12">
        <f t="shared" ca="1" si="79"/>
        <v>-5</v>
      </c>
      <c r="I855" s="13">
        <f t="shared" ca="1" si="80"/>
        <v>-4</v>
      </c>
      <c r="J855" s="14">
        <f t="shared" ca="1" si="83"/>
        <v>16</v>
      </c>
      <c r="K855" s="12" t="s">
        <v>40</v>
      </c>
      <c r="L855" s="15">
        <v>68</v>
      </c>
      <c r="M855" s="25" t="s">
        <v>44</v>
      </c>
      <c r="N855">
        <v>185</v>
      </c>
    </row>
    <row r="856" spans="1:14">
      <c r="A856" s="25">
        <f t="shared" si="81"/>
        <v>854</v>
      </c>
      <c r="B856" s="67" t="s">
        <v>8</v>
      </c>
      <c r="C856" s="67" t="s">
        <v>660</v>
      </c>
      <c r="D856" s="67" t="s">
        <v>249</v>
      </c>
      <c r="E856" s="22">
        <f t="shared" ca="1" si="82"/>
        <v>40951</v>
      </c>
      <c r="F856" s="11">
        <f>DATE(99,8,27)</f>
        <v>36399</v>
      </c>
      <c r="G856" s="12">
        <f t="shared" ca="1" si="78"/>
        <v>13</v>
      </c>
      <c r="H856" s="12">
        <f t="shared" ca="1" si="79"/>
        <v>-6</v>
      </c>
      <c r="I856" s="13">
        <f t="shared" ca="1" si="80"/>
        <v>-15</v>
      </c>
      <c r="J856" s="14">
        <f t="shared" ca="1" si="83"/>
        <v>12</v>
      </c>
      <c r="K856" s="12" t="s">
        <v>41</v>
      </c>
      <c r="L856" s="15">
        <v>68</v>
      </c>
      <c r="M856" s="25" t="s">
        <v>44</v>
      </c>
      <c r="N856">
        <v>185</v>
      </c>
    </row>
    <row r="857" spans="1:14">
      <c r="A857" s="25">
        <f t="shared" si="81"/>
        <v>855</v>
      </c>
      <c r="B857" s="67" t="s">
        <v>8</v>
      </c>
      <c r="C857" s="67" t="s">
        <v>626</v>
      </c>
      <c r="D857" s="67" t="s">
        <v>198</v>
      </c>
      <c r="E857" s="22">
        <f t="shared" ca="1" si="82"/>
        <v>40951</v>
      </c>
      <c r="F857" s="11">
        <f>DATE(41,8,31)</f>
        <v>15219</v>
      </c>
      <c r="G857" s="12">
        <f t="shared" ref="G857:G920" ca="1" si="84">YEAR(E857)-YEAR(F857)</f>
        <v>71</v>
      </c>
      <c r="H857" s="12">
        <f t="shared" ref="H857:H920" ca="1" si="85">MONTH(E857)-MONTH(F857)</f>
        <v>-6</v>
      </c>
      <c r="I857" s="13">
        <f t="shared" ref="I857:I920" ca="1" si="86">DAY(E857)-DAY(F857)</f>
        <v>-19</v>
      </c>
      <c r="J857" s="14">
        <f t="shared" ca="1" si="83"/>
        <v>70</v>
      </c>
      <c r="K857" s="12" t="s">
        <v>41</v>
      </c>
      <c r="L857" s="15">
        <v>68</v>
      </c>
      <c r="M857" s="25" t="s">
        <v>40</v>
      </c>
      <c r="N857">
        <v>185</v>
      </c>
    </row>
    <row r="858" spans="1:14">
      <c r="A858" s="25">
        <f t="shared" si="81"/>
        <v>856</v>
      </c>
      <c r="B858" s="67" t="s">
        <v>8</v>
      </c>
      <c r="C858" s="67" t="s">
        <v>541</v>
      </c>
      <c r="D858" s="67" t="s">
        <v>198</v>
      </c>
      <c r="E858" s="22">
        <f t="shared" ca="1" si="82"/>
        <v>40951</v>
      </c>
      <c r="F858" s="11">
        <f>DATE(63,2,24)</f>
        <v>23066</v>
      </c>
      <c r="G858" s="12">
        <f t="shared" ca="1" si="84"/>
        <v>49</v>
      </c>
      <c r="H858" s="12">
        <f t="shared" ca="1" si="85"/>
        <v>0</v>
      </c>
      <c r="I858" s="13">
        <f t="shared" ca="1" si="86"/>
        <v>-12</v>
      </c>
      <c r="J858" s="14">
        <f t="shared" ca="1" si="83"/>
        <v>48</v>
      </c>
      <c r="K858" s="12" t="s">
        <v>40</v>
      </c>
      <c r="L858" s="15">
        <v>68</v>
      </c>
      <c r="M858" s="25" t="s">
        <v>44</v>
      </c>
      <c r="N858">
        <v>185</v>
      </c>
    </row>
    <row r="859" spans="1:14" ht="15.75" thickBot="1">
      <c r="A859" s="26">
        <f t="shared" si="81"/>
        <v>857</v>
      </c>
      <c r="B859" s="67" t="s">
        <v>8</v>
      </c>
      <c r="C859" s="68" t="s">
        <v>661</v>
      </c>
      <c r="D859" s="68" t="s">
        <v>198</v>
      </c>
      <c r="E859" s="23">
        <f t="shared" ca="1" si="82"/>
        <v>40951</v>
      </c>
      <c r="F859" s="16">
        <f>DATE(66,5,31)</f>
        <v>24258</v>
      </c>
      <c r="G859" s="17">
        <f t="shared" ca="1" si="84"/>
        <v>46</v>
      </c>
      <c r="H859" s="17">
        <f t="shared" ca="1" si="85"/>
        <v>-3</v>
      </c>
      <c r="I859" s="18">
        <f t="shared" ca="1" si="86"/>
        <v>-19</v>
      </c>
      <c r="J859" s="19">
        <f t="shared" ca="1" si="83"/>
        <v>45</v>
      </c>
      <c r="K859" s="17" t="s">
        <v>40</v>
      </c>
      <c r="L859" s="20">
        <v>68</v>
      </c>
      <c r="M859" s="26" t="s">
        <v>44</v>
      </c>
      <c r="N859">
        <v>185</v>
      </c>
    </row>
    <row r="860" spans="1:14">
      <c r="A860" s="24">
        <f t="shared" si="81"/>
        <v>858</v>
      </c>
      <c r="B860" s="66" t="s">
        <v>8</v>
      </c>
      <c r="C860" s="66" t="s">
        <v>662</v>
      </c>
      <c r="D860" s="66" t="s">
        <v>103</v>
      </c>
      <c r="E860" s="21">
        <f t="shared" ca="1" si="82"/>
        <v>40951</v>
      </c>
      <c r="F860" s="6">
        <f>DATE(53,11,14)</f>
        <v>19677</v>
      </c>
      <c r="G860" s="7">
        <f t="shared" ca="1" si="84"/>
        <v>59</v>
      </c>
      <c r="H860" s="7">
        <f t="shared" ca="1" si="85"/>
        <v>-9</v>
      </c>
      <c r="I860" s="8">
        <f t="shared" ca="1" si="86"/>
        <v>-2</v>
      </c>
      <c r="J860" s="9">
        <f t="shared" ca="1" si="83"/>
        <v>58</v>
      </c>
      <c r="K860" s="7" t="s">
        <v>41</v>
      </c>
      <c r="L860" s="10">
        <v>68</v>
      </c>
      <c r="M860" s="24" t="s">
        <v>40</v>
      </c>
      <c r="N860">
        <v>186</v>
      </c>
    </row>
    <row r="861" spans="1:14" ht="15.75" thickBot="1">
      <c r="A861" s="26">
        <f t="shared" si="81"/>
        <v>859</v>
      </c>
      <c r="B861" s="67" t="s">
        <v>8</v>
      </c>
      <c r="C861" s="68" t="s">
        <v>344</v>
      </c>
      <c r="D861" s="68" t="s">
        <v>103</v>
      </c>
      <c r="E861" s="23">
        <f t="shared" ca="1" si="82"/>
        <v>40951</v>
      </c>
      <c r="F861" s="16">
        <f>DATE(79,8,9)</f>
        <v>29076</v>
      </c>
      <c r="G861" s="17">
        <f t="shared" ca="1" si="84"/>
        <v>33</v>
      </c>
      <c r="H861" s="17">
        <f t="shared" ca="1" si="85"/>
        <v>-6</v>
      </c>
      <c r="I861" s="18">
        <f t="shared" ca="1" si="86"/>
        <v>3</v>
      </c>
      <c r="J861" s="19">
        <f t="shared" ca="1" si="83"/>
        <v>32</v>
      </c>
      <c r="K861" s="17" t="s">
        <v>41</v>
      </c>
      <c r="L861" s="20">
        <v>68</v>
      </c>
      <c r="M861" s="26" t="s">
        <v>44</v>
      </c>
      <c r="N861">
        <v>186</v>
      </c>
    </row>
    <row r="862" spans="1:14">
      <c r="A862" s="24">
        <f t="shared" ref="A862:A925" si="87">A861+1</f>
        <v>860</v>
      </c>
      <c r="B862" s="66" t="s">
        <v>8</v>
      </c>
      <c r="C862" s="66" t="s">
        <v>663</v>
      </c>
      <c r="D862" s="66" t="s">
        <v>65</v>
      </c>
      <c r="E862" s="21">
        <f t="shared" ca="1" si="82"/>
        <v>40951</v>
      </c>
      <c r="F862" s="45"/>
      <c r="G862" s="7">
        <f t="shared" ca="1" si="84"/>
        <v>112</v>
      </c>
      <c r="H862" s="7">
        <f t="shared" ca="1" si="85"/>
        <v>1</v>
      </c>
      <c r="I862" s="8">
        <f t="shared" ca="1" si="86"/>
        <v>12</v>
      </c>
      <c r="J862" s="9">
        <f t="shared" ca="1" si="83"/>
        <v>112</v>
      </c>
      <c r="K862" s="7" t="s">
        <v>40</v>
      </c>
      <c r="L862" s="10">
        <v>68</v>
      </c>
      <c r="M862" s="24" t="s">
        <v>40</v>
      </c>
      <c r="N862">
        <v>187</v>
      </c>
    </row>
    <row r="863" spans="1:14">
      <c r="A863" s="25">
        <f t="shared" si="87"/>
        <v>861</v>
      </c>
      <c r="B863" s="67" t="s">
        <v>8</v>
      </c>
      <c r="C863" s="67" t="s">
        <v>210</v>
      </c>
      <c r="D863" s="67" t="s">
        <v>663</v>
      </c>
      <c r="E863" s="22">
        <f t="shared" ca="1" si="82"/>
        <v>40951</v>
      </c>
      <c r="F863" s="32"/>
      <c r="G863" s="12">
        <f t="shared" ca="1" si="84"/>
        <v>112</v>
      </c>
      <c r="H863" s="12">
        <f t="shared" ca="1" si="85"/>
        <v>1</v>
      </c>
      <c r="I863" s="13">
        <f t="shared" ca="1" si="86"/>
        <v>12</v>
      </c>
      <c r="J863" s="14">
        <f t="shared" ca="1" si="83"/>
        <v>112</v>
      </c>
      <c r="K863" s="12" t="s">
        <v>41</v>
      </c>
      <c r="L863" s="15">
        <v>68</v>
      </c>
      <c r="M863" s="25" t="s">
        <v>40</v>
      </c>
      <c r="N863">
        <v>187</v>
      </c>
    </row>
    <row r="864" spans="1:14">
      <c r="A864" s="25">
        <f t="shared" si="87"/>
        <v>862</v>
      </c>
      <c r="B864" s="67" t="s">
        <v>8</v>
      </c>
      <c r="C864" s="67" t="s">
        <v>664</v>
      </c>
      <c r="D864" s="67" t="s">
        <v>663</v>
      </c>
      <c r="E864" s="22">
        <f t="shared" ca="1" si="82"/>
        <v>40951</v>
      </c>
      <c r="F864" s="11">
        <f>DATE(87,3,2)</f>
        <v>31838</v>
      </c>
      <c r="G864" s="12">
        <f t="shared" ca="1" si="84"/>
        <v>25</v>
      </c>
      <c r="H864" s="12">
        <f t="shared" ca="1" si="85"/>
        <v>-1</v>
      </c>
      <c r="I864" s="13">
        <f t="shared" ca="1" si="86"/>
        <v>10</v>
      </c>
      <c r="J864" s="14">
        <f t="shared" ca="1" si="83"/>
        <v>24</v>
      </c>
      <c r="K864" s="12" t="s">
        <v>40</v>
      </c>
      <c r="L864" s="15">
        <v>68</v>
      </c>
      <c r="M864" s="25" t="s">
        <v>40</v>
      </c>
      <c r="N864">
        <v>187</v>
      </c>
    </row>
    <row r="865" spans="1:14" ht="15.75" thickBot="1">
      <c r="A865" s="26">
        <f t="shared" si="87"/>
        <v>863</v>
      </c>
      <c r="B865" s="67" t="s">
        <v>8</v>
      </c>
      <c r="C865" s="68" t="s">
        <v>160</v>
      </c>
      <c r="D865" s="68" t="s">
        <v>663</v>
      </c>
      <c r="E865" s="23">
        <f t="shared" ca="1" si="82"/>
        <v>40951</v>
      </c>
      <c r="F865" s="16">
        <f>DATE(82,11,16)</f>
        <v>30271</v>
      </c>
      <c r="G865" s="17">
        <f t="shared" ca="1" si="84"/>
        <v>30</v>
      </c>
      <c r="H865" s="17">
        <f t="shared" ca="1" si="85"/>
        <v>-9</v>
      </c>
      <c r="I865" s="18">
        <f t="shared" ca="1" si="86"/>
        <v>-4</v>
      </c>
      <c r="J865" s="19">
        <f t="shared" ca="1" si="83"/>
        <v>29</v>
      </c>
      <c r="K865" s="17" t="s">
        <v>41</v>
      </c>
      <c r="L865" s="20">
        <v>68</v>
      </c>
      <c r="M865" s="26" t="s">
        <v>40</v>
      </c>
      <c r="N865">
        <v>187</v>
      </c>
    </row>
    <row r="866" spans="1:14">
      <c r="A866" s="24">
        <f t="shared" si="87"/>
        <v>864</v>
      </c>
      <c r="B866" s="66" t="s">
        <v>8</v>
      </c>
      <c r="C866" s="66" t="s">
        <v>665</v>
      </c>
      <c r="D866" s="66" t="s">
        <v>546</v>
      </c>
      <c r="E866" s="21">
        <f t="shared" ca="1" si="82"/>
        <v>40951</v>
      </c>
      <c r="F866" s="6">
        <f>DATE(51,2,25)</f>
        <v>18684</v>
      </c>
      <c r="G866" s="7">
        <f t="shared" ca="1" si="84"/>
        <v>61</v>
      </c>
      <c r="H866" s="7">
        <f t="shared" ca="1" si="85"/>
        <v>0</v>
      </c>
      <c r="I866" s="8">
        <f t="shared" ca="1" si="86"/>
        <v>-13</v>
      </c>
      <c r="J866" s="9">
        <f t="shared" ca="1" si="83"/>
        <v>60</v>
      </c>
      <c r="K866" s="7" t="s">
        <v>40</v>
      </c>
      <c r="L866" s="10">
        <v>69</v>
      </c>
      <c r="M866" s="24" t="s">
        <v>40</v>
      </c>
      <c r="N866">
        <v>188</v>
      </c>
    </row>
    <row r="867" spans="1:14">
      <c r="A867" s="25">
        <f t="shared" si="87"/>
        <v>865</v>
      </c>
      <c r="B867" s="67" t="s">
        <v>8</v>
      </c>
      <c r="C867" s="67" t="s">
        <v>400</v>
      </c>
      <c r="D867" s="67" t="s">
        <v>666</v>
      </c>
      <c r="E867" s="22">
        <f t="shared" ref="E867:E931" ca="1" si="88">TODAY()</f>
        <v>40951</v>
      </c>
      <c r="F867" s="11">
        <f>DATE(56,7,24)</f>
        <v>20660</v>
      </c>
      <c r="G867" s="12">
        <f t="shared" ca="1" si="84"/>
        <v>56</v>
      </c>
      <c r="H867" s="12">
        <f t="shared" ca="1" si="85"/>
        <v>-5</v>
      </c>
      <c r="I867" s="13">
        <f t="shared" ca="1" si="86"/>
        <v>-12</v>
      </c>
      <c r="J867" s="14">
        <f t="shared" ca="1" si="83"/>
        <v>55</v>
      </c>
      <c r="K867" s="12" t="s">
        <v>41</v>
      </c>
      <c r="L867" s="15">
        <v>69</v>
      </c>
      <c r="M867" s="25" t="s">
        <v>40</v>
      </c>
      <c r="N867">
        <v>188</v>
      </c>
    </row>
    <row r="868" spans="1:14">
      <c r="A868" s="25">
        <f t="shared" si="87"/>
        <v>866</v>
      </c>
      <c r="B868" s="67" t="s">
        <v>8</v>
      </c>
      <c r="C868" s="67" t="s">
        <v>538</v>
      </c>
      <c r="D868" s="67" t="s">
        <v>546</v>
      </c>
      <c r="E868" s="22">
        <f t="shared" ca="1" si="88"/>
        <v>40951</v>
      </c>
      <c r="F868" s="32"/>
      <c r="G868" s="12">
        <f t="shared" ca="1" si="84"/>
        <v>112</v>
      </c>
      <c r="H868" s="12">
        <f t="shared" ca="1" si="85"/>
        <v>1</v>
      </c>
      <c r="I868" s="13">
        <f t="shared" ca="1" si="86"/>
        <v>12</v>
      </c>
      <c r="J868" s="14">
        <f t="shared" ca="1" si="83"/>
        <v>112</v>
      </c>
      <c r="K868" s="12" t="s">
        <v>41</v>
      </c>
      <c r="L868" s="15">
        <v>69</v>
      </c>
      <c r="M868" s="25" t="s">
        <v>40</v>
      </c>
      <c r="N868">
        <v>188</v>
      </c>
    </row>
    <row r="869" spans="1:14">
      <c r="A869" s="25">
        <f t="shared" si="87"/>
        <v>867</v>
      </c>
      <c r="B869" s="67" t="s">
        <v>8</v>
      </c>
      <c r="C869" s="67" t="s">
        <v>112</v>
      </c>
      <c r="D869" s="67" t="s">
        <v>666</v>
      </c>
      <c r="E869" s="22">
        <f t="shared" ca="1" si="88"/>
        <v>40951</v>
      </c>
      <c r="F869" s="11">
        <f>DATE(75,4,14)</f>
        <v>27498</v>
      </c>
      <c r="G869" s="12">
        <f t="shared" ca="1" si="84"/>
        <v>37</v>
      </c>
      <c r="H869" s="12">
        <f t="shared" ca="1" si="85"/>
        <v>-2</v>
      </c>
      <c r="I869" s="13">
        <f t="shared" ca="1" si="86"/>
        <v>-2</v>
      </c>
      <c r="J869" s="14">
        <f t="shared" ca="1" si="83"/>
        <v>36</v>
      </c>
      <c r="K869" s="12" t="s">
        <v>40</v>
      </c>
      <c r="L869" s="15">
        <v>69</v>
      </c>
      <c r="M869" s="25" t="s">
        <v>40</v>
      </c>
      <c r="N869">
        <v>188</v>
      </c>
    </row>
    <row r="870" spans="1:14">
      <c r="A870" s="25">
        <f t="shared" si="87"/>
        <v>868</v>
      </c>
      <c r="B870" s="67" t="s">
        <v>8</v>
      </c>
      <c r="C870" s="67" t="s">
        <v>667</v>
      </c>
      <c r="D870" s="67" t="s">
        <v>112</v>
      </c>
      <c r="E870" s="22">
        <f t="shared" ca="1" si="88"/>
        <v>40951</v>
      </c>
      <c r="F870" s="11">
        <f>DATE(75,12,6)</f>
        <v>27734</v>
      </c>
      <c r="G870" s="12">
        <f t="shared" ca="1" si="84"/>
        <v>37</v>
      </c>
      <c r="H870" s="12">
        <f t="shared" ca="1" si="85"/>
        <v>-10</v>
      </c>
      <c r="I870" s="13">
        <f t="shared" ca="1" si="86"/>
        <v>6</v>
      </c>
      <c r="J870" s="14">
        <f t="shared" ca="1" si="83"/>
        <v>36</v>
      </c>
      <c r="K870" s="12" t="s">
        <v>41</v>
      </c>
      <c r="L870" s="15">
        <v>69</v>
      </c>
      <c r="M870" s="25" t="s">
        <v>40</v>
      </c>
      <c r="N870">
        <v>188</v>
      </c>
    </row>
    <row r="871" spans="1:14">
      <c r="A871" s="25">
        <f t="shared" si="87"/>
        <v>869</v>
      </c>
      <c r="B871" s="67" t="s">
        <v>8</v>
      </c>
      <c r="C871" s="67" t="s">
        <v>668</v>
      </c>
      <c r="D871" s="67" t="s">
        <v>112</v>
      </c>
      <c r="E871" s="22">
        <f t="shared" ca="1" si="88"/>
        <v>40951</v>
      </c>
      <c r="F871" s="11">
        <f>DATE(2001,11,11)</f>
        <v>37206</v>
      </c>
      <c r="G871" s="12">
        <f t="shared" ca="1" si="84"/>
        <v>11</v>
      </c>
      <c r="H871" s="12">
        <f t="shared" ca="1" si="85"/>
        <v>-9</v>
      </c>
      <c r="I871" s="13">
        <f t="shared" ca="1" si="86"/>
        <v>1</v>
      </c>
      <c r="J871" s="14">
        <f t="shared" ca="1" si="83"/>
        <v>10</v>
      </c>
      <c r="K871" s="12" t="s">
        <v>41</v>
      </c>
      <c r="L871" s="15">
        <v>69</v>
      </c>
      <c r="M871" s="25" t="s">
        <v>44</v>
      </c>
      <c r="N871">
        <v>188</v>
      </c>
    </row>
    <row r="872" spans="1:14">
      <c r="A872" s="25">
        <f t="shared" si="87"/>
        <v>870</v>
      </c>
      <c r="B872" s="67" t="s">
        <v>8</v>
      </c>
      <c r="C872" s="67" t="s">
        <v>632</v>
      </c>
      <c r="D872" s="67" t="s">
        <v>112</v>
      </c>
      <c r="E872" s="22">
        <f t="shared" ca="1" si="88"/>
        <v>40951</v>
      </c>
      <c r="F872" s="11">
        <f>DATE(2004,9,25)</f>
        <v>38255</v>
      </c>
      <c r="G872" s="12">
        <f t="shared" ca="1" si="84"/>
        <v>8</v>
      </c>
      <c r="H872" s="12">
        <f t="shared" ca="1" si="85"/>
        <v>-7</v>
      </c>
      <c r="I872" s="13">
        <f t="shared" ca="1" si="86"/>
        <v>-13</v>
      </c>
      <c r="J872" s="14">
        <f t="shared" ca="1" si="83"/>
        <v>7</v>
      </c>
      <c r="K872" s="12" t="s">
        <v>41</v>
      </c>
      <c r="L872" s="15">
        <v>69</v>
      </c>
      <c r="M872" s="25" t="s">
        <v>44</v>
      </c>
      <c r="N872">
        <v>188</v>
      </c>
    </row>
    <row r="873" spans="1:14">
      <c r="A873" s="25">
        <f t="shared" si="87"/>
        <v>871</v>
      </c>
      <c r="B873" s="67" t="s">
        <v>8</v>
      </c>
      <c r="C873" s="67" t="s">
        <v>592</v>
      </c>
      <c r="D873" s="67" t="s">
        <v>666</v>
      </c>
      <c r="E873" s="22">
        <f t="shared" ca="1" si="88"/>
        <v>40951</v>
      </c>
      <c r="F873" s="11">
        <f>DATE(77,8,30)</f>
        <v>28367</v>
      </c>
      <c r="G873" s="12">
        <f t="shared" ca="1" si="84"/>
        <v>35</v>
      </c>
      <c r="H873" s="12">
        <f t="shared" ca="1" si="85"/>
        <v>-6</v>
      </c>
      <c r="I873" s="13">
        <f t="shared" ca="1" si="86"/>
        <v>-18</v>
      </c>
      <c r="J873" s="14">
        <f t="shared" ca="1" si="83"/>
        <v>34</v>
      </c>
      <c r="K873" s="12" t="s">
        <v>40</v>
      </c>
      <c r="L873" s="15">
        <v>69</v>
      </c>
      <c r="M873" s="25" t="s">
        <v>40</v>
      </c>
      <c r="N873">
        <v>188</v>
      </c>
    </row>
    <row r="874" spans="1:14">
      <c r="A874" s="25">
        <f t="shared" si="87"/>
        <v>872</v>
      </c>
      <c r="B874" s="67" t="s">
        <v>8</v>
      </c>
      <c r="C874" s="67" t="s">
        <v>669</v>
      </c>
      <c r="D874" s="67" t="s">
        <v>592</v>
      </c>
      <c r="E874" s="22">
        <f t="shared" ca="1" si="88"/>
        <v>40951</v>
      </c>
      <c r="F874" s="11">
        <f>DATE(82,11,28)</f>
        <v>30283</v>
      </c>
      <c r="G874" s="12">
        <f t="shared" ca="1" si="84"/>
        <v>30</v>
      </c>
      <c r="H874" s="12">
        <f t="shared" ca="1" si="85"/>
        <v>-9</v>
      </c>
      <c r="I874" s="13">
        <f t="shared" ca="1" si="86"/>
        <v>-16</v>
      </c>
      <c r="J874" s="14">
        <f t="shared" ca="1" si="83"/>
        <v>29</v>
      </c>
      <c r="K874" s="12" t="s">
        <v>41</v>
      </c>
      <c r="L874" s="15">
        <v>69</v>
      </c>
      <c r="M874" s="25" t="s">
        <v>40</v>
      </c>
      <c r="N874">
        <v>188</v>
      </c>
    </row>
    <row r="875" spans="1:14">
      <c r="A875" s="25">
        <f t="shared" si="87"/>
        <v>873</v>
      </c>
      <c r="B875" s="67" t="s">
        <v>8</v>
      </c>
      <c r="C875" s="67" t="s">
        <v>303</v>
      </c>
      <c r="D875" s="67" t="s">
        <v>592</v>
      </c>
      <c r="E875" s="22">
        <f t="shared" ca="1" si="88"/>
        <v>40951</v>
      </c>
      <c r="F875" s="11">
        <f>DATE(2003,11,12)</f>
        <v>37937</v>
      </c>
      <c r="G875" s="12">
        <f t="shared" ca="1" si="84"/>
        <v>9</v>
      </c>
      <c r="H875" s="12">
        <f t="shared" ca="1" si="85"/>
        <v>-9</v>
      </c>
      <c r="I875" s="13">
        <f t="shared" ca="1" si="86"/>
        <v>0</v>
      </c>
      <c r="J875" s="14">
        <f t="shared" ca="1" si="83"/>
        <v>8</v>
      </c>
      <c r="K875" s="12" t="s">
        <v>41</v>
      </c>
      <c r="L875" s="15">
        <v>69</v>
      </c>
      <c r="M875" s="25" t="s">
        <v>44</v>
      </c>
      <c r="N875">
        <v>188</v>
      </c>
    </row>
    <row r="876" spans="1:14" ht="15.75" thickBot="1">
      <c r="A876" s="26">
        <f t="shared" si="87"/>
        <v>874</v>
      </c>
      <c r="B876" s="67" t="s">
        <v>8</v>
      </c>
      <c r="C876" s="68" t="s">
        <v>670</v>
      </c>
      <c r="D876" s="68" t="s">
        <v>592</v>
      </c>
      <c r="E876" s="23">
        <f t="shared" ca="1" si="88"/>
        <v>40951</v>
      </c>
      <c r="F876" s="16">
        <f>DATE(2005,4,6)</f>
        <v>38448</v>
      </c>
      <c r="G876" s="17">
        <f t="shared" ca="1" si="84"/>
        <v>7</v>
      </c>
      <c r="H876" s="17">
        <f t="shared" ca="1" si="85"/>
        <v>-2</v>
      </c>
      <c r="I876" s="18">
        <f t="shared" ca="1" si="86"/>
        <v>6</v>
      </c>
      <c r="J876" s="19">
        <f t="shared" ca="1" si="83"/>
        <v>6</v>
      </c>
      <c r="K876" s="17" t="s">
        <v>40</v>
      </c>
      <c r="L876" s="20">
        <v>69</v>
      </c>
      <c r="M876" s="26" t="s">
        <v>44</v>
      </c>
      <c r="N876">
        <v>188</v>
      </c>
    </row>
    <row r="877" spans="1:14">
      <c r="A877" s="24">
        <f t="shared" si="87"/>
        <v>875</v>
      </c>
      <c r="B877" s="66" t="s">
        <v>8</v>
      </c>
      <c r="C877" s="66" t="s">
        <v>266</v>
      </c>
      <c r="D877" s="66" t="s">
        <v>77</v>
      </c>
      <c r="E877" s="21">
        <f t="shared" ca="1" si="88"/>
        <v>40951</v>
      </c>
      <c r="F877" s="6">
        <f>DATE(46,4,6)</f>
        <v>16898</v>
      </c>
      <c r="G877" s="7">
        <f t="shared" ca="1" si="84"/>
        <v>66</v>
      </c>
      <c r="H877" s="7">
        <f t="shared" ca="1" si="85"/>
        <v>-2</v>
      </c>
      <c r="I877" s="8">
        <f t="shared" ca="1" si="86"/>
        <v>6</v>
      </c>
      <c r="J877" s="9">
        <f t="shared" ca="1" si="83"/>
        <v>65</v>
      </c>
      <c r="K877" s="7" t="s">
        <v>40</v>
      </c>
      <c r="L877" s="10">
        <v>69</v>
      </c>
      <c r="M877" s="24" t="s">
        <v>40</v>
      </c>
      <c r="N877">
        <v>189</v>
      </c>
    </row>
    <row r="878" spans="1:14">
      <c r="A878" s="25">
        <f t="shared" si="87"/>
        <v>876</v>
      </c>
      <c r="B878" s="67" t="s">
        <v>8</v>
      </c>
      <c r="C878" s="67" t="s">
        <v>671</v>
      </c>
      <c r="D878" s="67" t="s">
        <v>266</v>
      </c>
      <c r="E878" s="22">
        <f t="shared" ca="1" si="88"/>
        <v>40951</v>
      </c>
      <c r="F878" s="11">
        <f>DATE(50,9,11)</f>
        <v>18517</v>
      </c>
      <c r="G878" s="12">
        <f t="shared" ca="1" si="84"/>
        <v>62</v>
      </c>
      <c r="H878" s="12">
        <f t="shared" ca="1" si="85"/>
        <v>-7</v>
      </c>
      <c r="I878" s="13">
        <f t="shared" ca="1" si="86"/>
        <v>1</v>
      </c>
      <c r="J878" s="14">
        <f t="shared" ca="1" si="83"/>
        <v>61</v>
      </c>
      <c r="K878" s="12" t="s">
        <v>41</v>
      </c>
      <c r="L878" s="15">
        <v>69</v>
      </c>
      <c r="M878" s="25" t="s">
        <v>40</v>
      </c>
      <c r="N878">
        <v>189</v>
      </c>
    </row>
    <row r="879" spans="1:14">
      <c r="A879" s="25">
        <f t="shared" si="87"/>
        <v>877</v>
      </c>
      <c r="B879" s="67" t="s">
        <v>8</v>
      </c>
      <c r="C879" s="67" t="s">
        <v>312</v>
      </c>
      <c r="D879" s="67" t="s">
        <v>266</v>
      </c>
      <c r="E879" s="22">
        <f t="shared" ca="1" si="88"/>
        <v>40951</v>
      </c>
      <c r="F879" s="11">
        <f>DATE(73,3,22)</f>
        <v>26745</v>
      </c>
      <c r="G879" s="12">
        <f t="shared" ca="1" si="84"/>
        <v>39</v>
      </c>
      <c r="H879" s="12">
        <f t="shared" ca="1" si="85"/>
        <v>-1</v>
      </c>
      <c r="I879" s="13">
        <f t="shared" ca="1" si="86"/>
        <v>-10</v>
      </c>
      <c r="J879" s="14">
        <f t="shared" ca="1" si="83"/>
        <v>38</v>
      </c>
      <c r="K879" s="12" t="s">
        <v>40</v>
      </c>
      <c r="L879" s="15">
        <v>69</v>
      </c>
      <c r="M879" s="25" t="s">
        <v>44</v>
      </c>
      <c r="N879">
        <v>189</v>
      </c>
    </row>
    <row r="880" spans="1:14">
      <c r="A880" s="25">
        <f t="shared" si="87"/>
        <v>878</v>
      </c>
      <c r="B880" s="67" t="s">
        <v>8</v>
      </c>
      <c r="C880" s="67" t="s">
        <v>672</v>
      </c>
      <c r="D880" s="67" t="s">
        <v>266</v>
      </c>
      <c r="E880" s="22">
        <f t="shared" ca="1" si="88"/>
        <v>40951</v>
      </c>
      <c r="F880" s="11">
        <f>DATE(75,3,6)</f>
        <v>27459</v>
      </c>
      <c r="G880" s="12">
        <f t="shared" ca="1" si="84"/>
        <v>37</v>
      </c>
      <c r="H880" s="12">
        <f t="shared" ca="1" si="85"/>
        <v>-1</v>
      </c>
      <c r="I880" s="13">
        <f t="shared" ca="1" si="86"/>
        <v>6</v>
      </c>
      <c r="J880" s="14">
        <f t="shared" ca="1" si="83"/>
        <v>36</v>
      </c>
      <c r="K880" s="12" t="s">
        <v>40</v>
      </c>
      <c r="L880" s="15">
        <v>69</v>
      </c>
      <c r="M880" s="25" t="s">
        <v>40</v>
      </c>
      <c r="N880">
        <v>189</v>
      </c>
    </row>
    <row r="881" spans="1:14">
      <c r="A881" s="25">
        <f t="shared" si="87"/>
        <v>879</v>
      </c>
      <c r="B881" s="67" t="s">
        <v>8</v>
      </c>
      <c r="C881" s="67" t="s">
        <v>673</v>
      </c>
      <c r="D881" s="67" t="s">
        <v>672</v>
      </c>
      <c r="E881" s="22">
        <f t="shared" ca="1" si="88"/>
        <v>40951</v>
      </c>
      <c r="F881" s="11">
        <f>DATE(80,9,13)</f>
        <v>29477</v>
      </c>
      <c r="G881" s="12">
        <f t="shared" ca="1" si="84"/>
        <v>32</v>
      </c>
      <c r="H881" s="12">
        <f t="shared" ca="1" si="85"/>
        <v>-7</v>
      </c>
      <c r="I881" s="13">
        <f t="shared" ca="1" si="86"/>
        <v>-1</v>
      </c>
      <c r="J881" s="14">
        <f t="shared" ca="1" si="83"/>
        <v>31</v>
      </c>
      <c r="K881" s="12" t="s">
        <v>41</v>
      </c>
      <c r="L881" s="15">
        <v>69</v>
      </c>
      <c r="M881" s="25" t="s">
        <v>40</v>
      </c>
      <c r="N881">
        <v>189</v>
      </c>
    </row>
    <row r="882" spans="1:14">
      <c r="A882" s="25">
        <f t="shared" si="87"/>
        <v>880</v>
      </c>
      <c r="B882" s="67" t="s">
        <v>8</v>
      </c>
      <c r="C882" s="67" t="s">
        <v>125</v>
      </c>
      <c r="D882" s="67" t="s">
        <v>672</v>
      </c>
      <c r="E882" s="22">
        <f t="shared" ca="1" si="88"/>
        <v>40951</v>
      </c>
      <c r="F882" s="11">
        <f>DATE(2005,12,29)</f>
        <v>38715</v>
      </c>
      <c r="G882" s="12">
        <f t="shared" ca="1" si="84"/>
        <v>7</v>
      </c>
      <c r="H882" s="12">
        <f t="shared" ca="1" si="85"/>
        <v>-10</v>
      </c>
      <c r="I882" s="13">
        <f t="shared" ca="1" si="86"/>
        <v>-17</v>
      </c>
      <c r="J882" s="14">
        <f t="shared" ca="1" si="83"/>
        <v>6</v>
      </c>
      <c r="K882" s="12" t="s">
        <v>41</v>
      </c>
      <c r="L882" s="15">
        <v>69</v>
      </c>
      <c r="M882" s="25" t="s">
        <v>44</v>
      </c>
      <c r="N882">
        <v>189</v>
      </c>
    </row>
    <row r="883" spans="1:14" ht="15.75" thickBot="1">
      <c r="A883" s="26">
        <f t="shared" si="87"/>
        <v>881</v>
      </c>
      <c r="B883" s="67" t="s">
        <v>8</v>
      </c>
      <c r="C883" s="68" t="s">
        <v>305</v>
      </c>
      <c r="D883" s="68" t="s">
        <v>266</v>
      </c>
      <c r="E883" s="23">
        <f t="shared" ca="1" si="88"/>
        <v>40951</v>
      </c>
      <c r="F883" s="16">
        <f>DATE(79,6,13)</f>
        <v>29019</v>
      </c>
      <c r="G883" s="17">
        <f t="shared" ca="1" si="84"/>
        <v>33</v>
      </c>
      <c r="H883" s="17">
        <f t="shared" ca="1" si="85"/>
        <v>-4</v>
      </c>
      <c r="I883" s="18">
        <f t="shared" ca="1" si="86"/>
        <v>-1</v>
      </c>
      <c r="J883" s="19">
        <f t="shared" ca="1" si="83"/>
        <v>32</v>
      </c>
      <c r="K883" s="17" t="s">
        <v>40</v>
      </c>
      <c r="L883" s="20">
        <v>69</v>
      </c>
      <c r="M883" s="26" t="s">
        <v>44</v>
      </c>
      <c r="N883">
        <v>189</v>
      </c>
    </row>
    <row r="884" spans="1:14">
      <c r="A884" s="24">
        <f t="shared" si="87"/>
        <v>882</v>
      </c>
      <c r="B884" s="66" t="s">
        <v>8</v>
      </c>
      <c r="C884" s="66" t="s">
        <v>674</v>
      </c>
      <c r="D884" s="66" t="s">
        <v>198</v>
      </c>
      <c r="E884" s="21">
        <f t="shared" ca="1" si="88"/>
        <v>40951</v>
      </c>
      <c r="F884" s="6">
        <f>DATE(45,9,28)</f>
        <v>16708</v>
      </c>
      <c r="G884" s="7">
        <f t="shared" ca="1" si="84"/>
        <v>67</v>
      </c>
      <c r="H884" s="7">
        <f t="shared" ca="1" si="85"/>
        <v>-7</v>
      </c>
      <c r="I884" s="8">
        <f t="shared" ca="1" si="86"/>
        <v>-16</v>
      </c>
      <c r="J884" s="9">
        <f t="shared" ca="1" si="83"/>
        <v>66</v>
      </c>
      <c r="K884" s="7" t="s">
        <v>40</v>
      </c>
      <c r="L884" s="10">
        <v>70</v>
      </c>
      <c r="M884" s="24" t="s">
        <v>40</v>
      </c>
      <c r="N884">
        <v>190</v>
      </c>
    </row>
    <row r="885" spans="1:14">
      <c r="A885" s="25">
        <f t="shared" si="87"/>
        <v>883</v>
      </c>
      <c r="B885" s="67" t="s">
        <v>8</v>
      </c>
      <c r="C885" s="67" t="s">
        <v>111</v>
      </c>
      <c r="D885" s="67" t="s">
        <v>674</v>
      </c>
      <c r="E885" s="22">
        <f t="shared" ca="1" si="88"/>
        <v>40951</v>
      </c>
      <c r="F885" s="11">
        <f>DATE(48,10,1)</f>
        <v>17807</v>
      </c>
      <c r="G885" s="12">
        <f t="shared" ca="1" si="84"/>
        <v>64</v>
      </c>
      <c r="H885" s="12">
        <f t="shared" ca="1" si="85"/>
        <v>-8</v>
      </c>
      <c r="I885" s="13">
        <f t="shared" ca="1" si="86"/>
        <v>11</v>
      </c>
      <c r="J885" s="14">
        <f t="shared" ca="1" si="83"/>
        <v>63</v>
      </c>
      <c r="K885" s="12" t="s">
        <v>41</v>
      </c>
      <c r="L885" s="15">
        <v>70</v>
      </c>
      <c r="M885" s="25" t="s">
        <v>40</v>
      </c>
      <c r="N885">
        <v>190</v>
      </c>
    </row>
    <row r="886" spans="1:14">
      <c r="A886" s="25">
        <f t="shared" si="87"/>
        <v>884</v>
      </c>
      <c r="B886" s="67" t="s">
        <v>8</v>
      </c>
      <c r="C886" s="67" t="s">
        <v>140</v>
      </c>
      <c r="D886" s="67" t="s">
        <v>674</v>
      </c>
      <c r="E886" s="22">
        <f t="shared" ca="1" si="88"/>
        <v>40951</v>
      </c>
      <c r="F886" s="11">
        <f>DATE(73,7,30)</f>
        <v>26875</v>
      </c>
      <c r="G886" s="12">
        <f t="shared" ca="1" si="84"/>
        <v>39</v>
      </c>
      <c r="H886" s="12">
        <f t="shared" ca="1" si="85"/>
        <v>-5</v>
      </c>
      <c r="I886" s="13">
        <f t="shared" ca="1" si="86"/>
        <v>-18</v>
      </c>
      <c r="J886" s="14">
        <f t="shared" ca="1" si="83"/>
        <v>38</v>
      </c>
      <c r="K886" s="12" t="s">
        <v>40</v>
      </c>
      <c r="L886" s="15">
        <v>70</v>
      </c>
      <c r="M886" s="25" t="s">
        <v>40</v>
      </c>
      <c r="N886">
        <v>190</v>
      </c>
    </row>
    <row r="887" spans="1:14">
      <c r="A887" s="25">
        <f t="shared" si="87"/>
        <v>885</v>
      </c>
      <c r="B887" s="67" t="s">
        <v>8</v>
      </c>
      <c r="C887" s="67" t="s">
        <v>165</v>
      </c>
      <c r="D887" s="67" t="s">
        <v>140</v>
      </c>
      <c r="E887" s="22">
        <f t="shared" ca="1" si="88"/>
        <v>40951</v>
      </c>
      <c r="F887" s="11">
        <f>DATE(76,12,10)</f>
        <v>28104</v>
      </c>
      <c r="G887" s="12">
        <f t="shared" ca="1" si="84"/>
        <v>36</v>
      </c>
      <c r="H887" s="12">
        <f t="shared" ca="1" si="85"/>
        <v>-10</v>
      </c>
      <c r="I887" s="13">
        <f t="shared" ca="1" si="86"/>
        <v>2</v>
      </c>
      <c r="J887" s="14">
        <f t="shared" ca="1" si="83"/>
        <v>35</v>
      </c>
      <c r="K887" s="12" t="s">
        <v>41</v>
      </c>
      <c r="L887" s="15">
        <v>70</v>
      </c>
      <c r="M887" s="25" t="s">
        <v>40</v>
      </c>
      <c r="N887">
        <v>190</v>
      </c>
    </row>
    <row r="888" spans="1:14">
      <c r="A888" s="25">
        <f t="shared" si="87"/>
        <v>886</v>
      </c>
      <c r="B888" s="67" t="s">
        <v>8</v>
      </c>
      <c r="C888" s="67" t="s">
        <v>126</v>
      </c>
      <c r="D888" s="67" t="s">
        <v>140</v>
      </c>
      <c r="E888" s="22">
        <f t="shared" ca="1" si="88"/>
        <v>40951</v>
      </c>
      <c r="F888" s="11">
        <f>DATE(2001,9,1)</f>
        <v>37135</v>
      </c>
      <c r="G888" s="12">
        <f t="shared" ca="1" si="84"/>
        <v>11</v>
      </c>
      <c r="H888" s="12">
        <f t="shared" ca="1" si="85"/>
        <v>-7</v>
      </c>
      <c r="I888" s="13">
        <f t="shared" ca="1" si="86"/>
        <v>11</v>
      </c>
      <c r="J888" s="14">
        <f t="shared" ca="1" si="83"/>
        <v>10</v>
      </c>
      <c r="K888" s="12" t="s">
        <v>40</v>
      </c>
      <c r="L888" s="15">
        <v>70</v>
      </c>
      <c r="M888" s="25" t="s">
        <v>44</v>
      </c>
      <c r="N888">
        <v>190</v>
      </c>
    </row>
    <row r="889" spans="1:14">
      <c r="A889" s="25">
        <f t="shared" si="87"/>
        <v>887</v>
      </c>
      <c r="B889" s="67" t="s">
        <v>8</v>
      </c>
      <c r="C889" s="67" t="s">
        <v>675</v>
      </c>
      <c r="D889" s="67" t="s">
        <v>140</v>
      </c>
      <c r="E889" s="22">
        <f t="shared" ca="1" si="88"/>
        <v>40951</v>
      </c>
      <c r="F889" s="11">
        <f>DATE(2006,7,30)</f>
        <v>38928</v>
      </c>
      <c r="G889" s="12">
        <f t="shared" ca="1" si="84"/>
        <v>6</v>
      </c>
      <c r="H889" s="12">
        <f t="shared" ca="1" si="85"/>
        <v>-5</v>
      </c>
      <c r="I889" s="13">
        <f t="shared" ca="1" si="86"/>
        <v>-18</v>
      </c>
      <c r="J889" s="14">
        <f t="shared" ca="1" si="83"/>
        <v>5</v>
      </c>
      <c r="K889" s="12" t="s">
        <v>40</v>
      </c>
      <c r="L889" s="15">
        <v>70</v>
      </c>
      <c r="M889" s="25" t="s">
        <v>44</v>
      </c>
      <c r="N889">
        <v>190</v>
      </c>
    </row>
    <row r="890" spans="1:14">
      <c r="A890" s="25">
        <f t="shared" si="87"/>
        <v>888</v>
      </c>
      <c r="B890" s="67" t="s">
        <v>8</v>
      </c>
      <c r="C890" s="67" t="s">
        <v>676</v>
      </c>
      <c r="D890" s="67" t="s">
        <v>674</v>
      </c>
      <c r="E890" s="22">
        <f t="shared" ca="1" si="88"/>
        <v>40951</v>
      </c>
      <c r="F890" s="11">
        <f>DATE(75,11,8)</f>
        <v>27706</v>
      </c>
      <c r="G890" s="12">
        <f t="shared" ca="1" si="84"/>
        <v>37</v>
      </c>
      <c r="H890" s="12">
        <f t="shared" ca="1" si="85"/>
        <v>-9</v>
      </c>
      <c r="I890" s="13">
        <f t="shared" ca="1" si="86"/>
        <v>4</v>
      </c>
      <c r="J890" s="14">
        <f t="shared" ca="1" si="83"/>
        <v>36</v>
      </c>
      <c r="K890" s="12" t="s">
        <v>40</v>
      </c>
      <c r="L890" s="15">
        <v>70</v>
      </c>
      <c r="M890" s="25" t="s">
        <v>40</v>
      </c>
      <c r="N890">
        <v>190</v>
      </c>
    </row>
    <row r="891" spans="1:14">
      <c r="A891" s="25">
        <f t="shared" si="87"/>
        <v>889</v>
      </c>
      <c r="B891" s="67" t="s">
        <v>8</v>
      </c>
      <c r="C891" s="67" t="s">
        <v>677</v>
      </c>
      <c r="D891" s="67" t="s">
        <v>676</v>
      </c>
      <c r="E891" s="22">
        <f t="shared" ca="1" si="88"/>
        <v>40951</v>
      </c>
      <c r="F891" s="11">
        <f>DATE(79,11,24)</f>
        <v>29183</v>
      </c>
      <c r="G891" s="12">
        <f t="shared" ca="1" si="84"/>
        <v>33</v>
      </c>
      <c r="H891" s="12">
        <f t="shared" ca="1" si="85"/>
        <v>-9</v>
      </c>
      <c r="I891" s="13">
        <f t="shared" ca="1" si="86"/>
        <v>-12</v>
      </c>
      <c r="J891" s="14">
        <f t="shared" ca="1" si="83"/>
        <v>32</v>
      </c>
      <c r="K891" s="12" t="s">
        <v>41</v>
      </c>
      <c r="L891" s="15">
        <v>70</v>
      </c>
      <c r="M891" s="25" t="s">
        <v>40</v>
      </c>
      <c r="N891">
        <v>190</v>
      </c>
    </row>
    <row r="892" spans="1:14" ht="15.75" thickBot="1">
      <c r="A892" s="26">
        <f t="shared" si="87"/>
        <v>890</v>
      </c>
      <c r="B892" s="67" t="s">
        <v>8</v>
      </c>
      <c r="C892" s="68" t="s">
        <v>641</v>
      </c>
      <c r="D892" s="68" t="s">
        <v>674</v>
      </c>
      <c r="E892" s="23">
        <f t="shared" ca="1" si="88"/>
        <v>40951</v>
      </c>
      <c r="F892" s="16">
        <f>DATE(78,5,2)</f>
        <v>28612</v>
      </c>
      <c r="G892" s="17">
        <f t="shared" ca="1" si="84"/>
        <v>34</v>
      </c>
      <c r="H892" s="17">
        <f t="shared" ca="1" si="85"/>
        <v>-3</v>
      </c>
      <c r="I892" s="18">
        <f t="shared" ca="1" si="86"/>
        <v>10</v>
      </c>
      <c r="J892" s="19">
        <f t="shared" ca="1" si="83"/>
        <v>33</v>
      </c>
      <c r="K892" s="17" t="s">
        <v>40</v>
      </c>
      <c r="L892" s="20">
        <v>70</v>
      </c>
      <c r="M892" s="26" t="s">
        <v>40</v>
      </c>
      <c r="N892">
        <v>190</v>
      </c>
    </row>
    <row r="893" spans="1:14" ht="15.75" thickBot="1">
      <c r="A893" s="43"/>
      <c r="B893" s="68" t="s">
        <v>8</v>
      </c>
      <c r="C893" s="68" t="s">
        <v>368</v>
      </c>
      <c r="D893" s="68" t="s">
        <v>674</v>
      </c>
      <c r="E893" s="57">
        <f t="shared" ca="1" si="88"/>
        <v>40951</v>
      </c>
      <c r="F893" s="48">
        <f>DATE(81,8,28)</f>
        <v>29826</v>
      </c>
      <c r="G893" s="58">
        <f t="shared" ca="1" si="84"/>
        <v>31</v>
      </c>
      <c r="H893" s="58">
        <f t="shared" ca="1" si="85"/>
        <v>-6</v>
      </c>
      <c r="I893" s="59">
        <f t="shared" ca="1" si="86"/>
        <v>-16</v>
      </c>
      <c r="J893" s="60">
        <f t="shared" ca="1" si="83"/>
        <v>30</v>
      </c>
      <c r="K893" s="58" t="s">
        <v>41</v>
      </c>
      <c r="L893" s="61">
        <v>70</v>
      </c>
      <c r="M893" s="62" t="s">
        <v>40</v>
      </c>
      <c r="N893">
        <v>190</v>
      </c>
    </row>
    <row r="894" spans="1:14">
      <c r="A894" s="24">
        <f>A892+1</f>
        <v>891</v>
      </c>
      <c r="B894" s="66" t="s">
        <v>9</v>
      </c>
      <c r="C894" s="66" t="s">
        <v>479</v>
      </c>
      <c r="D894" s="66" t="s">
        <v>77</v>
      </c>
      <c r="E894" s="21">
        <f t="shared" ca="1" si="88"/>
        <v>40951</v>
      </c>
      <c r="F894" s="6">
        <f>DATE(46,12,9)</f>
        <v>17145</v>
      </c>
      <c r="G894" s="7">
        <f t="shared" ca="1" si="84"/>
        <v>66</v>
      </c>
      <c r="H894" s="7">
        <f t="shared" ca="1" si="85"/>
        <v>-10</v>
      </c>
      <c r="I894" s="8">
        <f t="shared" ca="1" si="86"/>
        <v>3</v>
      </c>
      <c r="J894" s="9">
        <f t="shared" ca="1" si="83"/>
        <v>65</v>
      </c>
      <c r="K894" s="7" t="s">
        <v>40</v>
      </c>
      <c r="L894" s="10">
        <v>71</v>
      </c>
      <c r="M894" s="24" t="s">
        <v>40</v>
      </c>
      <c r="N894">
        <v>191</v>
      </c>
    </row>
    <row r="895" spans="1:14">
      <c r="A895" s="25">
        <f t="shared" si="87"/>
        <v>892</v>
      </c>
      <c r="B895" s="67" t="s">
        <v>9</v>
      </c>
      <c r="C895" s="67" t="s">
        <v>667</v>
      </c>
      <c r="D895" s="67" t="s">
        <v>479</v>
      </c>
      <c r="E895" s="22">
        <f t="shared" ca="1" si="88"/>
        <v>40951</v>
      </c>
      <c r="F895" s="11">
        <f>DATE(53,5,8)</f>
        <v>19487</v>
      </c>
      <c r="G895" s="12">
        <f t="shared" ca="1" si="84"/>
        <v>59</v>
      </c>
      <c r="H895" s="12">
        <f t="shared" ca="1" si="85"/>
        <v>-3</v>
      </c>
      <c r="I895" s="13">
        <f t="shared" ca="1" si="86"/>
        <v>4</v>
      </c>
      <c r="J895" s="14">
        <f t="shared" ca="1" si="83"/>
        <v>58</v>
      </c>
      <c r="K895" s="12" t="s">
        <v>41</v>
      </c>
      <c r="L895" s="15">
        <v>71</v>
      </c>
      <c r="M895" s="25" t="s">
        <v>40</v>
      </c>
      <c r="N895">
        <v>191</v>
      </c>
    </row>
    <row r="896" spans="1:14" ht="15.75" thickBot="1">
      <c r="A896" s="26">
        <f t="shared" si="87"/>
        <v>893</v>
      </c>
      <c r="B896" s="68" t="s">
        <v>9</v>
      </c>
      <c r="C896" s="68" t="s">
        <v>183</v>
      </c>
      <c r="D896" s="68" t="s">
        <v>479</v>
      </c>
      <c r="E896" s="23">
        <f t="shared" ca="1" si="88"/>
        <v>40951</v>
      </c>
      <c r="F896" s="16">
        <f>DATE(83,3,2)</f>
        <v>30377</v>
      </c>
      <c r="G896" s="17">
        <f t="shared" ca="1" si="84"/>
        <v>29</v>
      </c>
      <c r="H896" s="17">
        <f t="shared" ca="1" si="85"/>
        <v>-1</v>
      </c>
      <c r="I896" s="18">
        <f t="shared" ca="1" si="86"/>
        <v>10</v>
      </c>
      <c r="J896" s="19">
        <f t="shared" ca="1" si="83"/>
        <v>28</v>
      </c>
      <c r="K896" s="17" t="s">
        <v>40</v>
      </c>
      <c r="L896" s="20">
        <v>71</v>
      </c>
      <c r="M896" s="26" t="s">
        <v>44</v>
      </c>
      <c r="N896">
        <v>191</v>
      </c>
    </row>
    <row r="897" spans="1:14">
      <c r="A897" s="24">
        <f t="shared" si="87"/>
        <v>894</v>
      </c>
      <c r="B897" s="66" t="s">
        <v>9</v>
      </c>
      <c r="C897" s="66" t="s">
        <v>678</v>
      </c>
      <c r="D897" s="66" t="s">
        <v>679</v>
      </c>
      <c r="E897" s="21">
        <f t="shared" ca="1" si="88"/>
        <v>40951</v>
      </c>
      <c r="F897" s="6">
        <f>DATE(54,11,10)</f>
        <v>20038</v>
      </c>
      <c r="G897" s="7">
        <f t="shared" ca="1" si="84"/>
        <v>58</v>
      </c>
      <c r="H897" s="7">
        <f t="shared" ca="1" si="85"/>
        <v>-9</v>
      </c>
      <c r="I897" s="8">
        <f t="shared" ca="1" si="86"/>
        <v>2</v>
      </c>
      <c r="J897" s="9">
        <f t="shared" ca="1" si="83"/>
        <v>57</v>
      </c>
      <c r="K897" s="7" t="s">
        <v>40</v>
      </c>
      <c r="L897" s="10">
        <v>71</v>
      </c>
      <c r="M897" s="24" t="s">
        <v>40</v>
      </c>
      <c r="N897">
        <v>192</v>
      </c>
    </row>
    <row r="898" spans="1:14">
      <c r="A898" s="25">
        <f t="shared" si="87"/>
        <v>895</v>
      </c>
      <c r="B898" s="67" t="s">
        <v>9</v>
      </c>
      <c r="C898" s="67" t="s">
        <v>680</v>
      </c>
      <c r="D898" s="67" t="s">
        <v>678</v>
      </c>
      <c r="E898" s="22">
        <f t="shared" ca="1" si="88"/>
        <v>40951</v>
      </c>
      <c r="F898" s="11">
        <f>DATE(59,6,18)</f>
        <v>21719</v>
      </c>
      <c r="G898" s="12">
        <f t="shared" ca="1" si="84"/>
        <v>53</v>
      </c>
      <c r="H898" s="12">
        <f t="shared" ca="1" si="85"/>
        <v>-4</v>
      </c>
      <c r="I898" s="13">
        <f t="shared" ca="1" si="86"/>
        <v>-6</v>
      </c>
      <c r="J898" s="14">
        <f t="shared" ca="1" si="83"/>
        <v>52</v>
      </c>
      <c r="K898" s="12" t="s">
        <v>41</v>
      </c>
      <c r="L898" s="15">
        <v>71</v>
      </c>
      <c r="M898" s="25" t="s">
        <v>40</v>
      </c>
      <c r="N898">
        <v>192</v>
      </c>
    </row>
    <row r="899" spans="1:14" ht="15.75" thickBot="1">
      <c r="A899" s="26">
        <f t="shared" si="87"/>
        <v>896</v>
      </c>
      <c r="B899" s="68" t="s">
        <v>9</v>
      </c>
      <c r="C899" s="68" t="s">
        <v>681</v>
      </c>
      <c r="D899" s="68" t="s">
        <v>678</v>
      </c>
      <c r="E899" s="23">
        <f t="shared" ca="1" si="88"/>
        <v>40951</v>
      </c>
      <c r="F899" s="16">
        <f>DATE(82,7,30)</f>
        <v>30162</v>
      </c>
      <c r="G899" s="17">
        <f t="shared" ca="1" si="84"/>
        <v>30</v>
      </c>
      <c r="H899" s="17">
        <f t="shared" ca="1" si="85"/>
        <v>-5</v>
      </c>
      <c r="I899" s="18">
        <f t="shared" ca="1" si="86"/>
        <v>-18</v>
      </c>
      <c r="J899" s="19">
        <f t="shared" ref="J899:J963" ca="1" si="89">IF(H899&lt;0,G899-1,IF(H899&gt;0,G899,IF(I899&lt;0,G899-1,G899)))</f>
        <v>29</v>
      </c>
      <c r="K899" s="17" t="s">
        <v>40</v>
      </c>
      <c r="L899" s="20">
        <v>71</v>
      </c>
      <c r="M899" s="26" t="s">
        <v>44</v>
      </c>
      <c r="N899">
        <v>192</v>
      </c>
    </row>
    <row r="900" spans="1:14">
      <c r="A900" s="24">
        <f t="shared" si="87"/>
        <v>897</v>
      </c>
      <c r="B900" s="66" t="s">
        <v>9</v>
      </c>
      <c r="C900" s="66" t="s">
        <v>277</v>
      </c>
      <c r="D900" s="66" t="s">
        <v>682</v>
      </c>
      <c r="E900" s="21">
        <f t="shared" ca="1" si="88"/>
        <v>40951</v>
      </c>
      <c r="F900" s="6">
        <f>DATE(47,10,22)</f>
        <v>17462</v>
      </c>
      <c r="G900" s="7">
        <f t="shared" ca="1" si="84"/>
        <v>65</v>
      </c>
      <c r="H900" s="7">
        <f t="shared" ca="1" si="85"/>
        <v>-8</v>
      </c>
      <c r="I900" s="8">
        <f t="shared" ca="1" si="86"/>
        <v>-10</v>
      </c>
      <c r="J900" s="9">
        <f t="shared" ca="1" si="89"/>
        <v>64</v>
      </c>
      <c r="K900" s="7" t="s">
        <v>40</v>
      </c>
      <c r="L900" s="10">
        <v>71</v>
      </c>
      <c r="M900" s="24" t="s">
        <v>40</v>
      </c>
      <c r="N900">
        <v>193</v>
      </c>
    </row>
    <row r="901" spans="1:14">
      <c r="A901" s="25">
        <f t="shared" si="87"/>
        <v>898</v>
      </c>
      <c r="B901" s="67" t="s">
        <v>9</v>
      </c>
      <c r="C901" s="67" t="s">
        <v>325</v>
      </c>
      <c r="D901" s="67" t="s">
        <v>277</v>
      </c>
      <c r="E901" s="22">
        <f t="shared" ca="1" si="88"/>
        <v>40951</v>
      </c>
      <c r="F901" s="11">
        <f>DATE(52,7,26)</f>
        <v>19201</v>
      </c>
      <c r="G901" s="12">
        <f t="shared" ca="1" si="84"/>
        <v>60</v>
      </c>
      <c r="H901" s="12">
        <f t="shared" ca="1" si="85"/>
        <v>-5</v>
      </c>
      <c r="I901" s="13">
        <f t="shared" ca="1" si="86"/>
        <v>-14</v>
      </c>
      <c r="J901" s="14">
        <f t="shared" ca="1" si="89"/>
        <v>59</v>
      </c>
      <c r="K901" s="12" t="s">
        <v>41</v>
      </c>
      <c r="L901" s="15">
        <v>71</v>
      </c>
      <c r="M901" s="25" t="s">
        <v>40</v>
      </c>
      <c r="N901">
        <v>193</v>
      </c>
    </row>
    <row r="902" spans="1:14" ht="15.75" thickBot="1">
      <c r="A902" s="26">
        <f t="shared" si="87"/>
        <v>899</v>
      </c>
      <c r="B902" s="68" t="s">
        <v>9</v>
      </c>
      <c r="C902" s="68" t="s">
        <v>683</v>
      </c>
      <c r="D902" s="68" t="s">
        <v>277</v>
      </c>
      <c r="E902" s="23">
        <f t="shared" ca="1" si="88"/>
        <v>40951</v>
      </c>
      <c r="F902" s="16">
        <f>DATE(82,8,31)</f>
        <v>30194</v>
      </c>
      <c r="G902" s="17">
        <f t="shared" ca="1" si="84"/>
        <v>30</v>
      </c>
      <c r="H902" s="17">
        <f t="shared" ca="1" si="85"/>
        <v>-6</v>
      </c>
      <c r="I902" s="18">
        <f t="shared" ca="1" si="86"/>
        <v>-19</v>
      </c>
      <c r="J902" s="19">
        <f t="shared" ca="1" si="89"/>
        <v>29</v>
      </c>
      <c r="K902" s="17" t="s">
        <v>40</v>
      </c>
      <c r="L902" s="20">
        <v>71</v>
      </c>
      <c r="M902" s="26" t="s">
        <v>44</v>
      </c>
      <c r="N902">
        <v>193</v>
      </c>
    </row>
    <row r="903" spans="1:14">
      <c r="A903" s="24">
        <f t="shared" si="87"/>
        <v>900</v>
      </c>
      <c r="B903" s="66" t="s">
        <v>9</v>
      </c>
      <c r="C903" s="66" t="s">
        <v>71</v>
      </c>
      <c r="D903" s="66" t="s">
        <v>267</v>
      </c>
      <c r="E903" s="21">
        <f t="shared" ca="1" si="88"/>
        <v>40951</v>
      </c>
      <c r="F903" s="6">
        <f>DATE(51,10,10)</f>
        <v>18911</v>
      </c>
      <c r="G903" s="7">
        <f t="shared" ca="1" si="84"/>
        <v>61</v>
      </c>
      <c r="H903" s="7">
        <f t="shared" ca="1" si="85"/>
        <v>-8</v>
      </c>
      <c r="I903" s="8">
        <f t="shared" ca="1" si="86"/>
        <v>2</v>
      </c>
      <c r="J903" s="9">
        <f t="shared" ca="1" si="89"/>
        <v>60</v>
      </c>
      <c r="K903" s="7" t="s">
        <v>40</v>
      </c>
      <c r="L903" s="10">
        <v>71</v>
      </c>
      <c r="M903" s="24" t="s">
        <v>40</v>
      </c>
      <c r="N903">
        <v>194</v>
      </c>
    </row>
    <row r="904" spans="1:14">
      <c r="A904" s="25">
        <f t="shared" si="87"/>
        <v>901</v>
      </c>
      <c r="B904" s="67" t="s">
        <v>9</v>
      </c>
      <c r="C904" s="67" t="s">
        <v>684</v>
      </c>
      <c r="D904" s="67" t="s">
        <v>71</v>
      </c>
      <c r="E904" s="22">
        <f t="shared" ca="1" si="88"/>
        <v>40951</v>
      </c>
      <c r="F904" s="11">
        <f>DATE(56,1,21)</f>
        <v>20475</v>
      </c>
      <c r="G904" s="12">
        <f t="shared" ca="1" si="84"/>
        <v>56</v>
      </c>
      <c r="H904" s="12">
        <f t="shared" ca="1" si="85"/>
        <v>1</v>
      </c>
      <c r="I904" s="13">
        <f t="shared" ca="1" si="86"/>
        <v>-9</v>
      </c>
      <c r="J904" s="14">
        <f t="shared" ca="1" si="89"/>
        <v>56</v>
      </c>
      <c r="K904" s="12" t="s">
        <v>41</v>
      </c>
      <c r="L904" s="15">
        <v>71</v>
      </c>
      <c r="M904" s="25" t="s">
        <v>40</v>
      </c>
      <c r="N904">
        <v>194</v>
      </c>
    </row>
    <row r="905" spans="1:14">
      <c r="A905" s="25">
        <f t="shared" si="87"/>
        <v>902</v>
      </c>
      <c r="B905" s="67" t="s">
        <v>9</v>
      </c>
      <c r="C905" s="67" t="s">
        <v>685</v>
      </c>
      <c r="D905" s="67" t="s">
        <v>71</v>
      </c>
      <c r="E905" s="22">
        <f t="shared" ca="1" si="88"/>
        <v>40951</v>
      </c>
      <c r="F905" s="11">
        <f>DATE(79,2,1)</f>
        <v>28887</v>
      </c>
      <c r="G905" s="12">
        <f t="shared" ca="1" si="84"/>
        <v>33</v>
      </c>
      <c r="H905" s="12">
        <f t="shared" ca="1" si="85"/>
        <v>0</v>
      </c>
      <c r="I905" s="13">
        <f t="shared" ca="1" si="86"/>
        <v>11</v>
      </c>
      <c r="J905" s="14">
        <f t="shared" ca="1" si="89"/>
        <v>33</v>
      </c>
      <c r="K905" s="12" t="s">
        <v>40</v>
      </c>
      <c r="L905" s="15">
        <v>71</v>
      </c>
      <c r="M905" s="25" t="s">
        <v>44</v>
      </c>
      <c r="N905">
        <v>194</v>
      </c>
    </row>
    <row r="906" spans="1:14" ht="15.75" thickBot="1">
      <c r="A906" s="26">
        <f t="shared" si="87"/>
        <v>903</v>
      </c>
      <c r="B906" s="68" t="s">
        <v>9</v>
      </c>
      <c r="C906" s="68" t="s">
        <v>543</v>
      </c>
      <c r="D906" s="68" t="s">
        <v>71</v>
      </c>
      <c r="E906" s="23">
        <f t="shared" ca="1" si="88"/>
        <v>40951</v>
      </c>
      <c r="F906" s="16">
        <f>DATE(84,9,5)</f>
        <v>30930</v>
      </c>
      <c r="G906" s="17">
        <f t="shared" ca="1" si="84"/>
        <v>28</v>
      </c>
      <c r="H906" s="17">
        <f t="shared" ca="1" si="85"/>
        <v>-7</v>
      </c>
      <c r="I906" s="18">
        <f t="shared" ca="1" si="86"/>
        <v>7</v>
      </c>
      <c r="J906" s="19">
        <f t="shared" ca="1" si="89"/>
        <v>27</v>
      </c>
      <c r="K906" s="17" t="s">
        <v>40</v>
      </c>
      <c r="L906" s="20">
        <v>71</v>
      </c>
      <c r="M906" s="26" t="s">
        <v>44</v>
      </c>
      <c r="N906">
        <v>194</v>
      </c>
    </row>
    <row r="907" spans="1:14">
      <c r="A907" s="24">
        <f t="shared" si="87"/>
        <v>904</v>
      </c>
      <c r="B907" s="66" t="s">
        <v>9</v>
      </c>
      <c r="C907" s="66" t="s">
        <v>686</v>
      </c>
      <c r="D907" s="66" t="s">
        <v>679</v>
      </c>
      <c r="E907" s="21">
        <f t="shared" ca="1" si="88"/>
        <v>40951</v>
      </c>
      <c r="F907" s="6">
        <f>DATE(66,11,26)</f>
        <v>24437</v>
      </c>
      <c r="G907" s="7">
        <f t="shared" ca="1" si="84"/>
        <v>46</v>
      </c>
      <c r="H907" s="7">
        <f t="shared" ca="1" si="85"/>
        <v>-9</v>
      </c>
      <c r="I907" s="8">
        <f t="shared" ca="1" si="86"/>
        <v>-14</v>
      </c>
      <c r="J907" s="9">
        <f t="shared" ca="1" si="89"/>
        <v>45</v>
      </c>
      <c r="K907" s="7" t="s">
        <v>40</v>
      </c>
      <c r="L907" s="10">
        <v>72</v>
      </c>
      <c r="M907" s="24" t="s">
        <v>40</v>
      </c>
      <c r="N907">
        <v>195</v>
      </c>
    </row>
    <row r="908" spans="1:14">
      <c r="A908" s="25">
        <f t="shared" si="87"/>
        <v>905</v>
      </c>
      <c r="B908" s="67" t="s">
        <v>9</v>
      </c>
      <c r="C908" s="67" t="s">
        <v>654</v>
      </c>
      <c r="D908" s="67" t="s">
        <v>686</v>
      </c>
      <c r="E908" s="22">
        <f t="shared" ca="1" si="88"/>
        <v>40951</v>
      </c>
      <c r="F908" s="11">
        <f>DATE(63,4,25)</f>
        <v>23126</v>
      </c>
      <c r="G908" s="12">
        <f t="shared" ca="1" si="84"/>
        <v>49</v>
      </c>
      <c r="H908" s="12">
        <f t="shared" ca="1" si="85"/>
        <v>-2</v>
      </c>
      <c r="I908" s="13">
        <f t="shared" ca="1" si="86"/>
        <v>-13</v>
      </c>
      <c r="J908" s="14">
        <f t="shared" ca="1" si="89"/>
        <v>48</v>
      </c>
      <c r="K908" s="12" t="s">
        <v>41</v>
      </c>
      <c r="L908" s="15">
        <v>72</v>
      </c>
      <c r="M908" s="25" t="s">
        <v>40</v>
      </c>
      <c r="N908">
        <v>195</v>
      </c>
    </row>
    <row r="909" spans="1:14">
      <c r="A909" s="25">
        <f t="shared" si="87"/>
        <v>906</v>
      </c>
      <c r="B909" s="67" t="s">
        <v>9</v>
      </c>
      <c r="C909" s="67" t="s">
        <v>151</v>
      </c>
      <c r="D909" s="67" t="s">
        <v>686</v>
      </c>
      <c r="E909" s="22">
        <f t="shared" ca="1" si="88"/>
        <v>40951</v>
      </c>
      <c r="F909" s="11">
        <f>DATE(87,5,24)</f>
        <v>31921</v>
      </c>
      <c r="G909" s="12">
        <f t="shared" ca="1" si="84"/>
        <v>25</v>
      </c>
      <c r="H909" s="12">
        <f t="shared" ca="1" si="85"/>
        <v>-3</v>
      </c>
      <c r="I909" s="13">
        <f t="shared" ca="1" si="86"/>
        <v>-12</v>
      </c>
      <c r="J909" s="14">
        <f t="shared" ca="1" si="89"/>
        <v>24</v>
      </c>
      <c r="K909" s="12" t="s">
        <v>40</v>
      </c>
      <c r="L909" s="15">
        <v>72</v>
      </c>
      <c r="M909" s="25" t="s">
        <v>44</v>
      </c>
      <c r="N909">
        <v>195</v>
      </c>
    </row>
    <row r="910" spans="1:14" ht="15.75" thickBot="1">
      <c r="A910" s="26">
        <f t="shared" si="87"/>
        <v>907</v>
      </c>
      <c r="B910" s="68" t="s">
        <v>9</v>
      </c>
      <c r="C910" s="68" t="s">
        <v>687</v>
      </c>
      <c r="D910" s="68" t="s">
        <v>686</v>
      </c>
      <c r="E910" s="23">
        <f t="shared" ca="1" si="88"/>
        <v>40951</v>
      </c>
      <c r="F910" s="16">
        <f>DATE(94,2,18)</f>
        <v>34383</v>
      </c>
      <c r="G910" s="17">
        <f t="shared" ca="1" si="84"/>
        <v>18</v>
      </c>
      <c r="H910" s="17">
        <f t="shared" ca="1" si="85"/>
        <v>0</v>
      </c>
      <c r="I910" s="18">
        <f t="shared" ca="1" si="86"/>
        <v>-6</v>
      </c>
      <c r="J910" s="19">
        <f t="shared" ca="1" si="89"/>
        <v>17</v>
      </c>
      <c r="K910" s="17" t="s">
        <v>40</v>
      </c>
      <c r="L910" s="20">
        <v>72</v>
      </c>
      <c r="M910" s="26" t="s">
        <v>44</v>
      </c>
      <c r="N910">
        <v>195</v>
      </c>
    </row>
    <row r="911" spans="1:14">
      <c r="A911" s="24">
        <f t="shared" si="87"/>
        <v>908</v>
      </c>
      <c r="B911" s="66" t="s">
        <v>9</v>
      </c>
      <c r="C911" s="66" t="s">
        <v>96</v>
      </c>
      <c r="D911" s="66" t="s">
        <v>679</v>
      </c>
      <c r="E911" s="21">
        <f t="shared" ca="1" si="88"/>
        <v>40951</v>
      </c>
      <c r="F911" s="6">
        <f>DATE(48,11,7)</f>
        <v>17844</v>
      </c>
      <c r="G911" s="7">
        <f t="shared" ca="1" si="84"/>
        <v>64</v>
      </c>
      <c r="H911" s="7">
        <f t="shared" ca="1" si="85"/>
        <v>-9</v>
      </c>
      <c r="I911" s="8">
        <f t="shared" ca="1" si="86"/>
        <v>5</v>
      </c>
      <c r="J911" s="9">
        <f t="shared" ca="1" si="89"/>
        <v>63</v>
      </c>
      <c r="K911" s="7" t="s">
        <v>40</v>
      </c>
      <c r="L911" s="10">
        <v>72</v>
      </c>
      <c r="M911" s="24" t="s">
        <v>40</v>
      </c>
      <c r="N911">
        <v>196</v>
      </c>
    </row>
    <row r="912" spans="1:14">
      <c r="A912" s="25">
        <f t="shared" si="87"/>
        <v>909</v>
      </c>
      <c r="B912" s="67" t="s">
        <v>9</v>
      </c>
      <c r="C912" s="67" t="s">
        <v>81</v>
      </c>
      <c r="D912" s="67" t="s">
        <v>96</v>
      </c>
      <c r="E912" s="22">
        <f t="shared" ca="1" si="88"/>
        <v>40951</v>
      </c>
      <c r="F912" s="11">
        <f>DATE(52,7,28)</f>
        <v>19203</v>
      </c>
      <c r="G912" s="12">
        <f t="shared" ca="1" si="84"/>
        <v>60</v>
      </c>
      <c r="H912" s="12">
        <f t="shared" ca="1" si="85"/>
        <v>-5</v>
      </c>
      <c r="I912" s="13">
        <f t="shared" ca="1" si="86"/>
        <v>-16</v>
      </c>
      <c r="J912" s="14">
        <f t="shared" ca="1" si="89"/>
        <v>59</v>
      </c>
      <c r="K912" s="12" t="s">
        <v>41</v>
      </c>
      <c r="L912" s="15">
        <v>72</v>
      </c>
      <c r="M912" s="25" t="s">
        <v>40</v>
      </c>
      <c r="N912">
        <v>196</v>
      </c>
    </row>
    <row r="913" spans="1:14">
      <c r="A913" s="25">
        <f t="shared" si="87"/>
        <v>910</v>
      </c>
      <c r="B913" s="67" t="s">
        <v>9</v>
      </c>
      <c r="C913" s="67" t="s">
        <v>688</v>
      </c>
      <c r="D913" s="67" t="s">
        <v>96</v>
      </c>
      <c r="E913" s="22">
        <f t="shared" ca="1" si="88"/>
        <v>40951</v>
      </c>
      <c r="F913" s="11">
        <f>DATE(77,9,22)</f>
        <v>28390</v>
      </c>
      <c r="G913" s="12">
        <f t="shared" ca="1" si="84"/>
        <v>35</v>
      </c>
      <c r="H913" s="12">
        <f t="shared" ca="1" si="85"/>
        <v>-7</v>
      </c>
      <c r="I913" s="13">
        <f t="shared" ca="1" si="86"/>
        <v>-10</v>
      </c>
      <c r="J913" s="14">
        <f t="shared" ca="1" si="89"/>
        <v>34</v>
      </c>
      <c r="K913" s="12" t="s">
        <v>40</v>
      </c>
      <c r="L913" s="15">
        <v>72</v>
      </c>
      <c r="M913" s="25" t="s">
        <v>40</v>
      </c>
      <c r="N913">
        <v>196</v>
      </c>
    </row>
    <row r="914" spans="1:14">
      <c r="A914" s="25">
        <f t="shared" si="87"/>
        <v>911</v>
      </c>
      <c r="B914" s="67" t="s">
        <v>9</v>
      </c>
      <c r="C914" s="67" t="s">
        <v>689</v>
      </c>
      <c r="D914" s="67" t="s">
        <v>688</v>
      </c>
      <c r="E914" s="22">
        <f t="shared" ca="1" si="88"/>
        <v>40951</v>
      </c>
      <c r="F914" s="11">
        <f>DATE(83,12,12)</f>
        <v>30662</v>
      </c>
      <c r="G914" s="12">
        <f t="shared" ca="1" si="84"/>
        <v>29</v>
      </c>
      <c r="H914" s="12">
        <f t="shared" ca="1" si="85"/>
        <v>-10</v>
      </c>
      <c r="I914" s="13">
        <f t="shared" ca="1" si="86"/>
        <v>0</v>
      </c>
      <c r="J914" s="14">
        <f t="shared" ca="1" si="89"/>
        <v>28</v>
      </c>
      <c r="K914" s="12" t="s">
        <v>41</v>
      </c>
      <c r="L914" s="15">
        <v>72</v>
      </c>
      <c r="M914" s="25" t="s">
        <v>40</v>
      </c>
      <c r="N914">
        <v>196</v>
      </c>
    </row>
    <row r="915" spans="1:14" ht="15.75" thickBot="1">
      <c r="A915" s="26">
        <f t="shared" si="87"/>
        <v>912</v>
      </c>
      <c r="B915" s="68" t="s">
        <v>9</v>
      </c>
      <c r="C915" s="68" t="s">
        <v>690</v>
      </c>
      <c r="D915" s="68" t="s">
        <v>96</v>
      </c>
      <c r="E915" s="23">
        <f t="shared" ca="1" si="88"/>
        <v>40951</v>
      </c>
      <c r="F915" s="16">
        <f>DATE(82,11,22)</f>
        <v>30277</v>
      </c>
      <c r="G915" s="17">
        <f t="shared" ca="1" si="84"/>
        <v>30</v>
      </c>
      <c r="H915" s="17">
        <f t="shared" ca="1" si="85"/>
        <v>-9</v>
      </c>
      <c r="I915" s="18">
        <f t="shared" ca="1" si="86"/>
        <v>-10</v>
      </c>
      <c r="J915" s="19">
        <f t="shared" ca="1" si="89"/>
        <v>29</v>
      </c>
      <c r="K915" s="17" t="s">
        <v>41</v>
      </c>
      <c r="L915" s="20">
        <v>72</v>
      </c>
      <c r="M915" s="26" t="s">
        <v>44</v>
      </c>
      <c r="N915">
        <v>196</v>
      </c>
    </row>
    <row r="916" spans="1:14" ht="15.75" thickBot="1">
      <c r="A916" s="43">
        <f t="shared" si="87"/>
        <v>913</v>
      </c>
      <c r="B916" s="69" t="s">
        <v>9</v>
      </c>
      <c r="C916" s="69" t="s">
        <v>691</v>
      </c>
      <c r="D916" s="69" t="s">
        <v>522</v>
      </c>
      <c r="E916" s="37">
        <f t="shared" ca="1" si="88"/>
        <v>40951</v>
      </c>
      <c r="F916" s="38">
        <f>DATE(22,10,29)</f>
        <v>8338</v>
      </c>
      <c r="G916" s="39">
        <f t="shared" ca="1" si="84"/>
        <v>90</v>
      </c>
      <c r="H916" s="39">
        <f t="shared" ca="1" si="85"/>
        <v>-8</v>
      </c>
      <c r="I916" s="40">
        <f t="shared" ca="1" si="86"/>
        <v>-17</v>
      </c>
      <c r="J916" s="41">
        <f t="shared" ca="1" si="89"/>
        <v>89</v>
      </c>
      <c r="K916" s="39" t="s">
        <v>40</v>
      </c>
      <c r="L916" s="42">
        <v>72</v>
      </c>
      <c r="M916" s="43" t="s">
        <v>40</v>
      </c>
      <c r="N916">
        <v>197</v>
      </c>
    </row>
    <row r="917" spans="1:14">
      <c r="A917" s="24">
        <f t="shared" si="87"/>
        <v>914</v>
      </c>
      <c r="B917" s="66" t="s">
        <v>9</v>
      </c>
      <c r="C917" s="66" t="s">
        <v>142</v>
      </c>
      <c r="D917" s="66" t="s">
        <v>77</v>
      </c>
      <c r="E917" s="21">
        <f t="shared" ca="1" si="88"/>
        <v>40951</v>
      </c>
      <c r="F917" s="6">
        <f>DATE(35,6,2)</f>
        <v>12937</v>
      </c>
      <c r="G917" s="7">
        <f t="shared" ca="1" si="84"/>
        <v>77</v>
      </c>
      <c r="H917" s="7">
        <f t="shared" ca="1" si="85"/>
        <v>-4</v>
      </c>
      <c r="I917" s="8">
        <f t="shared" ca="1" si="86"/>
        <v>10</v>
      </c>
      <c r="J917" s="9">
        <f t="shared" ca="1" si="89"/>
        <v>76</v>
      </c>
      <c r="K917" s="7" t="s">
        <v>40</v>
      </c>
      <c r="L917" s="10">
        <v>73</v>
      </c>
      <c r="M917" s="24" t="s">
        <v>40</v>
      </c>
      <c r="N917">
        <v>198</v>
      </c>
    </row>
    <row r="918" spans="1:14">
      <c r="A918" s="25">
        <f t="shared" si="87"/>
        <v>915</v>
      </c>
      <c r="B918" s="67" t="s">
        <v>9</v>
      </c>
      <c r="C918" s="67" t="s">
        <v>318</v>
      </c>
      <c r="D918" s="67" t="s">
        <v>142</v>
      </c>
      <c r="E918" s="22">
        <f t="shared" ca="1" si="88"/>
        <v>40951</v>
      </c>
      <c r="F918" s="11">
        <f>DATE(39,8,21)</f>
        <v>14478</v>
      </c>
      <c r="G918" s="12">
        <f t="shared" ca="1" si="84"/>
        <v>73</v>
      </c>
      <c r="H918" s="12">
        <f t="shared" ca="1" si="85"/>
        <v>-6</v>
      </c>
      <c r="I918" s="13">
        <f t="shared" ca="1" si="86"/>
        <v>-9</v>
      </c>
      <c r="J918" s="14">
        <f t="shared" ca="1" si="89"/>
        <v>72</v>
      </c>
      <c r="K918" s="12" t="s">
        <v>41</v>
      </c>
      <c r="L918" s="15">
        <v>73</v>
      </c>
      <c r="M918" s="25" t="s">
        <v>40</v>
      </c>
      <c r="N918">
        <v>198</v>
      </c>
    </row>
    <row r="919" spans="1:14">
      <c r="A919" s="25">
        <f t="shared" si="87"/>
        <v>916</v>
      </c>
      <c r="B919" s="67" t="s">
        <v>9</v>
      </c>
      <c r="C919" s="67" t="s">
        <v>692</v>
      </c>
      <c r="D919" s="67" t="s">
        <v>142</v>
      </c>
      <c r="E919" s="22">
        <f t="shared" ca="1" si="88"/>
        <v>40951</v>
      </c>
      <c r="F919" s="11">
        <f>DATE(61,11,14)</f>
        <v>22599</v>
      </c>
      <c r="G919" s="12">
        <f t="shared" ca="1" si="84"/>
        <v>51</v>
      </c>
      <c r="H919" s="12">
        <f t="shared" ca="1" si="85"/>
        <v>-9</v>
      </c>
      <c r="I919" s="13">
        <f t="shared" ca="1" si="86"/>
        <v>-2</v>
      </c>
      <c r="J919" s="14">
        <f t="shared" ca="1" si="89"/>
        <v>50</v>
      </c>
      <c r="K919" s="12" t="s">
        <v>40</v>
      </c>
      <c r="L919" s="15">
        <v>73</v>
      </c>
      <c r="M919" s="25" t="s">
        <v>44</v>
      </c>
      <c r="N919">
        <v>198</v>
      </c>
    </row>
    <row r="920" spans="1:14">
      <c r="A920" s="25">
        <f t="shared" si="87"/>
        <v>917</v>
      </c>
      <c r="B920" s="67" t="s">
        <v>9</v>
      </c>
      <c r="C920" s="67" t="s">
        <v>632</v>
      </c>
      <c r="D920" s="67" t="s">
        <v>142</v>
      </c>
      <c r="E920" s="22">
        <f t="shared" ca="1" si="88"/>
        <v>40951</v>
      </c>
      <c r="F920" s="11">
        <f>DATE(65,8,10)</f>
        <v>23964</v>
      </c>
      <c r="G920" s="12">
        <f t="shared" ca="1" si="84"/>
        <v>47</v>
      </c>
      <c r="H920" s="12">
        <f t="shared" ca="1" si="85"/>
        <v>-6</v>
      </c>
      <c r="I920" s="13">
        <f t="shared" ca="1" si="86"/>
        <v>2</v>
      </c>
      <c r="J920" s="14">
        <f t="shared" ca="1" si="89"/>
        <v>46</v>
      </c>
      <c r="K920" s="12" t="s">
        <v>41</v>
      </c>
      <c r="L920" s="15">
        <v>73</v>
      </c>
      <c r="M920" s="25" t="s">
        <v>44</v>
      </c>
      <c r="N920">
        <v>198</v>
      </c>
    </row>
    <row r="921" spans="1:14">
      <c r="A921" s="25">
        <f t="shared" si="87"/>
        <v>918</v>
      </c>
      <c r="B921" s="67" t="s">
        <v>9</v>
      </c>
      <c r="C921" s="67" t="s">
        <v>693</v>
      </c>
      <c r="D921" s="67" t="s">
        <v>142</v>
      </c>
      <c r="E921" s="22">
        <f t="shared" ca="1" si="88"/>
        <v>40951</v>
      </c>
      <c r="F921" s="11">
        <f>DATE(63,6,25)</f>
        <v>23187</v>
      </c>
      <c r="G921" s="12">
        <f t="shared" ref="G921:G985" ca="1" si="90">YEAR(E921)-YEAR(F921)</f>
        <v>49</v>
      </c>
      <c r="H921" s="12">
        <f t="shared" ref="H921:H985" ca="1" si="91">MONTH(E921)-MONTH(F921)</f>
        <v>-4</v>
      </c>
      <c r="I921" s="13">
        <f t="shared" ref="I921:I985" ca="1" si="92">DAY(E921)-DAY(F921)</f>
        <v>-13</v>
      </c>
      <c r="J921" s="14">
        <f t="shared" ca="1" si="89"/>
        <v>48</v>
      </c>
      <c r="K921" s="12" t="s">
        <v>40</v>
      </c>
      <c r="L921" s="15">
        <v>73</v>
      </c>
      <c r="M921" s="25" t="s">
        <v>40</v>
      </c>
      <c r="N921">
        <v>198</v>
      </c>
    </row>
    <row r="922" spans="1:14">
      <c r="A922" s="25">
        <f t="shared" si="87"/>
        <v>919</v>
      </c>
      <c r="B922" s="67" t="s">
        <v>9</v>
      </c>
      <c r="C922" s="67" t="s">
        <v>694</v>
      </c>
      <c r="D922" s="67" t="s">
        <v>693</v>
      </c>
      <c r="E922" s="22">
        <f t="shared" ca="1" si="88"/>
        <v>40951</v>
      </c>
      <c r="F922" s="11">
        <f>DATE(64,12,10)</f>
        <v>23721</v>
      </c>
      <c r="G922" s="12">
        <f t="shared" ca="1" si="90"/>
        <v>48</v>
      </c>
      <c r="H922" s="12">
        <f t="shared" ca="1" si="91"/>
        <v>-10</v>
      </c>
      <c r="I922" s="13">
        <f t="shared" ca="1" si="92"/>
        <v>2</v>
      </c>
      <c r="J922" s="14">
        <f t="shared" ca="1" si="89"/>
        <v>47</v>
      </c>
      <c r="K922" s="12" t="s">
        <v>41</v>
      </c>
      <c r="L922" s="15">
        <v>73</v>
      </c>
      <c r="M922" s="25" t="s">
        <v>40</v>
      </c>
      <c r="N922">
        <v>198</v>
      </c>
    </row>
    <row r="923" spans="1:14">
      <c r="A923" s="25">
        <f t="shared" si="87"/>
        <v>920</v>
      </c>
      <c r="B923" s="67" t="s">
        <v>9</v>
      </c>
      <c r="C923" s="67" t="s">
        <v>695</v>
      </c>
      <c r="D923" s="67" t="s">
        <v>693</v>
      </c>
      <c r="E923" s="22">
        <f t="shared" ca="1" si="88"/>
        <v>40951</v>
      </c>
      <c r="F923" s="11">
        <f>DATE(96,7,7)</f>
        <v>35253</v>
      </c>
      <c r="G923" s="12">
        <f t="shared" ca="1" si="90"/>
        <v>16</v>
      </c>
      <c r="H923" s="12">
        <f t="shared" ca="1" si="91"/>
        <v>-5</v>
      </c>
      <c r="I923" s="13">
        <f t="shared" ca="1" si="92"/>
        <v>5</v>
      </c>
      <c r="J923" s="14">
        <f t="shared" ca="1" si="89"/>
        <v>15</v>
      </c>
      <c r="K923" s="12" t="s">
        <v>40</v>
      </c>
      <c r="L923" s="15">
        <v>73</v>
      </c>
      <c r="M923" s="25" t="s">
        <v>44</v>
      </c>
      <c r="N923">
        <v>198</v>
      </c>
    </row>
    <row r="924" spans="1:14" ht="15.75" thickBot="1">
      <c r="A924" s="26">
        <f t="shared" si="87"/>
        <v>921</v>
      </c>
      <c r="B924" s="68" t="s">
        <v>9</v>
      </c>
      <c r="C924" s="68" t="s">
        <v>696</v>
      </c>
      <c r="D924" s="68" t="s">
        <v>693</v>
      </c>
      <c r="E924" s="23">
        <f t="shared" ca="1" si="88"/>
        <v>40951</v>
      </c>
      <c r="F924" s="16">
        <f>DATE(98,8,24)</f>
        <v>36031</v>
      </c>
      <c r="G924" s="17">
        <f t="shared" ca="1" si="90"/>
        <v>14</v>
      </c>
      <c r="H924" s="17">
        <f t="shared" ca="1" si="91"/>
        <v>-6</v>
      </c>
      <c r="I924" s="18">
        <f t="shared" ca="1" si="92"/>
        <v>-12</v>
      </c>
      <c r="J924" s="19">
        <f t="shared" ca="1" si="89"/>
        <v>13</v>
      </c>
      <c r="K924" s="17" t="s">
        <v>40</v>
      </c>
      <c r="L924" s="20">
        <v>73</v>
      </c>
      <c r="M924" s="26" t="s">
        <v>44</v>
      </c>
      <c r="N924">
        <v>198</v>
      </c>
    </row>
    <row r="925" spans="1:14">
      <c r="A925" s="24">
        <f t="shared" si="87"/>
        <v>922</v>
      </c>
      <c r="B925" s="66" t="s">
        <v>271</v>
      </c>
      <c r="C925" s="66" t="s">
        <v>164</v>
      </c>
      <c r="D925" s="66" t="s">
        <v>697</v>
      </c>
      <c r="E925" s="21">
        <f t="shared" ca="1" si="88"/>
        <v>40951</v>
      </c>
      <c r="F925" s="6">
        <f>DATE(69,4,2)</f>
        <v>25295</v>
      </c>
      <c r="G925" s="7">
        <f t="shared" ca="1" si="90"/>
        <v>43</v>
      </c>
      <c r="H925" s="7">
        <f t="shared" ca="1" si="91"/>
        <v>-2</v>
      </c>
      <c r="I925" s="8">
        <f t="shared" ca="1" si="92"/>
        <v>10</v>
      </c>
      <c r="J925" s="9">
        <f t="shared" ca="1" si="89"/>
        <v>42</v>
      </c>
      <c r="K925" s="7" t="s">
        <v>40</v>
      </c>
      <c r="L925" s="10">
        <v>74</v>
      </c>
      <c r="M925" s="24" t="s">
        <v>40</v>
      </c>
      <c r="N925">
        <v>199</v>
      </c>
    </row>
    <row r="926" spans="1:14">
      <c r="A926" s="25">
        <f t="shared" ref="A926:A989" si="93">A925+1</f>
        <v>923</v>
      </c>
      <c r="B926" s="67" t="s">
        <v>271</v>
      </c>
      <c r="C926" s="67" t="s">
        <v>402</v>
      </c>
      <c r="D926" s="67" t="s">
        <v>249</v>
      </c>
      <c r="E926" s="22">
        <f t="shared" ca="1" si="88"/>
        <v>40951</v>
      </c>
      <c r="F926" s="11">
        <f>DATE(72,10,16)</f>
        <v>26588</v>
      </c>
      <c r="G926" s="12">
        <f t="shared" ca="1" si="90"/>
        <v>40</v>
      </c>
      <c r="H926" s="12">
        <f t="shared" ca="1" si="91"/>
        <v>-8</v>
      </c>
      <c r="I926" s="13">
        <f t="shared" ca="1" si="92"/>
        <v>-4</v>
      </c>
      <c r="J926" s="14">
        <f t="shared" ca="1" si="89"/>
        <v>39</v>
      </c>
      <c r="K926" s="12" t="s">
        <v>41</v>
      </c>
      <c r="L926" s="15">
        <v>74</v>
      </c>
      <c r="M926" s="25" t="s">
        <v>40</v>
      </c>
      <c r="N926">
        <v>199</v>
      </c>
    </row>
    <row r="927" spans="1:14">
      <c r="A927" s="25">
        <f t="shared" si="93"/>
        <v>924</v>
      </c>
      <c r="B927" s="67" t="s">
        <v>271</v>
      </c>
      <c r="C927" s="67" t="s">
        <v>698</v>
      </c>
      <c r="D927" s="67" t="s">
        <v>249</v>
      </c>
      <c r="E927" s="22">
        <f t="shared" ca="1" si="88"/>
        <v>40951</v>
      </c>
      <c r="F927" s="11">
        <f>DATE(97,3,25)</f>
        <v>35514</v>
      </c>
      <c r="G927" s="12">
        <f t="shared" ca="1" si="90"/>
        <v>15</v>
      </c>
      <c r="H927" s="12">
        <f t="shared" ca="1" si="91"/>
        <v>-1</v>
      </c>
      <c r="I927" s="13">
        <f t="shared" ca="1" si="92"/>
        <v>-13</v>
      </c>
      <c r="J927" s="14">
        <f t="shared" ca="1" si="89"/>
        <v>14</v>
      </c>
      <c r="K927" s="12" t="s">
        <v>41</v>
      </c>
      <c r="L927" s="15">
        <v>74</v>
      </c>
      <c r="M927" s="25" t="s">
        <v>44</v>
      </c>
      <c r="N927">
        <v>199</v>
      </c>
    </row>
    <row r="928" spans="1:14" ht="15.75" thickBot="1">
      <c r="A928" s="26">
        <f t="shared" si="93"/>
        <v>925</v>
      </c>
      <c r="B928" s="68" t="s">
        <v>271</v>
      </c>
      <c r="C928" s="68" t="s">
        <v>699</v>
      </c>
      <c r="D928" s="68" t="s">
        <v>249</v>
      </c>
      <c r="E928" s="23">
        <f t="shared" ca="1" si="88"/>
        <v>40951</v>
      </c>
      <c r="F928" s="16">
        <f>DATE(2002,4,27)</f>
        <v>37373</v>
      </c>
      <c r="G928" s="17">
        <f t="shared" ca="1" si="90"/>
        <v>10</v>
      </c>
      <c r="H928" s="17">
        <f t="shared" ca="1" si="91"/>
        <v>-2</v>
      </c>
      <c r="I928" s="18">
        <f t="shared" ca="1" si="92"/>
        <v>-15</v>
      </c>
      <c r="J928" s="19">
        <f t="shared" ca="1" si="89"/>
        <v>9</v>
      </c>
      <c r="K928" s="17" t="s">
        <v>41</v>
      </c>
      <c r="L928" s="20">
        <v>74</v>
      </c>
      <c r="M928" s="26" t="s">
        <v>44</v>
      </c>
      <c r="N928">
        <v>199</v>
      </c>
    </row>
    <row r="929" spans="1:14">
      <c r="A929" s="24">
        <f t="shared" si="93"/>
        <v>926</v>
      </c>
      <c r="B929" s="66" t="s">
        <v>11</v>
      </c>
      <c r="C929" s="66" t="s">
        <v>315</v>
      </c>
      <c r="D929" s="66" t="s">
        <v>700</v>
      </c>
      <c r="E929" s="21">
        <f t="shared" ca="1" si="88"/>
        <v>40951</v>
      </c>
      <c r="F929" s="6">
        <f>DATE(45,8,3)</f>
        <v>16652</v>
      </c>
      <c r="G929" s="7">
        <f t="shared" ca="1" si="90"/>
        <v>67</v>
      </c>
      <c r="H929" s="7">
        <f t="shared" ca="1" si="91"/>
        <v>-6</v>
      </c>
      <c r="I929" s="8">
        <f t="shared" ca="1" si="92"/>
        <v>9</v>
      </c>
      <c r="J929" s="9">
        <f t="shared" ca="1" si="89"/>
        <v>66</v>
      </c>
      <c r="K929" s="7" t="s">
        <v>40</v>
      </c>
      <c r="L929" s="10">
        <v>75</v>
      </c>
      <c r="M929" s="24" t="s">
        <v>40</v>
      </c>
      <c r="N929">
        <v>200</v>
      </c>
    </row>
    <row r="930" spans="1:14" ht="15.75" thickBot="1">
      <c r="A930" s="26">
        <f t="shared" si="93"/>
        <v>927</v>
      </c>
      <c r="B930" s="68" t="s">
        <v>11</v>
      </c>
      <c r="C930" s="68" t="s">
        <v>345</v>
      </c>
      <c r="D930" s="68" t="s">
        <v>315</v>
      </c>
      <c r="E930" s="23">
        <f t="shared" ca="1" si="88"/>
        <v>40951</v>
      </c>
      <c r="F930" s="16">
        <f>DATE(46,1,2)</f>
        <v>16804</v>
      </c>
      <c r="G930" s="17">
        <f t="shared" ca="1" si="90"/>
        <v>66</v>
      </c>
      <c r="H930" s="17">
        <f t="shared" ca="1" si="91"/>
        <v>1</v>
      </c>
      <c r="I930" s="18">
        <f t="shared" ca="1" si="92"/>
        <v>10</v>
      </c>
      <c r="J930" s="19">
        <f t="shared" ca="1" si="89"/>
        <v>66</v>
      </c>
      <c r="K930" s="17" t="s">
        <v>40</v>
      </c>
      <c r="L930" s="20">
        <v>75</v>
      </c>
      <c r="M930" s="26" t="s">
        <v>40</v>
      </c>
      <c r="N930">
        <v>200</v>
      </c>
    </row>
    <row r="931" spans="1:14">
      <c r="A931" s="24">
        <f t="shared" si="93"/>
        <v>928</v>
      </c>
      <c r="B931" s="66" t="s">
        <v>11</v>
      </c>
      <c r="C931" s="66" t="s">
        <v>315</v>
      </c>
      <c r="D931" s="66" t="s">
        <v>198</v>
      </c>
      <c r="E931" s="21">
        <f t="shared" ca="1" si="88"/>
        <v>40951</v>
      </c>
      <c r="F931" s="6">
        <f>DATE(43,10,5)</f>
        <v>15984</v>
      </c>
      <c r="G931" s="7">
        <f t="shared" ca="1" si="90"/>
        <v>69</v>
      </c>
      <c r="H931" s="7">
        <f t="shared" ca="1" si="91"/>
        <v>-8</v>
      </c>
      <c r="I931" s="8">
        <f t="shared" ca="1" si="92"/>
        <v>7</v>
      </c>
      <c r="J931" s="9">
        <f t="shared" ca="1" si="89"/>
        <v>68</v>
      </c>
      <c r="K931" s="7" t="s">
        <v>40</v>
      </c>
      <c r="L931" s="10">
        <v>75</v>
      </c>
      <c r="M931" s="24" t="s">
        <v>40</v>
      </c>
      <c r="N931">
        <v>201</v>
      </c>
    </row>
    <row r="932" spans="1:14">
      <c r="A932" s="25">
        <f t="shared" si="93"/>
        <v>929</v>
      </c>
      <c r="B932" s="67" t="s">
        <v>11</v>
      </c>
      <c r="C932" s="67" t="s">
        <v>87</v>
      </c>
      <c r="D932" s="67" t="s">
        <v>315</v>
      </c>
      <c r="E932" s="22">
        <f t="shared" ref="E932:E995" ca="1" si="94">TODAY()</f>
        <v>40951</v>
      </c>
      <c r="F932" s="11">
        <f>DATE(45,8,20)</f>
        <v>16669</v>
      </c>
      <c r="G932" s="12">
        <f t="shared" ca="1" si="90"/>
        <v>67</v>
      </c>
      <c r="H932" s="12">
        <f t="shared" ca="1" si="91"/>
        <v>-6</v>
      </c>
      <c r="I932" s="13">
        <f t="shared" ca="1" si="92"/>
        <v>-8</v>
      </c>
      <c r="J932" s="14">
        <f t="shared" ca="1" si="89"/>
        <v>66</v>
      </c>
      <c r="K932" s="12" t="s">
        <v>41</v>
      </c>
      <c r="L932" s="15">
        <v>75</v>
      </c>
      <c r="M932" s="25" t="s">
        <v>40</v>
      </c>
      <c r="N932">
        <v>201</v>
      </c>
    </row>
    <row r="933" spans="1:14">
      <c r="A933" s="25">
        <f t="shared" si="93"/>
        <v>930</v>
      </c>
      <c r="B933" s="67" t="s">
        <v>11</v>
      </c>
      <c r="C933" s="67" t="s">
        <v>166</v>
      </c>
      <c r="D933" s="67" t="s">
        <v>315</v>
      </c>
      <c r="E933" s="22">
        <f t="shared" ca="1" si="94"/>
        <v>40951</v>
      </c>
      <c r="F933" s="11">
        <f>DATE(67,1,25)</f>
        <v>24497</v>
      </c>
      <c r="G933" s="12">
        <f t="shared" ca="1" si="90"/>
        <v>45</v>
      </c>
      <c r="H933" s="12">
        <f t="shared" ca="1" si="91"/>
        <v>1</v>
      </c>
      <c r="I933" s="13">
        <f t="shared" ca="1" si="92"/>
        <v>-13</v>
      </c>
      <c r="J933" s="14">
        <f t="shared" ca="1" si="89"/>
        <v>45</v>
      </c>
      <c r="K933" s="12" t="s">
        <v>40</v>
      </c>
      <c r="L933" s="15">
        <v>75</v>
      </c>
      <c r="M933" s="25" t="s">
        <v>40</v>
      </c>
      <c r="N933">
        <v>201</v>
      </c>
    </row>
    <row r="934" spans="1:14">
      <c r="A934" s="25">
        <f t="shared" si="93"/>
        <v>931</v>
      </c>
      <c r="B934" s="67" t="s">
        <v>11</v>
      </c>
      <c r="C934" s="67" t="s">
        <v>701</v>
      </c>
      <c r="D934" s="67" t="s">
        <v>166</v>
      </c>
      <c r="E934" s="22">
        <f t="shared" ca="1" si="94"/>
        <v>40951</v>
      </c>
      <c r="F934" s="11">
        <f>DATE(71,12,10)</f>
        <v>26277</v>
      </c>
      <c r="G934" s="12">
        <f t="shared" ca="1" si="90"/>
        <v>41</v>
      </c>
      <c r="H934" s="12">
        <f t="shared" ca="1" si="91"/>
        <v>-10</v>
      </c>
      <c r="I934" s="13">
        <f t="shared" ca="1" si="92"/>
        <v>2</v>
      </c>
      <c r="J934" s="14">
        <f t="shared" ca="1" si="89"/>
        <v>40</v>
      </c>
      <c r="K934" s="12" t="s">
        <v>41</v>
      </c>
      <c r="L934" s="15">
        <v>75</v>
      </c>
      <c r="M934" s="25" t="s">
        <v>40</v>
      </c>
      <c r="N934">
        <v>201</v>
      </c>
    </row>
    <row r="935" spans="1:14">
      <c r="A935" s="25">
        <f t="shared" si="93"/>
        <v>932</v>
      </c>
      <c r="B935" s="67" t="s">
        <v>11</v>
      </c>
      <c r="C935" s="67" t="s">
        <v>571</v>
      </c>
      <c r="D935" s="67" t="s">
        <v>166</v>
      </c>
      <c r="E935" s="22">
        <f t="shared" ca="1" si="94"/>
        <v>40951</v>
      </c>
      <c r="F935" s="32"/>
      <c r="G935" s="12">
        <f t="shared" ca="1" si="90"/>
        <v>112</v>
      </c>
      <c r="H935" s="12">
        <f t="shared" ca="1" si="91"/>
        <v>1</v>
      </c>
      <c r="I935" s="13">
        <f t="shared" ca="1" si="92"/>
        <v>12</v>
      </c>
      <c r="J935" s="14">
        <f t="shared" ca="1" si="89"/>
        <v>112</v>
      </c>
      <c r="K935" s="12" t="s">
        <v>40</v>
      </c>
      <c r="L935" s="15">
        <v>75</v>
      </c>
      <c r="M935" s="25" t="s">
        <v>44</v>
      </c>
      <c r="N935">
        <v>201</v>
      </c>
    </row>
    <row r="936" spans="1:14" ht="15.75" thickBot="1">
      <c r="A936" s="26">
        <f t="shared" si="93"/>
        <v>933</v>
      </c>
      <c r="B936" s="67" t="s">
        <v>11</v>
      </c>
      <c r="C936" s="68" t="s">
        <v>693</v>
      </c>
      <c r="D936" s="68" t="s">
        <v>315</v>
      </c>
      <c r="E936" s="23">
        <f t="shared" ca="1" si="94"/>
        <v>40951</v>
      </c>
      <c r="F936" s="16">
        <f>DATE(78,4,1)</f>
        <v>28581</v>
      </c>
      <c r="G936" s="17">
        <f t="shared" ca="1" si="90"/>
        <v>34</v>
      </c>
      <c r="H936" s="17">
        <f t="shared" ca="1" si="91"/>
        <v>-2</v>
      </c>
      <c r="I936" s="18">
        <f t="shared" ca="1" si="92"/>
        <v>11</v>
      </c>
      <c r="J936" s="19">
        <f t="shared" ca="1" si="89"/>
        <v>33</v>
      </c>
      <c r="K936" s="17" t="s">
        <v>40</v>
      </c>
      <c r="L936" s="20">
        <v>75</v>
      </c>
      <c r="M936" s="63" t="s">
        <v>44</v>
      </c>
      <c r="N936">
        <v>201</v>
      </c>
    </row>
    <row r="937" spans="1:14">
      <c r="A937" s="24">
        <f t="shared" si="93"/>
        <v>934</v>
      </c>
      <c r="B937" s="66" t="s">
        <v>11</v>
      </c>
      <c r="C937" s="66" t="s">
        <v>430</v>
      </c>
      <c r="D937" s="66" t="s">
        <v>702</v>
      </c>
      <c r="E937" s="21">
        <f t="shared" ca="1" si="94"/>
        <v>40951</v>
      </c>
      <c r="F937" s="6">
        <f>DATE(59,1,24)</f>
        <v>21574</v>
      </c>
      <c r="G937" s="7">
        <f t="shared" ca="1" si="90"/>
        <v>53</v>
      </c>
      <c r="H937" s="7">
        <f t="shared" ca="1" si="91"/>
        <v>1</v>
      </c>
      <c r="I937" s="8">
        <f t="shared" ca="1" si="92"/>
        <v>-12</v>
      </c>
      <c r="J937" s="9">
        <f t="shared" ca="1" si="89"/>
        <v>53</v>
      </c>
      <c r="K937" s="7" t="s">
        <v>41</v>
      </c>
      <c r="L937" s="10">
        <v>75</v>
      </c>
      <c r="M937" s="24" t="s">
        <v>40</v>
      </c>
      <c r="N937">
        <v>202</v>
      </c>
    </row>
    <row r="938" spans="1:14" ht="15.75" thickBot="1">
      <c r="A938" s="26">
        <f t="shared" si="93"/>
        <v>935</v>
      </c>
      <c r="B938" s="67" t="s">
        <v>11</v>
      </c>
      <c r="C938" s="68" t="s">
        <v>377</v>
      </c>
      <c r="D938" s="68" t="s">
        <v>702</v>
      </c>
      <c r="E938" s="23">
        <f t="shared" ca="1" si="94"/>
        <v>40951</v>
      </c>
      <c r="F938" s="16">
        <f>DATE(79,10,30)</f>
        <v>29158</v>
      </c>
      <c r="G938" s="17">
        <f t="shared" ca="1" si="90"/>
        <v>33</v>
      </c>
      <c r="H938" s="17">
        <f t="shared" ca="1" si="91"/>
        <v>-8</v>
      </c>
      <c r="I938" s="18">
        <f t="shared" ca="1" si="92"/>
        <v>-18</v>
      </c>
      <c r="J938" s="19">
        <f t="shared" ca="1" si="89"/>
        <v>32</v>
      </c>
      <c r="K938" s="17" t="s">
        <v>40</v>
      </c>
      <c r="L938" s="20">
        <v>75</v>
      </c>
      <c r="M938" s="26" t="s">
        <v>44</v>
      </c>
      <c r="N938">
        <v>202</v>
      </c>
    </row>
    <row r="939" spans="1:14">
      <c r="A939" s="24">
        <f t="shared" si="93"/>
        <v>936</v>
      </c>
      <c r="B939" s="66" t="s">
        <v>11</v>
      </c>
      <c r="C939" s="66" t="s">
        <v>537</v>
      </c>
      <c r="D939" s="66" t="s">
        <v>700</v>
      </c>
      <c r="E939" s="21">
        <f t="shared" ca="1" si="94"/>
        <v>40951</v>
      </c>
      <c r="F939" s="6">
        <f>DATE(52,8,1)</f>
        <v>19207</v>
      </c>
      <c r="G939" s="7">
        <f t="shared" ca="1" si="90"/>
        <v>60</v>
      </c>
      <c r="H939" s="7">
        <f t="shared" ca="1" si="91"/>
        <v>-6</v>
      </c>
      <c r="I939" s="8">
        <f t="shared" ca="1" si="92"/>
        <v>11</v>
      </c>
      <c r="J939" s="9">
        <f t="shared" ca="1" si="89"/>
        <v>59</v>
      </c>
      <c r="K939" s="7" t="s">
        <v>40</v>
      </c>
      <c r="L939" s="10">
        <v>76</v>
      </c>
      <c r="M939" s="24" t="s">
        <v>40</v>
      </c>
      <c r="N939">
        <v>203</v>
      </c>
    </row>
    <row r="940" spans="1:14">
      <c r="A940" s="25">
        <f t="shared" si="93"/>
        <v>937</v>
      </c>
      <c r="B940" s="67" t="s">
        <v>11</v>
      </c>
      <c r="C940" s="67" t="s">
        <v>523</v>
      </c>
      <c r="D940" s="67" t="s">
        <v>537</v>
      </c>
      <c r="E940" s="22">
        <f t="shared" ca="1" si="94"/>
        <v>40951</v>
      </c>
      <c r="F940" s="11">
        <f>DATE(60,6,7)</f>
        <v>22074</v>
      </c>
      <c r="G940" s="12">
        <f t="shared" ca="1" si="90"/>
        <v>52</v>
      </c>
      <c r="H940" s="12">
        <f t="shared" ca="1" si="91"/>
        <v>-4</v>
      </c>
      <c r="I940" s="13">
        <f t="shared" ca="1" si="92"/>
        <v>5</v>
      </c>
      <c r="J940" s="14">
        <f t="shared" ca="1" si="89"/>
        <v>51</v>
      </c>
      <c r="K940" s="12" t="s">
        <v>41</v>
      </c>
      <c r="L940" s="15">
        <v>76</v>
      </c>
      <c r="M940" s="25" t="s">
        <v>40</v>
      </c>
      <c r="N940">
        <v>203</v>
      </c>
    </row>
    <row r="941" spans="1:14" ht="15.75" thickBot="1">
      <c r="A941" s="26">
        <f t="shared" si="93"/>
        <v>938</v>
      </c>
      <c r="B941" s="67" t="s">
        <v>11</v>
      </c>
      <c r="C941" s="68" t="s">
        <v>589</v>
      </c>
      <c r="D941" s="68" t="s">
        <v>537</v>
      </c>
      <c r="E941" s="23">
        <f t="shared" ca="1" si="94"/>
        <v>40951</v>
      </c>
      <c r="F941" s="16">
        <f>DATE(85,11,26)</f>
        <v>31377</v>
      </c>
      <c r="G941" s="17">
        <f t="shared" ca="1" si="90"/>
        <v>27</v>
      </c>
      <c r="H941" s="17">
        <f t="shared" ca="1" si="91"/>
        <v>-9</v>
      </c>
      <c r="I941" s="18">
        <f t="shared" ca="1" si="92"/>
        <v>-14</v>
      </c>
      <c r="J941" s="19">
        <f t="shared" ca="1" si="89"/>
        <v>26</v>
      </c>
      <c r="K941" s="17" t="s">
        <v>40</v>
      </c>
      <c r="L941" s="20">
        <v>76</v>
      </c>
      <c r="M941" s="26" t="s">
        <v>44</v>
      </c>
      <c r="N941">
        <v>203</v>
      </c>
    </row>
    <row r="942" spans="1:14">
      <c r="A942" s="24">
        <f t="shared" si="93"/>
        <v>939</v>
      </c>
      <c r="B942" s="66" t="s">
        <v>11</v>
      </c>
      <c r="C942" s="66" t="s">
        <v>184</v>
      </c>
      <c r="D942" s="66" t="s">
        <v>573</v>
      </c>
      <c r="E942" s="21">
        <f t="shared" ca="1" si="94"/>
        <v>40951</v>
      </c>
      <c r="F942" s="45"/>
      <c r="G942" s="7">
        <f t="shared" ca="1" si="90"/>
        <v>112</v>
      </c>
      <c r="H942" s="7">
        <f t="shared" ca="1" si="91"/>
        <v>1</v>
      </c>
      <c r="I942" s="8">
        <f t="shared" ca="1" si="92"/>
        <v>12</v>
      </c>
      <c r="J942" s="9">
        <f t="shared" ca="1" si="89"/>
        <v>112</v>
      </c>
      <c r="K942" s="7" t="s">
        <v>40</v>
      </c>
      <c r="L942" s="10">
        <v>76</v>
      </c>
      <c r="M942" s="24" t="s">
        <v>40</v>
      </c>
      <c r="N942">
        <v>204</v>
      </c>
    </row>
    <row r="943" spans="1:14">
      <c r="A943" s="25">
        <f t="shared" si="93"/>
        <v>940</v>
      </c>
      <c r="B943" s="67" t="s">
        <v>11</v>
      </c>
      <c r="C943" s="67" t="s">
        <v>703</v>
      </c>
      <c r="D943" s="67" t="s">
        <v>184</v>
      </c>
      <c r="E943" s="22">
        <f t="shared" ca="1" si="94"/>
        <v>40951</v>
      </c>
      <c r="F943" s="32"/>
      <c r="G943" s="12">
        <f t="shared" ca="1" si="90"/>
        <v>112</v>
      </c>
      <c r="H943" s="12">
        <f t="shared" ca="1" si="91"/>
        <v>1</v>
      </c>
      <c r="I943" s="13">
        <f t="shared" ca="1" si="92"/>
        <v>12</v>
      </c>
      <c r="J943" s="14">
        <f t="shared" ca="1" si="89"/>
        <v>112</v>
      </c>
      <c r="K943" s="12" t="s">
        <v>41</v>
      </c>
      <c r="L943" s="15">
        <v>76</v>
      </c>
      <c r="M943" s="25" t="s">
        <v>40</v>
      </c>
      <c r="N943">
        <v>204</v>
      </c>
    </row>
    <row r="944" spans="1:14">
      <c r="A944" s="25">
        <f t="shared" si="93"/>
        <v>941</v>
      </c>
      <c r="B944" s="67" t="s">
        <v>11</v>
      </c>
      <c r="C944" s="67" t="s">
        <v>704</v>
      </c>
      <c r="D944" s="67" t="s">
        <v>184</v>
      </c>
      <c r="E944" s="22">
        <f t="shared" ca="1" si="94"/>
        <v>40951</v>
      </c>
      <c r="F944" s="11">
        <f>DATE(74,12,12)</f>
        <v>27375</v>
      </c>
      <c r="G944" s="12">
        <f t="shared" ca="1" si="90"/>
        <v>38</v>
      </c>
      <c r="H944" s="12">
        <f t="shared" ca="1" si="91"/>
        <v>-10</v>
      </c>
      <c r="I944" s="13">
        <f t="shared" ca="1" si="92"/>
        <v>0</v>
      </c>
      <c r="J944" s="14">
        <f t="shared" ca="1" si="89"/>
        <v>37</v>
      </c>
      <c r="K944" s="12" t="s">
        <v>40</v>
      </c>
      <c r="L944" s="15">
        <v>76</v>
      </c>
      <c r="M944" s="25" t="s">
        <v>40</v>
      </c>
      <c r="N944">
        <v>204</v>
      </c>
    </row>
    <row r="945" spans="1:14">
      <c r="A945" s="25">
        <f t="shared" si="93"/>
        <v>942</v>
      </c>
      <c r="B945" s="67" t="s">
        <v>11</v>
      </c>
      <c r="C945" s="67" t="s">
        <v>74</v>
      </c>
      <c r="D945" s="67" t="s">
        <v>704</v>
      </c>
      <c r="E945" s="22">
        <f t="shared" ca="1" si="94"/>
        <v>40951</v>
      </c>
      <c r="F945" s="11">
        <f>DATE(77,5,4)</f>
        <v>28249</v>
      </c>
      <c r="G945" s="12">
        <f t="shared" ca="1" si="90"/>
        <v>35</v>
      </c>
      <c r="H945" s="12">
        <f t="shared" ca="1" si="91"/>
        <v>-3</v>
      </c>
      <c r="I945" s="13">
        <f t="shared" ca="1" si="92"/>
        <v>8</v>
      </c>
      <c r="J945" s="14">
        <f t="shared" ca="1" si="89"/>
        <v>34</v>
      </c>
      <c r="K945" s="12" t="s">
        <v>41</v>
      </c>
      <c r="L945" s="15">
        <v>76</v>
      </c>
      <c r="M945" s="25" t="s">
        <v>40</v>
      </c>
      <c r="N945">
        <v>204</v>
      </c>
    </row>
    <row r="946" spans="1:14" ht="15.75" thickBot="1">
      <c r="A946" s="26">
        <f t="shared" si="93"/>
        <v>943</v>
      </c>
      <c r="B946" s="67" t="s">
        <v>11</v>
      </c>
      <c r="C946" s="68" t="s">
        <v>705</v>
      </c>
      <c r="D946" s="68" t="s">
        <v>184</v>
      </c>
      <c r="E946" s="23">
        <f t="shared" ca="1" si="94"/>
        <v>40951</v>
      </c>
      <c r="F946" s="16">
        <f>DATE(82,12,9)</f>
        <v>30294</v>
      </c>
      <c r="G946" s="17">
        <f t="shared" ca="1" si="90"/>
        <v>30</v>
      </c>
      <c r="H946" s="17">
        <f t="shared" ca="1" si="91"/>
        <v>-10</v>
      </c>
      <c r="I946" s="18">
        <f t="shared" ca="1" si="92"/>
        <v>3</v>
      </c>
      <c r="J946" s="19">
        <f t="shared" ca="1" si="89"/>
        <v>29</v>
      </c>
      <c r="K946" s="17" t="s">
        <v>40</v>
      </c>
      <c r="L946" s="20">
        <v>76</v>
      </c>
      <c r="M946" s="26" t="s">
        <v>44</v>
      </c>
      <c r="N946">
        <v>204</v>
      </c>
    </row>
    <row r="947" spans="1:14">
      <c r="A947" s="24">
        <f t="shared" si="93"/>
        <v>944</v>
      </c>
      <c r="B947" s="66" t="s">
        <v>11</v>
      </c>
      <c r="C947" s="66" t="s">
        <v>706</v>
      </c>
      <c r="D947" s="66" t="s">
        <v>707</v>
      </c>
      <c r="E947" s="21">
        <f t="shared" ca="1" si="94"/>
        <v>40951</v>
      </c>
      <c r="F947" s="6">
        <f>DATE(46,5,3)</f>
        <v>16925</v>
      </c>
      <c r="G947" s="7">
        <f t="shared" ca="1" si="90"/>
        <v>66</v>
      </c>
      <c r="H947" s="7">
        <f t="shared" ca="1" si="91"/>
        <v>-3</v>
      </c>
      <c r="I947" s="8">
        <f t="shared" ca="1" si="92"/>
        <v>9</v>
      </c>
      <c r="J947" s="9">
        <f t="shared" ca="1" si="89"/>
        <v>65</v>
      </c>
      <c r="K947" s="7" t="s">
        <v>40</v>
      </c>
      <c r="L947" s="10">
        <v>76</v>
      </c>
      <c r="M947" s="24" t="s">
        <v>40</v>
      </c>
      <c r="N947">
        <v>205</v>
      </c>
    </row>
    <row r="948" spans="1:14">
      <c r="A948" s="25">
        <f t="shared" si="93"/>
        <v>945</v>
      </c>
      <c r="B948" s="67" t="s">
        <v>11</v>
      </c>
      <c r="C948" s="67" t="s">
        <v>708</v>
      </c>
      <c r="D948" s="67" t="s">
        <v>706</v>
      </c>
      <c r="E948" s="22">
        <f t="shared" ca="1" si="94"/>
        <v>40951</v>
      </c>
      <c r="F948" s="11">
        <f>DATE(75,1,30)</f>
        <v>27424</v>
      </c>
      <c r="G948" s="12">
        <f t="shared" ca="1" si="90"/>
        <v>37</v>
      </c>
      <c r="H948" s="12">
        <f t="shared" ca="1" si="91"/>
        <v>1</v>
      </c>
      <c r="I948" s="13">
        <f t="shared" ca="1" si="92"/>
        <v>-18</v>
      </c>
      <c r="J948" s="14">
        <f t="shared" ca="1" si="89"/>
        <v>37</v>
      </c>
      <c r="K948" s="12" t="s">
        <v>41</v>
      </c>
      <c r="L948" s="15">
        <v>76</v>
      </c>
      <c r="M948" s="25" t="s">
        <v>40</v>
      </c>
      <c r="N948">
        <v>205</v>
      </c>
    </row>
    <row r="949" spans="1:14">
      <c r="A949" s="25">
        <f t="shared" si="93"/>
        <v>946</v>
      </c>
      <c r="B949" s="67" t="s">
        <v>11</v>
      </c>
      <c r="C949" s="67" t="s">
        <v>709</v>
      </c>
      <c r="D949" s="67" t="s">
        <v>708</v>
      </c>
      <c r="E949" s="22">
        <f t="shared" ca="1" si="94"/>
        <v>40951</v>
      </c>
      <c r="F949" s="11">
        <f>DATE(79,10,11)</f>
        <v>29139</v>
      </c>
      <c r="G949" s="12">
        <f t="shared" ca="1" si="90"/>
        <v>33</v>
      </c>
      <c r="H949" s="12">
        <f t="shared" ca="1" si="91"/>
        <v>-8</v>
      </c>
      <c r="I949" s="13">
        <f t="shared" ca="1" si="92"/>
        <v>1</v>
      </c>
      <c r="J949" s="14">
        <f t="shared" ca="1" si="89"/>
        <v>32</v>
      </c>
      <c r="K949" s="12" t="s">
        <v>41</v>
      </c>
      <c r="L949" s="15">
        <v>76</v>
      </c>
      <c r="M949" s="25" t="s">
        <v>40</v>
      </c>
      <c r="N949">
        <v>205</v>
      </c>
    </row>
    <row r="950" spans="1:14">
      <c r="A950" s="25">
        <f t="shared" si="93"/>
        <v>947</v>
      </c>
      <c r="B950" s="67" t="s">
        <v>11</v>
      </c>
      <c r="C950" s="67" t="s">
        <v>517</v>
      </c>
      <c r="D950" s="67" t="s">
        <v>708</v>
      </c>
      <c r="E950" s="22">
        <f t="shared" ca="1" si="94"/>
        <v>40951</v>
      </c>
      <c r="F950" s="11">
        <f>DATE(2003,6,15)</f>
        <v>37787</v>
      </c>
      <c r="G950" s="12">
        <f t="shared" ca="1" si="90"/>
        <v>9</v>
      </c>
      <c r="H950" s="12">
        <f t="shared" ca="1" si="91"/>
        <v>-4</v>
      </c>
      <c r="I950" s="13">
        <f t="shared" ca="1" si="92"/>
        <v>-3</v>
      </c>
      <c r="J950" s="14">
        <f t="shared" ca="1" si="89"/>
        <v>8</v>
      </c>
      <c r="K950" s="12" t="s">
        <v>40</v>
      </c>
      <c r="L950" s="15">
        <v>76</v>
      </c>
      <c r="M950" s="25" t="s">
        <v>44</v>
      </c>
      <c r="N950">
        <v>205</v>
      </c>
    </row>
    <row r="951" spans="1:14" ht="15.75" thickBot="1">
      <c r="A951" s="26">
        <f t="shared" si="93"/>
        <v>948</v>
      </c>
      <c r="B951" s="67" t="s">
        <v>11</v>
      </c>
      <c r="C951" s="68" t="s">
        <v>710</v>
      </c>
      <c r="D951" s="68" t="s">
        <v>708</v>
      </c>
      <c r="E951" s="23">
        <f t="shared" ca="1" si="94"/>
        <v>40951</v>
      </c>
      <c r="F951" s="16">
        <f>DATE(2006,4,30)</f>
        <v>38837</v>
      </c>
      <c r="G951" s="17">
        <f t="shared" ca="1" si="90"/>
        <v>6</v>
      </c>
      <c r="H951" s="17">
        <f t="shared" ca="1" si="91"/>
        <v>-2</v>
      </c>
      <c r="I951" s="18">
        <f t="shared" ca="1" si="92"/>
        <v>-18</v>
      </c>
      <c r="J951" s="19">
        <f t="shared" ca="1" si="89"/>
        <v>5</v>
      </c>
      <c r="K951" s="17" t="s">
        <v>41</v>
      </c>
      <c r="L951" s="20">
        <v>76</v>
      </c>
      <c r="M951" s="26" t="s">
        <v>44</v>
      </c>
      <c r="N951">
        <v>205</v>
      </c>
    </row>
    <row r="952" spans="1:14">
      <c r="A952" s="24">
        <f t="shared" si="93"/>
        <v>949</v>
      </c>
      <c r="B952" s="66" t="s">
        <v>11</v>
      </c>
      <c r="C952" s="66" t="s">
        <v>711</v>
      </c>
      <c r="D952" s="66" t="s">
        <v>712</v>
      </c>
      <c r="E952" s="21">
        <f t="shared" ca="1" si="94"/>
        <v>40951</v>
      </c>
      <c r="F952" s="6">
        <f>DATE(68,10,19)</f>
        <v>25130</v>
      </c>
      <c r="G952" s="7">
        <f t="shared" ca="1" si="90"/>
        <v>44</v>
      </c>
      <c r="H952" s="7">
        <f t="shared" ca="1" si="91"/>
        <v>-8</v>
      </c>
      <c r="I952" s="8">
        <f t="shared" ca="1" si="92"/>
        <v>-7</v>
      </c>
      <c r="J952" s="9">
        <f t="shared" ca="1" si="89"/>
        <v>43</v>
      </c>
      <c r="K952" s="7" t="s">
        <v>40</v>
      </c>
      <c r="L952" s="10">
        <v>77</v>
      </c>
      <c r="M952" s="24" t="s">
        <v>40</v>
      </c>
      <c r="N952">
        <v>206</v>
      </c>
    </row>
    <row r="953" spans="1:14">
      <c r="A953" s="25">
        <f t="shared" si="93"/>
        <v>950</v>
      </c>
      <c r="B953" s="67" t="s">
        <v>11</v>
      </c>
      <c r="C953" s="67" t="s">
        <v>667</v>
      </c>
      <c r="D953" s="67" t="s">
        <v>711</v>
      </c>
      <c r="E953" s="22">
        <f t="shared" ca="1" si="94"/>
        <v>40951</v>
      </c>
      <c r="F953" s="11">
        <f>DATE(73,10,6)</f>
        <v>26943</v>
      </c>
      <c r="G953" s="12">
        <f t="shared" ca="1" si="90"/>
        <v>39</v>
      </c>
      <c r="H953" s="12">
        <f t="shared" ca="1" si="91"/>
        <v>-8</v>
      </c>
      <c r="I953" s="13">
        <f t="shared" ca="1" si="92"/>
        <v>6</v>
      </c>
      <c r="J953" s="14">
        <f t="shared" ca="1" si="89"/>
        <v>38</v>
      </c>
      <c r="K953" s="12" t="s">
        <v>41</v>
      </c>
      <c r="L953" s="15">
        <v>77</v>
      </c>
      <c r="M953" s="25" t="s">
        <v>40</v>
      </c>
      <c r="N953">
        <v>206</v>
      </c>
    </row>
    <row r="954" spans="1:14">
      <c r="A954" s="25">
        <f t="shared" si="93"/>
        <v>951</v>
      </c>
      <c r="B954" s="67" t="s">
        <v>11</v>
      </c>
      <c r="C954" s="67" t="s">
        <v>713</v>
      </c>
      <c r="D954" s="67" t="s">
        <v>711</v>
      </c>
      <c r="E954" s="22">
        <f t="shared" ca="1" si="94"/>
        <v>40951</v>
      </c>
      <c r="F954" s="11">
        <f>DATE(95,7,31)</f>
        <v>34911</v>
      </c>
      <c r="G954" s="12">
        <f t="shared" ca="1" si="90"/>
        <v>17</v>
      </c>
      <c r="H954" s="12">
        <f t="shared" ca="1" si="91"/>
        <v>-5</v>
      </c>
      <c r="I954" s="13">
        <f t="shared" ca="1" si="92"/>
        <v>-19</v>
      </c>
      <c r="J954" s="14">
        <f t="shared" ca="1" si="89"/>
        <v>16</v>
      </c>
      <c r="K954" s="12" t="s">
        <v>41</v>
      </c>
      <c r="L954" s="15">
        <v>77</v>
      </c>
      <c r="M954" s="25" t="s">
        <v>44</v>
      </c>
      <c r="N954">
        <v>206</v>
      </c>
    </row>
    <row r="955" spans="1:14" ht="15.75" thickBot="1">
      <c r="A955" s="26">
        <f t="shared" si="93"/>
        <v>952</v>
      </c>
      <c r="B955" s="67" t="s">
        <v>11</v>
      </c>
      <c r="C955" s="68" t="s">
        <v>714</v>
      </c>
      <c r="D955" s="68" t="s">
        <v>711</v>
      </c>
      <c r="E955" s="23">
        <f t="shared" ca="1" si="94"/>
        <v>40951</v>
      </c>
      <c r="F955" s="16">
        <f>DATE(98,9,12)</f>
        <v>36050</v>
      </c>
      <c r="G955" s="17">
        <f t="shared" ca="1" si="90"/>
        <v>14</v>
      </c>
      <c r="H955" s="17">
        <f t="shared" ca="1" si="91"/>
        <v>-7</v>
      </c>
      <c r="I955" s="18">
        <f t="shared" ca="1" si="92"/>
        <v>0</v>
      </c>
      <c r="J955" s="19">
        <f t="shared" ca="1" si="89"/>
        <v>13</v>
      </c>
      <c r="K955" s="17" t="s">
        <v>41</v>
      </c>
      <c r="L955" s="20">
        <v>77</v>
      </c>
      <c r="M955" s="26" t="s">
        <v>44</v>
      </c>
      <c r="N955">
        <v>206</v>
      </c>
    </row>
    <row r="956" spans="1:14">
      <c r="A956" s="24">
        <f t="shared" si="93"/>
        <v>953</v>
      </c>
      <c r="B956" s="66" t="s">
        <v>11</v>
      </c>
      <c r="C956" s="66" t="s">
        <v>715</v>
      </c>
      <c r="D956" s="66" t="s">
        <v>716</v>
      </c>
      <c r="E956" s="21">
        <f t="shared" ca="1" si="94"/>
        <v>40951</v>
      </c>
      <c r="F956" s="45"/>
      <c r="G956" s="7">
        <f t="shared" ca="1" si="90"/>
        <v>112</v>
      </c>
      <c r="H956" s="7">
        <f t="shared" ca="1" si="91"/>
        <v>1</v>
      </c>
      <c r="I956" s="8">
        <f t="shared" ca="1" si="92"/>
        <v>12</v>
      </c>
      <c r="J956" s="9">
        <f t="shared" ca="1" si="89"/>
        <v>112</v>
      </c>
      <c r="K956" s="7" t="s">
        <v>40</v>
      </c>
      <c r="L956" s="10">
        <v>77</v>
      </c>
      <c r="M956" s="24" t="s">
        <v>44</v>
      </c>
      <c r="N956">
        <v>207</v>
      </c>
    </row>
    <row r="957" spans="1:14" ht="15.75" thickBot="1">
      <c r="A957" s="26">
        <f t="shared" si="93"/>
        <v>954</v>
      </c>
      <c r="B957" s="67" t="s">
        <v>11</v>
      </c>
      <c r="C957" s="68" t="s">
        <v>717</v>
      </c>
      <c r="D957" s="68" t="s">
        <v>716</v>
      </c>
      <c r="E957" s="23">
        <f t="shared" ca="1" si="94"/>
        <v>40951</v>
      </c>
      <c r="F957" s="16">
        <f>DATE(52,8,3)</f>
        <v>19209</v>
      </c>
      <c r="G957" s="17">
        <f t="shared" ca="1" si="90"/>
        <v>60</v>
      </c>
      <c r="H957" s="17">
        <f t="shared" ca="1" si="91"/>
        <v>-6</v>
      </c>
      <c r="I957" s="18">
        <f t="shared" ca="1" si="92"/>
        <v>9</v>
      </c>
      <c r="J957" s="19">
        <f t="shared" ca="1" si="89"/>
        <v>59</v>
      </c>
      <c r="K957" s="17" t="s">
        <v>41</v>
      </c>
      <c r="L957" s="20">
        <v>77</v>
      </c>
      <c r="M957" s="26" t="s">
        <v>44</v>
      </c>
      <c r="N957">
        <v>207</v>
      </c>
    </row>
    <row r="958" spans="1:14" ht="15.75" thickBot="1">
      <c r="A958" s="43">
        <f t="shared" si="93"/>
        <v>955</v>
      </c>
      <c r="B958" s="69" t="s">
        <v>11</v>
      </c>
      <c r="C958" s="69" t="s">
        <v>718</v>
      </c>
      <c r="D958" s="69" t="s">
        <v>719</v>
      </c>
      <c r="E958" s="37">
        <f t="shared" ca="1" si="94"/>
        <v>40951</v>
      </c>
      <c r="F958" s="47"/>
      <c r="G958" s="39">
        <f t="shared" ca="1" si="90"/>
        <v>112</v>
      </c>
      <c r="H958" s="39">
        <f t="shared" ca="1" si="91"/>
        <v>1</v>
      </c>
      <c r="I958" s="40">
        <f t="shared" ca="1" si="92"/>
        <v>12</v>
      </c>
      <c r="J958" s="41">
        <f t="shared" ca="1" si="89"/>
        <v>112</v>
      </c>
      <c r="K958" s="39" t="s">
        <v>41</v>
      </c>
      <c r="L958" s="42">
        <v>77</v>
      </c>
      <c r="M958" s="43" t="s">
        <v>40</v>
      </c>
      <c r="N958">
        <v>208</v>
      </c>
    </row>
    <row r="959" spans="1:14">
      <c r="A959" s="24">
        <f t="shared" si="93"/>
        <v>956</v>
      </c>
      <c r="B959" s="66" t="s">
        <v>11</v>
      </c>
      <c r="C959" s="66" t="s">
        <v>720</v>
      </c>
      <c r="D959" s="66" t="s">
        <v>606</v>
      </c>
      <c r="E959" s="21">
        <f t="shared" ca="1" si="94"/>
        <v>40951</v>
      </c>
      <c r="F959" s="6">
        <f>DATE(38,10,15)</f>
        <v>14168</v>
      </c>
      <c r="G959" s="7">
        <f t="shared" ca="1" si="90"/>
        <v>74</v>
      </c>
      <c r="H959" s="7">
        <f t="shared" ca="1" si="91"/>
        <v>-8</v>
      </c>
      <c r="I959" s="8">
        <f t="shared" ca="1" si="92"/>
        <v>-3</v>
      </c>
      <c r="J959" s="9">
        <f t="shared" ca="1" si="89"/>
        <v>73</v>
      </c>
      <c r="K959" s="7" t="s">
        <v>40</v>
      </c>
      <c r="L959" s="10">
        <v>77</v>
      </c>
      <c r="M959" s="24" t="s">
        <v>40</v>
      </c>
      <c r="N959">
        <v>209</v>
      </c>
    </row>
    <row r="960" spans="1:14">
      <c r="A960" s="25">
        <f t="shared" si="93"/>
        <v>957</v>
      </c>
      <c r="B960" s="67" t="s">
        <v>11</v>
      </c>
      <c r="C960" s="67" t="s">
        <v>666</v>
      </c>
      <c r="D960" s="67" t="s">
        <v>720</v>
      </c>
      <c r="E960" s="22">
        <f t="shared" ca="1" si="94"/>
        <v>40951</v>
      </c>
      <c r="F960" s="11">
        <f>DATE(41,11,30)</f>
        <v>15310</v>
      </c>
      <c r="G960" s="12">
        <f t="shared" ca="1" si="90"/>
        <v>71</v>
      </c>
      <c r="H960" s="12">
        <f t="shared" ca="1" si="91"/>
        <v>-9</v>
      </c>
      <c r="I960" s="13">
        <f t="shared" ca="1" si="92"/>
        <v>-18</v>
      </c>
      <c r="J960" s="14">
        <f t="shared" ca="1" si="89"/>
        <v>70</v>
      </c>
      <c r="K960" s="12" t="s">
        <v>41</v>
      </c>
      <c r="L960" s="15">
        <v>77</v>
      </c>
      <c r="M960" s="25" t="s">
        <v>40</v>
      </c>
      <c r="N960">
        <v>209</v>
      </c>
    </row>
    <row r="961" spans="1:14">
      <c r="A961" s="25">
        <f t="shared" si="93"/>
        <v>958</v>
      </c>
      <c r="B961" s="67" t="s">
        <v>11</v>
      </c>
      <c r="C961" s="67" t="s">
        <v>245</v>
      </c>
      <c r="D961" s="67" t="s">
        <v>720</v>
      </c>
      <c r="E961" s="22">
        <f t="shared" ca="1" si="94"/>
        <v>40951</v>
      </c>
      <c r="F961" s="11">
        <f>DATE(70,9,14)</f>
        <v>25825</v>
      </c>
      <c r="G961" s="12">
        <f t="shared" ca="1" si="90"/>
        <v>42</v>
      </c>
      <c r="H961" s="12">
        <f t="shared" ca="1" si="91"/>
        <v>-7</v>
      </c>
      <c r="I961" s="13">
        <f t="shared" ca="1" si="92"/>
        <v>-2</v>
      </c>
      <c r="J961" s="14">
        <f t="shared" ca="1" si="89"/>
        <v>41</v>
      </c>
      <c r="K961" s="12" t="s">
        <v>40</v>
      </c>
      <c r="L961" s="15">
        <v>77</v>
      </c>
      <c r="M961" s="25" t="s">
        <v>40</v>
      </c>
      <c r="N961">
        <v>209</v>
      </c>
    </row>
    <row r="962" spans="1:14">
      <c r="A962" s="25">
        <f t="shared" si="93"/>
        <v>959</v>
      </c>
      <c r="B962" s="67" t="s">
        <v>11</v>
      </c>
      <c r="C962" s="67" t="s">
        <v>673</v>
      </c>
      <c r="D962" s="67" t="s">
        <v>720</v>
      </c>
      <c r="E962" s="22">
        <f t="shared" ca="1" si="94"/>
        <v>40951</v>
      </c>
      <c r="F962" s="11">
        <f>DATE(73,8,7)</f>
        <v>26883</v>
      </c>
      <c r="G962" s="12">
        <f t="shared" ca="1" si="90"/>
        <v>39</v>
      </c>
      <c r="H962" s="12">
        <f t="shared" ca="1" si="91"/>
        <v>-6</v>
      </c>
      <c r="I962" s="13">
        <f t="shared" ca="1" si="92"/>
        <v>5</v>
      </c>
      <c r="J962" s="14">
        <f t="shared" ca="1" si="89"/>
        <v>38</v>
      </c>
      <c r="K962" s="12" t="s">
        <v>41</v>
      </c>
      <c r="L962" s="15">
        <v>77</v>
      </c>
      <c r="M962" s="25" t="s">
        <v>40</v>
      </c>
      <c r="N962">
        <v>209</v>
      </c>
    </row>
    <row r="963" spans="1:14" ht="15.75" thickBot="1">
      <c r="A963" s="26">
        <f t="shared" si="93"/>
        <v>960</v>
      </c>
      <c r="B963" s="67" t="s">
        <v>11</v>
      </c>
      <c r="C963" s="68" t="s">
        <v>263</v>
      </c>
      <c r="D963" s="68" t="s">
        <v>245</v>
      </c>
      <c r="E963" s="23">
        <f t="shared" ca="1" si="94"/>
        <v>40951</v>
      </c>
      <c r="F963" s="16">
        <f>DATE(91,11,1)</f>
        <v>33543</v>
      </c>
      <c r="G963" s="17">
        <f t="shared" ca="1" si="90"/>
        <v>21</v>
      </c>
      <c r="H963" s="17">
        <f t="shared" ca="1" si="91"/>
        <v>-9</v>
      </c>
      <c r="I963" s="18">
        <f t="shared" ca="1" si="92"/>
        <v>11</v>
      </c>
      <c r="J963" s="19">
        <f t="shared" ca="1" si="89"/>
        <v>20</v>
      </c>
      <c r="K963" s="17" t="s">
        <v>40</v>
      </c>
      <c r="L963" s="20">
        <v>77</v>
      </c>
      <c r="M963" s="26" t="s">
        <v>44</v>
      </c>
      <c r="N963">
        <v>209</v>
      </c>
    </row>
    <row r="964" spans="1:14">
      <c r="A964" s="24">
        <f t="shared" si="93"/>
        <v>961</v>
      </c>
      <c r="B964" s="66" t="s">
        <v>11</v>
      </c>
      <c r="C964" s="66" t="s">
        <v>481</v>
      </c>
      <c r="D964" s="66" t="s">
        <v>573</v>
      </c>
      <c r="E964" s="21">
        <f t="shared" ca="1" si="94"/>
        <v>40951</v>
      </c>
      <c r="F964" s="6">
        <f>DATE(55,5,28)</f>
        <v>20237</v>
      </c>
      <c r="G964" s="7">
        <f t="shared" ca="1" si="90"/>
        <v>57</v>
      </c>
      <c r="H964" s="7">
        <f t="shared" ca="1" si="91"/>
        <v>-3</v>
      </c>
      <c r="I964" s="8">
        <f t="shared" ca="1" si="92"/>
        <v>-16</v>
      </c>
      <c r="J964" s="9">
        <f t="shared" ref="J964:J1027" ca="1" si="95">IF(H964&lt;0,G964-1,IF(H964&gt;0,G964,IF(I964&lt;0,G964-1,G964)))</f>
        <v>56</v>
      </c>
      <c r="K964" s="7" t="s">
        <v>40</v>
      </c>
      <c r="L964" s="10">
        <v>78</v>
      </c>
      <c r="M964" s="24" t="s">
        <v>40</v>
      </c>
      <c r="N964">
        <v>210</v>
      </c>
    </row>
    <row r="965" spans="1:14">
      <c r="A965" s="25">
        <f t="shared" si="93"/>
        <v>962</v>
      </c>
      <c r="B965" s="67" t="s">
        <v>11</v>
      </c>
      <c r="C965" s="67" t="s">
        <v>155</v>
      </c>
      <c r="D965" s="67" t="s">
        <v>481</v>
      </c>
      <c r="E965" s="22">
        <f t="shared" ca="1" si="94"/>
        <v>40951</v>
      </c>
      <c r="F965" s="32"/>
      <c r="G965" s="12">
        <f t="shared" ca="1" si="90"/>
        <v>112</v>
      </c>
      <c r="H965" s="12">
        <f t="shared" ca="1" si="91"/>
        <v>1</v>
      </c>
      <c r="I965" s="13">
        <f t="shared" ca="1" si="92"/>
        <v>12</v>
      </c>
      <c r="J965" s="14">
        <f t="shared" ca="1" si="95"/>
        <v>112</v>
      </c>
      <c r="K965" s="12" t="s">
        <v>41</v>
      </c>
      <c r="L965" s="15">
        <v>78</v>
      </c>
      <c r="M965" s="25" t="s">
        <v>40</v>
      </c>
      <c r="N965">
        <v>210</v>
      </c>
    </row>
    <row r="966" spans="1:14">
      <c r="A966" s="25">
        <f t="shared" si="93"/>
        <v>963</v>
      </c>
      <c r="B966" s="67" t="s">
        <v>11</v>
      </c>
      <c r="C966" s="67" t="s">
        <v>721</v>
      </c>
      <c r="D966" s="67" t="s">
        <v>481</v>
      </c>
      <c r="E966" s="22">
        <f t="shared" ca="1" si="94"/>
        <v>40951</v>
      </c>
      <c r="F966" s="11">
        <f>DATE(81,11,21)</f>
        <v>29911</v>
      </c>
      <c r="G966" s="12">
        <f t="shared" ca="1" si="90"/>
        <v>31</v>
      </c>
      <c r="H966" s="12">
        <f t="shared" ca="1" si="91"/>
        <v>-9</v>
      </c>
      <c r="I966" s="13">
        <f t="shared" ca="1" si="92"/>
        <v>-9</v>
      </c>
      <c r="J966" s="14">
        <f t="shared" ca="1" si="95"/>
        <v>30</v>
      </c>
      <c r="K966" s="12" t="s">
        <v>40</v>
      </c>
      <c r="L966" s="15">
        <v>78</v>
      </c>
      <c r="M966" s="25" t="s">
        <v>40</v>
      </c>
      <c r="N966">
        <v>210</v>
      </c>
    </row>
    <row r="967" spans="1:14">
      <c r="A967" s="25">
        <f t="shared" si="93"/>
        <v>964</v>
      </c>
      <c r="B967" s="67" t="s">
        <v>11</v>
      </c>
      <c r="C967" s="67" t="s">
        <v>722</v>
      </c>
      <c r="D967" s="67" t="s">
        <v>481</v>
      </c>
      <c r="E967" s="22">
        <f t="shared" ca="1" si="94"/>
        <v>40951</v>
      </c>
      <c r="F967" s="11">
        <f>DATE(83,7,11)</f>
        <v>30508</v>
      </c>
      <c r="G967" s="12">
        <f t="shared" ca="1" si="90"/>
        <v>29</v>
      </c>
      <c r="H967" s="12">
        <f t="shared" ca="1" si="91"/>
        <v>-5</v>
      </c>
      <c r="I967" s="13">
        <f t="shared" ca="1" si="92"/>
        <v>1</v>
      </c>
      <c r="J967" s="14">
        <f t="shared" ca="1" si="95"/>
        <v>28</v>
      </c>
      <c r="K967" s="12" t="s">
        <v>41</v>
      </c>
      <c r="L967" s="15">
        <v>78</v>
      </c>
      <c r="M967" s="25" t="s">
        <v>40</v>
      </c>
      <c r="N967">
        <v>210</v>
      </c>
    </row>
    <row r="968" spans="1:14">
      <c r="A968" s="25">
        <f t="shared" si="93"/>
        <v>965</v>
      </c>
      <c r="B968" s="67" t="s">
        <v>11</v>
      </c>
      <c r="C968" s="67" t="s">
        <v>362</v>
      </c>
      <c r="D968" s="67" t="s">
        <v>481</v>
      </c>
      <c r="E968" s="22">
        <f t="shared" ca="1" si="94"/>
        <v>40951</v>
      </c>
      <c r="F968" s="11">
        <f>DATE(84,7,30)</f>
        <v>30893</v>
      </c>
      <c r="G968" s="12">
        <f t="shared" ca="1" si="90"/>
        <v>28</v>
      </c>
      <c r="H968" s="12">
        <f t="shared" ca="1" si="91"/>
        <v>-5</v>
      </c>
      <c r="I968" s="13">
        <f t="shared" ca="1" si="92"/>
        <v>-18</v>
      </c>
      <c r="J968" s="14">
        <f t="shared" ca="1" si="95"/>
        <v>27</v>
      </c>
      <c r="K968" s="12" t="s">
        <v>40</v>
      </c>
      <c r="L968" s="15">
        <v>78</v>
      </c>
      <c r="M968" s="25" t="s">
        <v>44</v>
      </c>
      <c r="N968">
        <v>210</v>
      </c>
    </row>
    <row r="969" spans="1:14" ht="15.75" thickBot="1">
      <c r="A969" s="26">
        <f t="shared" si="93"/>
        <v>966</v>
      </c>
      <c r="B969" s="67" t="s">
        <v>11</v>
      </c>
      <c r="C969" s="68" t="s">
        <v>723</v>
      </c>
      <c r="D969" s="68" t="s">
        <v>481</v>
      </c>
      <c r="E969" s="23">
        <f t="shared" ca="1" si="94"/>
        <v>40951</v>
      </c>
      <c r="F969" s="16">
        <f>DATE(86,10,24)</f>
        <v>31709</v>
      </c>
      <c r="G969" s="17">
        <f t="shared" ca="1" si="90"/>
        <v>26</v>
      </c>
      <c r="H969" s="17">
        <f t="shared" ca="1" si="91"/>
        <v>-8</v>
      </c>
      <c r="I969" s="18">
        <f t="shared" ca="1" si="92"/>
        <v>-12</v>
      </c>
      <c r="J969" s="19">
        <f t="shared" ca="1" si="95"/>
        <v>25</v>
      </c>
      <c r="K969" s="17" t="s">
        <v>40</v>
      </c>
      <c r="L969" s="20">
        <v>78</v>
      </c>
      <c r="M969" s="26" t="s">
        <v>44</v>
      </c>
      <c r="N969">
        <v>210</v>
      </c>
    </row>
    <row r="970" spans="1:14">
      <c r="A970" s="24">
        <f t="shared" si="93"/>
        <v>967</v>
      </c>
      <c r="B970" s="66" t="s">
        <v>11</v>
      </c>
      <c r="C970" s="66" t="s">
        <v>724</v>
      </c>
      <c r="D970" s="66" t="s">
        <v>725</v>
      </c>
      <c r="E970" s="21">
        <f t="shared" ca="1" si="94"/>
        <v>40951</v>
      </c>
      <c r="F970" s="45"/>
      <c r="G970" s="7">
        <f t="shared" ca="1" si="90"/>
        <v>112</v>
      </c>
      <c r="H970" s="7">
        <f t="shared" ca="1" si="91"/>
        <v>1</v>
      </c>
      <c r="I970" s="8">
        <f t="shared" ca="1" si="92"/>
        <v>12</v>
      </c>
      <c r="J970" s="9">
        <f t="shared" ca="1" si="95"/>
        <v>112</v>
      </c>
      <c r="K970" s="7" t="s">
        <v>40</v>
      </c>
      <c r="L970" s="10">
        <v>78</v>
      </c>
      <c r="M970" s="24" t="s">
        <v>40</v>
      </c>
      <c r="N970">
        <v>211</v>
      </c>
    </row>
    <row r="971" spans="1:14">
      <c r="A971" s="25">
        <f t="shared" si="93"/>
        <v>968</v>
      </c>
      <c r="B971" s="67" t="s">
        <v>11</v>
      </c>
      <c r="C971" s="67" t="s">
        <v>576</v>
      </c>
      <c r="D971" s="67" t="s">
        <v>724</v>
      </c>
      <c r="E971" s="22">
        <f t="shared" ca="1" si="94"/>
        <v>40951</v>
      </c>
      <c r="F971" s="32"/>
      <c r="G971" s="12">
        <f t="shared" ca="1" si="90"/>
        <v>112</v>
      </c>
      <c r="H971" s="12">
        <f t="shared" ca="1" si="91"/>
        <v>1</v>
      </c>
      <c r="I971" s="13">
        <f t="shared" ca="1" si="92"/>
        <v>12</v>
      </c>
      <c r="J971" s="14">
        <f t="shared" ca="1" si="95"/>
        <v>112</v>
      </c>
      <c r="K971" s="12" t="s">
        <v>41</v>
      </c>
      <c r="L971" s="15">
        <v>78</v>
      </c>
      <c r="M971" s="25" t="s">
        <v>40</v>
      </c>
      <c r="N971">
        <v>211</v>
      </c>
    </row>
    <row r="972" spans="1:14">
      <c r="A972" s="25">
        <f t="shared" si="93"/>
        <v>969</v>
      </c>
      <c r="B972" s="67" t="s">
        <v>11</v>
      </c>
      <c r="C972" s="67" t="s">
        <v>326</v>
      </c>
      <c r="D972" s="67" t="s">
        <v>724</v>
      </c>
      <c r="E972" s="22">
        <f t="shared" ca="1" si="94"/>
        <v>40951</v>
      </c>
      <c r="F972" s="11">
        <f>DATE(50,2,28)</f>
        <v>18322</v>
      </c>
      <c r="G972" s="12">
        <f t="shared" ca="1" si="90"/>
        <v>62</v>
      </c>
      <c r="H972" s="12">
        <f t="shared" ca="1" si="91"/>
        <v>0</v>
      </c>
      <c r="I972" s="13">
        <f t="shared" ca="1" si="92"/>
        <v>-16</v>
      </c>
      <c r="J972" s="14">
        <f t="shared" ca="1" si="95"/>
        <v>61</v>
      </c>
      <c r="K972" s="12" t="s">
        <v>40</v>
      </c>
      <c r="L972" s="15">
        <v>78</v>
      </c>
      <c r="M972" s="25" t="s">
        <v>40</v>
      </c>
      <c r="N972">
        <v>211</v>
      </c>
    </row>
    <row r="973" spans="1:14" ht="15.75" thickBot="1">
      <c r="A973" s="26">
        <f t="shared" si="93"/>
        <v>970</v>
      </c>
      <c r="B973" s="67" t="s">
        <v>11</v>
      </c>
      <c r="C973" s="68" t="s">
        <v>78</v>
      </c>
      <c r="D973" s="68" t="s">
        <v>326</v>
      </c>
      <c r="E973" s="23">
        <f t="shared" ca="1" si="94"/>
        <v>40951</v>
      </c>
      <c r="F973" s="16">
        <f>DATE(56,1,1)</f>
        <v>20455</v>
      </c>
      <c r="G973" s="17">
        <f t="shared" ca="1" si="90"/>
        <v>56</v>
      </c>
      <c r="H973" s="17">
        <f t="shared" ca="1" si="91"/>
        <v>1</v>
      </c>
      <c r="I973" s="18">
        <f t="shared" ca="1" si="92"/>
        <v>11</v>
      </c>
      <c r="J973" s="19">
        <f t="shared" ca="1" si="95"/>
        <v>56</v>
      </c>
      <c r="K973" s="17" t="s">
        <v>41</v>
      </c>
      <c r="L973" s="20">
        <v>78</v>
      </c>
      <c r="M973" s="26" t="s">
        <v>40</v>
      </c>
      <c r="N973">
        <v>211</v>
      </c>
    </row>
    <row r="974" spans="1:14">
      <c r="A974" s="24">
        <f t="shared" si="93"/>
        <v>971</v>
      </c>
      <c r="B974" s="66" t="s">
        <v>11</v>
      </c>
      <c r="C974" s="66" t="s">
        <v>341</v>
      </c>
      <c r="D974" s="66" t="s">
        <v>726</v>
      </c>
      <c r="E974" s="21">
        <f t="shared" ca="1" si="94"/>
        <v>40951</v>
      </c>
      <c r="F974" s="6">
        <f>DATE(47,11,19)</f>
        <v>17490</v>
      </c>
      <c r="G974" s="7">
        <f t="shared" ca="1" si="90"/>
        <v>65</v>
      </c>
      <c r="H974" s="7">
        <f t="shared" ca="1" si="91"/>
        <v>-9</v>
      </c>
      <c r="I974" s="8">
        <f t="shared" ca="1" si="92"/>
        <v>-7</v>
      </c>
      <c r="J974" s="9">
        <f t="shared" ca="1" si="95"/>
        <v>64</v>
      </c>
      <c r="K974" s="7" t="s">
        <v>40</v>
      </c>
      <c r="L974" s="10">
        <v>78</v>
      </c>
      <c r="M974" s="24" t="s">
        <v>40</v>
      </c>
      <c r="N974">
        <v>212</v>
      </c>
    </row>
    <row r="975" spans="1:14">
      <c r="A975" s="25">
        <f t="shared" si="93"/>
        <v>972</v>
      </c>
      <c r="B975" s="67" t="s">
        <v>11</v>
      </c>
      <c r="C975" s="67" t="s">
        <v>115</v>
      </c>
      <c r="D975" s="67" t="s">
        <v>341</v>
      </c>
      <c r="E975" s="22">
        <f t="shared" ca="1" si="94"/>
        <v>40951</v>
      </c>
      <c r="F975" s="11">
        <f>DATE(53,10,25)</f>
        <v>19657</v>
      </c>
      <c r="G975" s="12">
        <f t="shared" ca="1" si="90"/>
        <v>59</v>
      </c>
      <c r="H975" s="12">
        <f t="shared" ca="1" si="91"/>
        <v>-8</v>
      </c>
      <c r="I975" s="13">
        <f t="shared" ca="1" si="92"/>
        <v>-13</v>
      </c>
      <c r="J975" s="14">
        <f t="shared" ca="1" si="95"/>
        <v>58</v>
      </c>
      <c r="K975" s="12" t="s">
        <v>41</v>
      </c>
      <c r="L975" s="15">
        <v>78</v>
      </c>
      <c r="M975" s="25" t="s">
        <v>40</v>
      </c>
      <c r="N975">
        <v>212</v>
      </c>
    </row>
    <row r="976" spans="1:14">
      <c r="A976" s="25">
        <f t="shared" si="93"/>
        <v>973</v>
      </c>
      <c r="B976" s="67" t="s">
        <v>11</v>
      </c>
      <c r="C976" s="67" t="s">
        <v>727</v>
      </c>
      <c r="D976" s="67" t="s">
        <v>341</v>
      </c>
      <c r="E976" s="22">
        <f t="shared" ca="1" si="94"/>
        <v>40951</v>
      </c>
      <c r="F976" s="11">
        <f>DATE(75,4,13)</f>
        <v>27497</v>
      </c>
      <c r="G976" s="12">
        <f t="shared" ca="1" si="90"/>
        <v>37</v>
      </c>
      <c r="H976" s="12">
        <f t="shared" ca="1" si="91"/>
        <v>-2</v>
      </c>
      <c r="I976" s="13">
        <f t="shared" ca="1" si="92"/>
        <v>-1</v>
      </c>
      <c r="J976" s="14">
        <f t="shared" ca="1" si="95"/>
        <v>36</v>
      </c>
      <c r="K976" s="12" t="s">
        <v>40</v>
      </c>
      <c r="L976" s="15">
        <v>78</v>
      </c>
      <c r="M976" s="25" t="s">
        <v>40</v>
      </c>
      <c r="N976">
        <v>212</v>
      </c>
    </row>
    <row r="977" spans="1:14">
      <c r="A977" s="25">
        <f t="shared" si="93"/>
        <v>974</v>
      </c>
      <c r="B977" s="67" t="s">
        <v>11</v>
      </c>
      <c r="C977" s="67" t="s">
        <v>212</v>
      </c>
      <c r="D977" s="67" t="s">
        <v>727</v>
      </c>
      <c r="E977" s="22">
        <f t="shared" ca="1" si="94"/>
        <v>40951</v>
      </c>
      <c r="F977" s="11">
        <f>DATE(79,12,18)</f>
        <v>29207</v>
      </c>
      <c r="G977" s="12">
        <f t="shared" ca="1" si="90"/>
        <v>33</v>
      </c>
      <c r="H977" s="12">
        <f t="shared" ca="1" si="91"/>
        <v>-10</v>
      </c>
      <c r="I977" s="13">
        <f t="shared" ca="1" si="92"/>
        <v>-6</v>
      </c>
      <c r="J977" s="14">
        <f t="shared" ca="1" si="95"/>
        <v>32</v>
      </c>
      <c r="K977" s="12" t="s">
        <v>41</v>
      </c>
      <c r="L977" s="15">
        <v>78</v>
      </c>
      <c r="M977" s="25" t="s">
        <v>40</v>
      </c>
      <c r="N977">
        <v>212</v>
      </c>
    </row>
    <row r="978" spans="1:14">
      <c r="A978" s="25">
        <f t="shared" si="93"/>
        <v>975</v>
      </c>
      <c r="B978" s="67" t="s">
        <v>11</v>
      </c>
      <c r="C978" s="67" t="s">
        <v>728</v>
      </c>
      <c r="D978" s="67" t="s">
        <v>727</v>
      </c>
      <c r="E978" s="22">
        <f t="shared" ca="1" si="94"/>
        <v>40951</v>
      </c>
      <c r="F978" s="11">
        <f>DATE(2002,6,2)</f>
        <v>37409</v>
      </c>
      <c r="G978" s="12">
        <f t="shared" ca="1" si="90"/>
        <v>10</v>
      </c>
      <c r="H978" s="12">
        <f t="shared" ca="1" si="91"/>
        <v>-4</v>
      </c>
      <c r="I978" s="13">
        <f t="shared" ca="1" si="92"/>
        <v>10</v>
      </c>
      <c r="J978" s="14">
        <f t="shared" ca="1" si="95"/>
        <v>9</v>
      </c>
      <c r="K978" s="12" t="s">
        <v>40</v>
      </c>
      <c r="L978" s="15">
        <v>78</v>
      </c>
      <c r="M978" s="25" t="s">
        <v>44</v>
      </c>
      <c r="N978">
        <v>212</v>
      </c>
    </row>
    <row r="979" spans="1:14">
      <c r="A979" s="25">
        <f t="shared" si="93"/>
        <v>976</v>
      </c>
      <c r="B979" s="67" t="s">
        <v>11</v>
      </c>
      <c r="C979" s="67" t="s">
        <v>641</v>
      </c>
      <c r="D979" s="67" t="s">
        <v>341</v>
      </c>
      <c r="E979" s="22">
        <f t="shared" ca="1" si="94"/>
        <v>40951</v>
      </c>
      <c r="F979" s="11">
        <f>DATE(79,1,31)</f>
        <v>28886</v>
      </c>
      <c r="G979" s="12">
        <f t="shared" ca="1" si="90"/>
        <v>33</v>
      </c>
      <c r="H979" s="12">
        <f t="shared" ca="1" si="91"/>
        <v>1</v>
      </c>
      <c r="I979" s="13">
        <f t="shared" ca="1" si="92"/>
        <v>-19</v>
      </c>
      <c r="J979" s="14">
        <f t="shared" ca="1" si="95"/>
        <v>33</v>
      </c>
      <c r="K979" s="12" t="s">
        <v>40</v>
      </c>
      <c r="L979" s="15">
        <v>78</v>
      </c>
      <c r="M979" s="25" t="s">
        <v>40</v>
      </c>
      <c r="N979">
        <v>212</v>
      </c>
    </row>
    <row r="980" spans="1:14" ht="15.75" thickBot="1">
      <c r="A980" s="26">
        <f t="shared" si="93"/>
        <v>977</v>
      </c>
      <c r="B980" s="67" t="s">
        <v>11</v>
      </c>
      <c r="C980" s="68" t="s">
        <v>729</v>
      </c>
      <c r="D980" s="68" t="s">
        <v>641</v>
      </c>
      <c r="E980" s="23">
        <f t="shared" ca="1" si="94"/>
        <v>40951</v>
      </c>
      <c r="F980" s="16">
        <f>DATE(83,3,12)</f>
        <v>30387</v>
      </c>
      <c r="G980" s="17">
        <f t="shared" ca="1" si="90"/>
        <v>29</v>
      </c>
      <c r="H980" s="17">
        <f t="shared" ca="1" si="91"/>
        <v>-1</v>
      </c>
      <c r="I980" s="18">
        <f t="shared" ca="1" si="92"/>
        <v>0</v>
      </c>
      <c r="J980" s="19">
        <f t="shared" ca="1" si="95"/>
        <v>28</v>
      </c>
      <c r="K980" s="17" t="s">
        <v>41</v>
      </c>
      <c r="L980" s="20">
        <v>78</v>
      </c>
      <c r="M980" s="26" t="s">
        <v>40</v>
      </c>
      <c r="N980">
        <v>212</v>
      </c>
    </row>
    <row r="981" spans="1:14">
      <c r="A981" s="24">
        <f t="shared" si="93"/>
        <v>978</v>
      </c>
      <c r="B981" s="66" t="s">
        <v>11</v>
      </c>
      <c r="C981" s="66" t="s">
        <v>730</v>
      </c>
      <c r="D981" s="66" t="s">
        <v>573</v>
      </c>
      <c r="E981" s="21">
        <f t="shared" ca="1" si="94"/>
        <v>40951</v>
      </c>
      <c r="F981" s="6">
        <f>DATE(52,6,15)</f>
        <v>19160</v>
      </c>
      <c r="G981" s="7">
        <f t="shared" ca="1" si="90"/>
        <v>60</v>
      </c>
      <c r="H981" s="7">
        <f t="shared" ca="1" si="91"/>
        <v>-4</v>
      </c>
      <c r="I981" s="8">
        <f t="shared" ca="1" si="92"/>
        <v>-3</v>
      </c>
      <c r="J981" s="9">
        <f t="shared" ca="1" si="95"/>
        <v>59</v>
      </c>
      <c r="K981" s="7" t="s">
        <v>40</v>
      </c>
      <c r="L981" s="10">
        <v>79</v>
      </c>
      <c r="M981" s="24" t="s">
        <v>40</v>
      </c>
      <c r="N981">
        <v>213</v>
      </c>
    </row>
    <row r="982" spans="1:14">
      <c r="A982" s="25">
        <f t="shared" si="93"/>
        <v>979</v>
      </c>
      <c r="B982" s="67" t="s">
        <v>11</v>
      </c>
      <c r="C982" s="67" t="s">
        <v>731</v>
      </c>
      <c r="D982" s="67" t="s">
        <v>730</v>
      </c>
      <c r="E982" s="22">
        <f t="shared" ca="1" si="94"/>
        <v>40951</v>
      </c>
      <c r="F982" s="11">
        <f>DATE(53,1,1)</f>
        <v>19360</v>
      </c>
      <c r="G982" s="12">
        <f t="shared" ca="1" si="90"/>
        <v>59</v>
      </c>
      <c r="H982" s="12">
        <f t="shared" ca="1" si="91"/>
        <v>1</v>
      </c>
      <c r="I982" s="13">
        <f t="shared" ca="1" si="92"/>
        <v>11</v>
      </c>
      <c r="J982" s="14">
        <f t="shared" ca="1" si="95"/>
        <v>59</v>
      </c>
      <c r="K982" s="12" t="s">
        <v>41</v>
      </c>
      <c r="L982" s="15">
        <v>79</v>
      </c>
      <c r="M982" s="25" t="s">
        <v>40</v>
      </c>
      <c r="N982">
        <v>213</v>
      </c>
    </row>
    <row r="983" spans="1:14">
      <c r="A983" s="25">
        <f t="shared" si="93"/>
        <v>980</v>
      </c>
      <c r="B983" s="67" t="s">
        <v>11</v>
      </c>
      <c r="C983" s="67" t="s">
        <v>628</v>
      </c>
      <c r="D983" s="67" t="s">
        <v>730</v>
      </c>
      <c r="E983" s="22">
        <f t="shared" ca="1" si="94"/>
        <v>40951</v>
      </c>
      <c r="F983" s="11">
        <f>DATE(86,11,11)</f>
        <v>31727</v>
      </c>
      <c r="G983" s="12">
        <f t="shared" ca="1" si="90"/>
        <v>26</v>
      </c>
      <c r="H983" s="12">
        <f t="shared" ca="1" si="91"/>
        <v>-9</v>
      </c>
      <c r="I983" s="13">
        <f t="shared" ca="1" si="92"/>
        <v>1</v>
      </c>
      <c r="J983" s="14">
        <f t="shared" ca="1" si="95"/>
        <v>25</v>
      </c>
      <c r="K983" s="12" t="s">
        <v>41</v>
      </c>
      <c r="L983" s="15">
        <v>79</v>
      </c>
      <c r="M983" s="25" t="s">
        <v>44</v>
      </c>
      <c r="N983">
        <v>213</v>
      </c>
    </row>
    <row r="984" spans="1:14">
      <c r="A984" s="25">
        <f t="shared" si="93"/>
        <v>981</v>
      </c>
      <c r="B984" s="67" t="s">
        <v>11</v>
      </c>
      <c r="C984" s="67" t="s">
        <v>236</v>
      </c>
      <c r="D984" s="67" t="s">
        <v>730</v>
      </c>
      <c r="E984" s="22">
        <f t="shared" ca="1" si="94"/>
        <v>40951</v>
      </c>
      <c r="F984" s="11">
        <f>DATE(88,8,31)</f>
        <v>32386</v>
      </c>
      <c r="G984" s="12">
        <f t="shared" ca="1" si="90"/>
        <v>24</v>
      </c>
      <c r="H984" s="12">
        <f t="shared" ca="1" si="91"/>
        <v>-6</v>
      </c>
      <c r="I984" s="13">
        <f t="shared" ca="1" si="92"/>
        <v>-19</v>
      </c>
      <c r="J984" s="14">
        <f t="shared" ca="1" si="95"/>
        <v>23</v>
      </c>
      <c r="K984" s="12" t="s">
        <v>41</v>
      </c>
      <c r="L984" s="15">
        <v>79</v>
      </c>
      <c r="M984" s="25" t="s">
        <v>44</v>
      </c>
      <c r="N984">
        <v>213</v>
      </c>
    </row>
    <row r="985" spans="1:14" ht="15.75" thickBot="1">
      <c r="A985" s="26">
        <f t="shared" si="93"/>
        <v>982</v>
      </c>
      <c r="B985" s="67" t="s">
        <v>11</v>
      </c>
      <c r="C985" s="68" t="s">
        <v>74</v>
      </c>
      <c r="D985" s="68" t="s">
        <v>730</v>
      </c>
      <c r="E985" s="23">
        <f t="shared" ca="1" si="94"/>
        <v>40951</v>
      </c>
      <c r="F985" s="16">
        <f>DATE(91,12,13)</f>
        <v>33585</v>
      </c>
      <c r="G985" s="17">
        <f t="shared" ca="1" si="90"/>
        <v>21</v>
      </c>
      <c r="H985" s="17">
        <f t="shared" ca="1" si="91"/>
        <v>-10</v>
      </c>
      <c r="I985" s="18">
        <f t="shared" ca="1" si="92"/>
        <v>-1</v>
      </c>
      <c r="J985" s="19">
        <f t="shared" ca="1" si="95"/>
        <v>20</v>
      </c>
      <c r="K985" s="17" t="s">
        <v>41</v>
      </c>
      <c r="L985" s="20">
        <v>79</v>
      </c>
      <c r="M985" s="26" t="s">
        <v>44</v>
      </c>
      <c r="N985">
        <v>213</v>
      </c>
    </row>
    <row r="986" spans="1:14">
      <c r="A986" s="24">
        <f t="shared" si="93"/>
        <v>983</v>
      </c>
      <c r="B986" s="66" t="s">
        <v>11</v>
      </c>
      <c r="C986" s="66" t="s">
        <v>355</v>
      </c>
      <c r="D986" s="66" t="s">
        <v>134</v>
      </c>
      <c r="E986" s="21">
        <f t="shared" ca="1" si="94"/>
        <v>40951</v>
      </c>
      <c r="F986" s="6">
        <f>DATE(33,9,13)</f>
        <v>12310</v>
      </c>
      <c r="G986" s="7">
        <f t="shared" ref="G986:G1049" ca="1" si="96">YEAR(E986)-YEAR(F986)</f>
        <v>79</v>
      </c>
      <c r="H986" s="7">
        <f t="shared" ref="H986:H1049" ca="1" si="97">MONTH(E986)-MONTH(F986)</f>
        <v>-7</v>
      </c>
      <c r="I986" s="8">
        <f t="shared" ref="I986:I1049" ca="1" si="98">DAY(E986)-DAY(F986)</f>
        <v>-1</v>
      </c>
      <c r="J986" s="9">
        <f t="shared" ca="1" si="95"/>
        <v>78</v>
      </c>
      <c r="K986" s="7" t="s">
        <v>40</v>
      </c>
      <c r="L986" s="10">
        <v>79</v>
      </c>
      <c r="M986" s="24" t="s">
        <v>40</v>
      </c>
      <c r="N986">
        <v>214</v>
      </c>
    </row>
    <row r="987" spans="1:14">
      <c r="A987" s="25">
        <f t="shared" si="93"/>
        <v>984</v>
      </c>
      <c r="B987" s="67" t="s">
        <v>11</v>
      </c>
      <c r="C987" s="67" t="s">
        <v>415</v>
      </c>
      <c r="D987" s="67" t="s">
        <v>355</v>
      </c>
      <c r="E987" s="22">
        <f t="shared" ca="1" si="94"/>
        <v>40951</v>
      </c>
      <c r="F987" s="11">
        <f>DATE(34,6,7)</f>
        <v>12577</v>
      </c>
      <c r="G987" s="12">
        <f t="shared" ca="1" si="96"/>
        <v>78</v>
      </c>
      <c r="H987" s="12">
        <f t="shared" ca="1" si="97"/>
        <v>-4</v>
      </c>
      <c r="I987" s="13">
        <f t="shared" ca="1" si="98"/>
        <v>5</v>
      </c>
      <c r="J987" s="14">
        <f t="shared" ca="1" si="95"/>
        <v>77</v>
      </c>
      <c r="K987" s="12" t="s">
        <v>41</v>
      </c>
      <c r="L987" s="15">
        <v>79</v>
      </c>
      <c r="M987" s="25" t="s">
        <v>40</v>
      </c>
      <c r="N987">
        <v>214</v>
      </c>
    </row>
    <row r="988" spans="1:14">
      <c r="A988" s="25">
        <f t="shared" si="93"/>
        <v>985</v>
      </c>
      <c r="B988" s="67" t="s">
        <v>11</v>
      </c>
      <c r="C988" s="67" t="s">
        <v>529</v>
      </c>
      <c r="D988" s="67" t="s">
        <v>355</v>
      </c>
      <c r="E988" s="22">
        <f t="shared" ca="1" si="94"/>
        <v>40951</v>
      </c>
      <c r="F988" s="11">
        <f>DATE(64,12,10)</f>
        <v>23721</v>
      </c>
      <c r="G988" s="12">
        <f t="shared" ca="1" si="96"/>
        <v>48</v>
      </c>
      <c r="H988" s="12">
        <f t="shared" ca="1" si="97"/>
        <v>-10</v>
      </c>
      <c r="I988" s="13">
        <f t="shared" ca="1" si="98"/>
        <v>2</v>
      </c>
      <c r="J988" s="14">
        <f t="shared" ca="1" si="95"/>
        <v>47</v>
      </c>
      <c r="K988" s="12" t="s">
        <v>40</v>
      </c>
      <c r="L988" s="15">
        <v>79</v>
      </c>
      <c r="M988" s="25" t="s">
        <v>40</v>
      </c>
      <c r="N988">
        <v>214</v>
      </c>
    </row>
    <row r="989" spans="1:14">
      <c r="A989" s="25">
        <f t="shared" si="93"/>
        <v>986</v>
      </c>
      <c r="B989" s="67" t="s">
        <v>11</v>
      </c>
      <c r="C989" s="67" t="s">
        <v>732</v>
      </c>
      <c r="D989" s="67" t="s">
        <v>529</v>
      </c>
      <c r="E989" s="22">
        <f t="shared" ca="1" si="94"/>
        <v>40951</v>
      </c>
      <c r="F989" s="11">
        <f>DATE(67,5,13)</f>
        <v>24605</v>
      </c>
      <c r="G989" s="12">
        <f t="shared" ca="1" si="96"/>
        <v>45</v>
      </c>
      <c r="H989" s="12">
        <f t="shared" ca="1" si="97"/>
        <v>-3</v>
      </c>
      <c r="I989" s="13">
        <f t="shared" ca="1" si="98"/>
        <v>-1</v>
      </c>
      <c r="J989" s="14">
        <f t="shared" ca="1" si="95"/>
        <v>44</v>
      </c>
      <c r="K989" s="12" t="s">
        <v>41</v>
      </c>
      <c r="L989" s="15">
        <v>79</v>
      </c>
      <c r="M989" s="25" t="s">
        <v>40</v>
      </c>
      <c r="N989">
        <v>214</v>
      </c>
    </row>
    <row r="990" spans="1:14">
      <c r="A990" s="25">
        <f t="shared" ref="A990:A1053" si="99">A989+1</f>
        <v>987</v>
      </c>
      <c r="B990" s="67" t="s">
        <v>11</v>
      </c>
      <c r="C990" s="67" t="s">
        <v>668</v>
      </c>
      <c r="D990" s="67" t="s">
        <v>529</v>
      </c>
      <c r="E990" s="22">
        <f t="shared" ca="1" si="94"/>
        <v>40951</v>
      </c>
      <c r="F990" s="11">
        <f>DATE(90,6,4)</f>
        <v>33028</v>
      </c>
      <c r="G990" s="12">
        <f t="shared" ca="1" si="96"/>
        <v>22</v>
      </c>
      <c r="H990" s="12">
        <f t="shared" ca="1" si="97"/>
        <v>-4</v>
      </c>
      <c r="I990" s="13">
        <f t="shared" ca="1" si="98"/>
        <v>8</v>
      </c>
      <c r="J990" s="14">
        <f t="shared" ca="1" si="95"/>
        <v>21</v>
      </c>
      <c r="K990" s="12" t="s">
        <v>41</v>
      </c>
      <c r="L990" s="15">
        <v>79</v>
      </c>
      <c r="M990" s="25" t="s">
        <v>44</v>
      </c>
      <c r="N990">
        <v>214</v>
      </c>
    </row>
    <row r="991" spans="1:14">
      <c r="A991" s="25">
        <f t="shared" si="99"/>
        <v>988</v>
      </c>
      <c r="B991" s="67" t="s">
        <v>11</v>
      </c>
      <c r="C991" s="67" t="s">
        <v>638</v>
      </c>
      <c r="D991" s="67" t="s">
        <v>529</v>
      </c>
      <c r="E991" s="22">
        <f t="shared" ca="1" si="94"/>
        <v>40951</v>
      </c>
      <c r="F991" s="11">
        <f>DATE(93,1,25)</f>
        <v>33994</v>
      </c>
      <c r="G991" s="12">
        <f t="shared" ca="1" si="96"/>
        <v>19</v>
      </c>
      <c r="H991" s="12">
        <f t="shared" ca="1" si="97"/>
        <v>1</v>
      </c>
      <c r="I991" s="13">
        <f t="shared" ca="1" si="98"/>
        <v>-13</v>
      </c>
      <c r="J991" s="14">
        <f t="shared" ca="1" si="95"/>
        <v>19</v>
      </c>
      <c r="K991" s="12" t="s">
        <v>41</v>
      </c>
      <c r="L991" s="15">
        <v>79</v>
      </c>
      <c r="M991" s="25" t="s">
        <v>44</v>
      </c>
      <c r="N991">
        <v>214</v>
      </c>
    </row>
    <row r="992" spans="1:14" ht="15.75" thickBot="1">
      <c r="A992" s="26">
        <f t="shared" si="99"/>
        <v>989</v>
      </c>
      <c r="B992" s="67" t="s">
        <v>11</v>
      </c>
      <c r="C992" s="68" t="s">
        <v>340</v>
      </c>
      <c r="D992" s="68" t="s">
        <v>529</v>
      </c>
      <c r="E992" s="23">
        <f t="shared" ca="1" si="94"/>
        <v>40951</v>
      </c>
      <c r="F992" s="16">
        <f>DATE(2003,1,11)</f>
        <v>37632</v>
      </c>
      <c r="G992" s="17">
        <f t="shared" ca="1" si="96"/>
        <v>9</v>
      </c>
      <c r="H992" s="17">
        <f t="shared" ca="1" si="97"/>
        <v>1</v>
      </c>
      <c r="I992" s="18">
        <f t="shared" ca="1" si="98"/>
        <v>1</v>
      </c>
      <c r="J992" s="19">
        <f t="shared" ca="1" si="95"/>
        <v>9</v>
      </c>
      <c r="K992" s="17" t="s">
        <v>41</v>
      </c>
      <c r="L992" s="20">
        <v>79</v>
      </c>
      <c r="M992" s="26" t="s">
        <v>44</v>
      </c>
      <c r="N992">
        <v>214</v>
      </c>
    </row>
    <row r="993" spans="1:14">
      <c r="A993" s="24">
        <f t="shared" si="99"/>
        <v>990</v>
      </c>
      <c r="B993" s="66" t="s">
        <v>11</v>
      </c>
      <c r="C993" s="66" t="s">
        <v>348</v>
      </c>
      <c r="D993" s="66" t="s">
        <v>733</v>
      </c>
      <c r="E993" s="21">
        <f t="shared" ca="1" si="94"/>
        <v>40951</v>
      </c>
      <c r="F993" s="6">
        <f>DATE(63,9,11)</f>
        <v>23265</v>
      </c>
      <c r="G993" s="7">
        <f t="shared" ca="1" si="96"/>
        <v>49</v>
      </c>
      <c r="H993" s="7">
        <f t="shared" ca="1" si="97"/>
        <v>-7</v>
      </c>
      <c r="I993" s="8">
        <f t="shared" ca="1" si="98"/>
        <v>1</v>
      </c>
      <c r="J993" s="9">
        <f t="shared" ca="1" si="95"/>
        <v>48</v>
      </c>
      <c r="K993" s="7" t="s">
        <v>40</v>
      </c>
      <c r="L993" s="10">
        <v>79</v>
      </c>
      <c r="M993" s="24" t="s">
        <v>40</v>
      </c>
      <c r="N993">
        <v>215</v>
      </c>
    </row>
    <row r="994" spans="1:14">
      <c r="A994" s="25">
        <f t="shared" si="99"/>
        <v>991</v>
      </c>
      <c r="B994" s="67" t="s">
        <v>11</v>
      </c>
      <c r="C994" s="67" t="s">
        <v>265</v>
      </c>
      <c r="D994" s="67" t="s">
        <v>348</v>
      </c>
      <c r="E994" s="22">
        <f t="shared" ca="1" si="94"/>
        <v>40951</v>
      </c>
      <c r="F994" s="11">
        <f>DATE(69,11,22)</f>
        <v>25529</v>
      </c>
      <c r="G994" s="12">
        <f t="shared" ca="1" si="96"/>
        <v>43</v>
      </c>
      <c r="H994" s="12">
        <f t="shared" ca="1" si="97"/>
        <v>-9</v>
      </c>
      <c r="I994" s="13">
        <f t="shared" ca="1" si="98"/>
        <v>-10</v>
      </c>
      <c r="J994" s="14">
        <f t="shared" ca="1" si="95"/>
        <v>42</v>
      </c>
      <c r="K994" s="12" t="s">
        <v>41</v>
      </c>
      <c r="L994" s="15">
        <v>79</v>
      </c>
      <c r="M994" s="25" t="s">
        <v>40</v>
      </c>
      <c r="N994">
        <v>215</v>
      </c>
    </row>
    <row r="995" spans="1:14">
      <c r="A995" s="25">
        <f t="shared" si="99"/>
        <v>992</v>
      </c>
      <c r="B995" s="67" t="s">
        <v>11</v>
      </c>
      <c r="C995" s="67" t="s">
        <v>734</v>
      </c>
      <c r="D995" s="67" t="s">
        <v>348</v>
      </c>
      <c r="E995" s="22">
        <f t="shared" ca="1" si="94"/>
        <v>40951</v>
      </c>
      <c r="F995" s="11">
        <f>DATE(90,2,11)</f>
        <v>32915</v>
      </c>
      <c r="G995" s="12">
        <f t="shared" ca="1" si="96"/>
        <v>22</v>
      </c>
      <c r="H995" s="12">
        <f t="shared" ca="1" si="97"/>
        <v>0</v>
      </c>
      <c r="I995" s="13">
        <f t="shared" ca="1" si="98"/>
        <v>1</v>
      </c>
      <c r="J995" s="14">
        <f t="shared" ca="1" si="95"/>
        <v>22</v>
      </c>
      <c r="K995" s="12" t="s">
        <v>41</v>
      </c>
      <c r="L995" s="15">
        <v>79</v>
      </c>
      <c r="M995" s="25" t="s">
        <v>40</v>
      </c>
      <c r="N995">
        <v>215</v>
      </c>
    </row>
    <row r="996" spans="1:14" ht="15.75" thickBot="1">
      <c r="A996" s="26">
        <f t="shared" si="99"/>
        <v>993</v>
      </c>
      <c r="B996" s="67" t="s">
        <v>11</v>
      </c>
      <c r="C996" s="68" t="s">
        <v>571</v>
      </c>
      <c r="D996" s="68" t="s">
        <v>348</v>
      </c>
      <c r="E996" s="23">
        <f t="shared" ref="E996:E1059" ca="1" si="100">TODAY()</f>
        <v>40951</v>
      </c>
      <c r="F996" s="16">
        <f>DATE(95,1,10)</f>
        <v>34709</v>
      </c>
      <c r="G996" s="17">
        <f t="shared" ca="1" si="96"/>
        <v>17</v>
      </c>
      <c r="H996" s="17">
        <f t="shared" ca="1" si="97"/>
        <v>1</v>
      </c>
      <c r="I996" s="18">
        <f t="shared" ca="1" si="98"/>
        <v>2</v>
      </c>
      <c r="J996" s="19">
        <f t="shared" ca="1" si="95"/>
        <v>17</v>
      </c>
      <c r="K996" s="17" t="s">
        <v>40</v>
      </c>
      <c r="L996" s="20">
        <v>79</v>
      </c>
      <c r="M996" s="26" t="s">
        <v>44</v>
      </c>
      <c r="N996">
        <v>215</v>
      </c>
    </row>
    <row r="997" spans="1:14">
      <c r="A997" s="24">
        <f t="shared" si="99"/>
        <v>994</v>
      </c>
      <c r="B997" s="66" t="s">
        <v>11</v>
      </c>
      <c r="C997" s="66" t="s">
        <v>348</v>
      </c>
      <c r="D997" s="66" t="s">
        <v>358</v>
      </c>
      <c r="E997" s="21">
        <f t="shared" ca="1" si="100"/>
        <v>40951</v>
      </c>
      <c r="F997" s="6">
        <f>DATE(64,10,10)</f>
        <v>23660</v>
      </c>
      <c r="G997" s="7">
        <f t="shared" ca="1" si="96"/>
        <v>48</v>
      </c>
      <c r="H997" s="7">
        <f t="shared" ca="1" si="97"/>
        <v>-8</v>
      </c>
      <c r="I997" s="8">
        <f t="shared" ca="1" si="98"/>
        <v>2</v>
      </c>
      <c r="J997" s="9">
        <f t="shared" ca="1" si="95"/>
        <v>47</v>
      </c>
      <c r="K997" s="7" t="s">
        <v>40</v>
      </c>
      <c r="L997" s="10">
        <v>80</v>
      </c>
      <c r="M997" s="24" t="s">
        <v>40</v>
      </c>
      <c r="N997">
        <v>216</v>
      </c>
    </row>
    <row r="998" spans="1:14">
      <c r="A998" s="25">
        <f t="shared" si="99"/>
        <v>995</v>
      </c>
      <c r="B998" s="67" t="s">
        <v>11</v>
      </c>
      <c r="C998" s="67" t="s">
        <v>626</v>
      </c>
      <c r="D998" s="67" t="s">
        <v>348</v>
      </c>
      <c r="E998" s="22">
        <f t="shared" ca="1" si="100"/>
        <v>40951</v>
      </c>
      <c r="F998" s="11">
        <f>DATE(61,2,9)</f>
        <v>22321</v>
      </c>
      <c r="G998" s="12">
        <f t="shared" ca="1" si="96"/>
        <v>51</v>
      </c>
      <c r="H998" s="12">
        <f t="shared" ca="1" si="97"/>
        <v>0</v>
      </c>
      <c r="I998" s="13">
        <f t="shared" ca="1" si="98"/>
        <v>3</v>
      </c>
      <c r="J998" s="14">
        <f t="shared" ca="1" si="95"/>
        <v>51</v>
      </c>
      <c r="K998" s="12" t="s">
        <v>41</v>
      </c>
      <c r="L998" s="15">
        <v>80</v>
      </c>
      <c r="M998" s="25" t="s">
        <v>40</v>
      </c>
      <c r="N998">
        <v>216</v>
      </c>
    </row>
    <row r="999" spans="1:14" ht="15.75" thickBot="1">
      <c r="A999" s="26">
        <f t="shared" si="99"/>
        <v>996</v>
      </c>
      <c r="B999" s="67" t="s">
        <v>11</v>
      </c>
      <c r="C999" s="68" t="s">
        <v>728</v>
      </c>
      <c r="D999" s="68" t="s">
        <v>348</v>
      </c>
      <c r="E999" s="23">
        <f t="shared" ca="1" si="100"/>
        <v>40951</v>
      </c>
      <c r="F999" s="16">
        <f>DATE(2005,11,10)</f>
        <v>38666</v>
      </c>
      <c r="G999" s="17">
        <f t="shared" ca="1" si="96"/>
        <v>7</v>
      </c>
      <c r="H999" s="17">
        <f t="shared" ca="1" si="97"/>
        <v>-9</v>
      </c>
      <c r="I999" s="18">
        <f t="shared" ca="1" si="98"/>
        <v>2</v>
      </c>
      <c r="J999" s="19">
        <f t="shared" ca="1" si="95"/>
        <v>6</v>
      </c>
      <c r="K999" s="17" t="s">
        <v>40</v>
      </c>
      <c r="L999" s="20">
        <v>80</v>
      </c>
      <c r="M999" s="26" t="s">
        <v>44</v>
      </c>
      <c r="N999">
        <v>216</v>
      </c>
    </row>
    <row r="1000" spans="1:14">
      <c r="A1000" s="24">
        <f t="shared" si="99"/>
        <v>997</v>
      </c>
      <c r="B1000" s="66" t="s">
        <v>11</v>
      </c>
      <c r="C1000" s="66" t="s">
        <v>210</v>
      </c>
      <c r="D1000" s="66" t="s">
        <v>735</v>
      </c>
      <c r="E1000" s="21">
        <f t="shared" ca="1" si="100"/>
        <v>40951</v>
      </c>
      <c r="F1000" s="6">
        <f>DATE(53,9,30)</f>
        <v>19632</v>
      </c>
      <c r="G1000" s="7">
        <f t="shared" ca="1" si="96"/>
        <v>59</v>
      </c>
      <c r="H1000" s="7">
        <f t="shared" ca="1" si="97"/>
        <v>-7</v>
      </c>
      <c r="I1000" s="8">
        <f t="shared" ca="1" si="98"/>
        <v>-18</v>
      </c>
      <c r="J1000" s="9">
        <f t="shared" ca="1" si="95"/>
        <v>58</v>
      </c>
      <c r="K1000" s="7" t="s">
        <v>40</v>
      </c>
      <c r="L1000" s="10">
        <v>80</v>
      </c>
      <c r="M1000" s="24" t="s">
        <v>40</v>
      </c>
      <c r="N1000">
        <v>217</v>
      </c>
    </row>
    <row r="1001" spans="1:14">
      <c r="A1001" s="25">
        <f t="shared" si="99"/>
        <v>998</v>
      </c>
      <c r="B1001" s="67" t="s">
        <v>11</v>
      </c>
      <c r="C1001" s="67" t="s">
        <v>265</v>
      </c>
      <c r="D1001" s="67" t="s">
        <v>210</v>
      </c>
      <c r="E1001" s="22">
        <f t="shared" ca="1" si="100"/>
        <v>40951</v>
      </c>
      <c r="F1001" s="11">
        <f>DATE(59,9,20)</f>
        <v>21813</v>
      </c>
      <c r="G1001" s="12">
        <f t="shared" ca="1" si="96"/>
        <v>53</v>
      </c>
      <c r="H1001" s="12">
        <f t="shared" ca="1" si="97"/>
        <v>-7</v>
      </c>
      <c r="I1001" s="13">
        <f t="shared" ca="1" si="98"/>
        <v>-8</v>
      </c>
      <c r="J1001" s="14">
        <f t="shared" ca="1" si="95"/>
        <v>52</v>
      </c>
      <c r="K1001" s="12" t="s">
        <v>41</v>
      </c>
      <c r="L1001" s="15">
        <v>80</v>
      </c>
      <c r="M1001" s="25" t="s">
        <v>40</v>
      </c>
      <c r="N1001">
        <v>217</v>
      </c>
    </row>
    <row r="1002" spans="1:14">
      <c r="A1002" s="25">
        <f t="shared" si="99"/>
        <v>999</v>
      </c>
      <c r="B1002" s="67" t="s">
        <v>11</v>
      </c>
      <c r="C1002" s="67" t="s">
        <v>736</v>
      </c>
      <c r="D1002" s="67" t="s">
        <v>210</v>
      </c>
      <c r="E1002" s="22">
        <f t="shared" ca="1" si="100"/>
        <v>40951</v>
      </c>
      <c r="F1002" s="11">
        <f>DATE(83,1,22)</f>
        <v>30338</v>
      </c>
      <c r="G1002" s="12">
        <f t="shared" ca="1" si="96"/>
        <v>29</v>
      </c>
      <c r="H1002" s="12">
        <f t="shared" ca="1" si="97"/>
        <v>1</v>
      </c>
      <c r="I1002" s="13">
        <f t="shared" ca="1" si="98"/>
        <v>-10</v>
      </c>
      <c r="J1002" s="14">
        <f t="shared" ca="1" si="95"/>
        <v>29</v>
      </c>
      <c r="K1002" s="12" t="s">
        <v>41</v>
      </c>
      <c r="L1002" s="15">
        <v>80</v>
      </c>
      <c r="M1002" s="25" t="s">
        <v>44</v>
      </c>
      <c r="N1002">
        <v>217</v>
      </c>
    </row>
    <row r="1003" spans="1:14">
      <c r="A1003" s="25">
        <f t="shared" si="99"/>
        <v>1000</v>
      </c>
      <c r="B1003" s="67" t="s">
        <v>11</v>
      </c>
      <c r="C1003" s="67" t="s">
        <v>638</v>
      </c>
      <c r="D1003" s="67" t="s">
        <v>210</v>
      </c>
      <c r="E1003" s="22">
        <f t="shared" ca="1" si="100"/>
        <v>40951</v>
      </c>
      <c r="F1003" s="11">
        <f>DATE(78,6,16)</f>
        <v>28657</v>
      </c>
      <c r="G1003" s="12">
        <f t="shared" ca="1" si="96"/>
        <v>34</v>
      </c>
      <c r="H1003" s="12">
        <f t="shared" ca="1" si="97"/>
        <v>-4</v>
      </c>
      <c r="I1003" s="13">
        <f t="shared" ca="1" si="98"/>
        <v>-4</v>
      </c>
      <c r="J1003" s="14">
        <f t="shared" ca="1" si="95"/>
        <v>33</v>
      </c>
      <c r="K1003" s="12" t="s">
        <v>41</v>
      </c>
      <c r="L1003" s="15">
        <v>80</v>
      </c>
      <c r="M1003" s="25" t="s">
        <v>44</v>
      </c>
      <c r="N1003">
        <v>217</v>
      </c>
    </row>
    <row r="1004" spans="1:14" ht="15.75" thickBot="1">
      <c r="A1004" s="26">
        <f t="shared" si="99"/>
        <v>1001</v>
      </c>
      <c r="B1004" s="67" t="s">
        <v>11</v>
      </c>
      <c r="C1004" s="68" t="s">
        <v>737</v>
      </c>
      <c r="D1004" s="68" t="s">
        <v>210</v>
      </c>
      <c r="E1004" s="23">
        <f t="shared" ca="1" si="100"/>
        <v>40951</v>
      </c>
      <c r="F1004" s="16">
        <f>DATE(88,10,31)</f>
        <v>32447</v>
      </c>
      <c r="G1004" s="17">
        <f t="shared" ca="1" si="96"/>
        <v>24</v>
      </c>
      <c r="H1004" s="17">
        <f t="shared" ca="1" si="97"/>
        <v>-8</v>
      </c>
      <c r="I1004" s="18">
        <f t="shared" ca="1" si="98"/>
        <v>-19</v>
      </c>
      <c r="J1004" s="19">
        <f t="shared" ca="1" si="95"/>
        <v>23</v>
      </c>
      <c r="K1004" s="17" t="s">
        <v>40</v>
      </c>
      <c r="L1004" s="20">
        <v>80</v>
      </c>
      <c r="M1004" s="26" t="s">
        <v>44</v>
      </c>
      <c r="N1004">
        <v>217</v>
      </c>
    </row>
    <row r="1005" spans="1:14">
      <c r="A1005" s="24">
        <f t="shared" si="99"/>
        <v>1002</v>
      </c>
      <c r="B1005" s="66" t="s">
        <v>11</v>
      </c>
      <c r="C1005" s="66" t="s">
        <v>473</v>
      </c>
      <c r="D1005" s="66" t="s">
        <v>738</v>
      </c>
      <c r="E1005" s="21">
        <f t="shared" ca="1" si="100"/>
        <v>40951</v>
      </c>
      <c r="F1005" s="6">
        <f>DATE(52,10,14)</f>
        <v>19281</v>
      </c>
      <c r="G1005" s="7">
        <f t="shared" ca="1" si="96"/>
        <v>60</v>
      </c>
      <c r="H1005" s="7">
        <f t="shared" ca="1" si="97"/>
        <v>-8</v>
      </c>
      <c r="I1005" s="8">
        <f t="shared" ca="1" si="98"/>
        <v>-2</v>
      </c>
      <c r="J1005" s="9">
        <f t="shared" ca="1" si="95"/>
        <v>59</v>
      </c>
      <c r="K1005" s="7" t="s">
        <v>40</v>
      </c>
      <c r="L1005" s="10">
        <v>80</v>
      </c>
      <c r="M1005" s="24" t="s">
        <v>40</v>
      </c>
      <c r="N1005">
        <v>218</v>
      </c>
    </row>
    <row r="1006" spans="1:14">
      <c r="A1006" s="25">
        <f t="shared" si="99"/>
        <v>1003</v>
      </c>
      <c r="B1006" s="67" t="s">
        <v>11</v>
      </c>
      <c r="C1006" s="67" t="s">
        <v>739</v>
      </c>
      <c r="D1006" s="67" t="s">
        <v>473</v>
      </c>
      <c r="E1006" s="22">
        <f t="shared" ca="1" si="100"/>
        <v>40951</v>
      </c>
      <c r="F1006" s="11">
        <f>DATE(56,4,23)</f>
        <v>20568</v>
      </c>
      <c r="G1006" s="12">
        <f t="shared" ca="1" si="96"/>
        <v>56</v>
      </c>
      <c r="H1006" s="12">
        <f t="shared" ca="1" si="97"/>
        <v>-2</v>
      </c>
      <c r="I1006" s="13">
        <f t="shared" ca="1" si="98"/>
        <v>-11</v>
      </c>
      <c r="J1006" s="14">
        <f t="shared" ca="1" si="95"/>
        <v>55</v>
      </c>
      <c r="K1006" s="12" t="s">
        <v>41</v>
      </c>
      <c r="L1006" s="15">
        <v>80</v>
      </c>
      <c r="M1006" s="25" t="s">
        <v>40</v>
      </c>
      <c r="N1006">
        <v>218</v>
      </c>
    </row>
    <row r="1007" spans="1:14">
      <c r="A1007" s="25">
        <f t="shared" si="99"/>
        <v>1004</v>
      </c>
      <c r="B1007" s="67" t="s">
        <v>11</v>
      </c>
      <c r="C1007" s="67" t="s">
        <v>740</v>
      </c>
      <c r="D1007" s="67" t="s">
        <v>473</v>
      </c>
      <c r="E1007" s="22">
        <f t="shared" ca="1" si="100"/>
        <v>40951</v>
      </c>
      <c r="F1007" s="11">
        <f>DATE(82,10,6)</f>
        <v>30230</v>
      </c>
      <c r="G1007" s="12">
        <f t="shared" ca="1" si="96"/>
        <v>30</v>
      </c>
      <c r="H1007" s="12">
        <f t="shared" ca="1" si="97"/>
        <v>-8</v>
      </c>
      <c r="I1007" s="13">
        <f t="shared" ca="1" si="98"/>
        <v>6</v>
      </c>
      <c r="J1007" s="14">
        <f t="shared" ca="1" si="95"/>
        <v>29</v>
      </c>
      <c r="K1007" s="12" t="s">
        <v>41</v>
      </c>
      <c r="L1007" s="15">
        <v>80</v>
      </c>
      <c r="M1007" s="25" t="s">
        <v>44</v>
      </c>
      <c r="N1007">
        <v>218</v>
      </c>
    </row>
    <row r="1008" spans="1:14">
      <c r="A1008" s="25">
        <f t="shared" si="99"/>
        <v>1005</v>
      </c>
      <c r="B1008" s="67" t="s">
        <v>11</v>
      </c>
      <c r="C1008" s="67" t="s">
        <v>74</v>
      </c>
      <c r="D1008" s="67" t="s">
        <v>473</v>
      </c>
      <c r="E1008" s="22">
        <f t="shared" ca="1" si="100"/>
        <v>40951</v>
      </c>
      <c r="F1008" s="11">
        <f>DATE(86,3,25)</f>
        <v>31496</v>
      </c>
      <c r="G1008" s="12">
        <f t="shared" ca="1" si="96"/>
        <v>26</v>
      </c>
      <c r="H1008" s="12">
        <f t="shared" ca="1" si="97"/>
        <v>-1</v>
      </c>
      <c r="I1008" s="13">
        <f t="shared" ca="1" si="98"/>
        <v>-13</v>
      </c>
      <c r="J1008" s="14">
        <f t="shared" ca="1" si="95"/>
        <v>25</v>
      </c>
      <c r="K1008" s="12" t="s">
        <v>41</v>
      </c>
      <c r="L1008" s="15">
        <v>80</v>
      </c>
      <c r="M1008" s="25" t="s">
        <v>44</v>
      </c>
      <c r="N1008">
        <v>218</v>
      </c>
    </row>
    <row r="1009" spans="1:14">
      <c r="A1009" s="25">
        <f t="shared" si="99"/>
        <v>1006</v>
      </c>
      <c r="B1009" s="67" t="s">
        <v>11</v>
      </c>
      <c r="C1009" s="67" t="s">
        <v>741</v>
      </c>
      <c r="D1009" s="67" t="s">
        <v>473</v>
      </c>
      <c r="E1009" s="22">
        <f t="shared" ca="1" si="100"/>
        <v>40951</v>
      </c>
      <c r="F1009" s="11">
        <f>DATE(87,9,10)</f>
        <v>32030</v>
      </c>
      <c r="G1009" s="12">
        <f t="shared" ca="1" si="96"/>
        <v>25</v>
      </c>
      <c r="H1009" s="12">
        <f t="shared" ca="1" si="97"/>
        <v>-7</v>
      </c>
      <c r="I1009" s="13">
        <f t="shared" ca="1" si="98"/>
        <v>2</v>
      </c>
      <c r="J1009" s="14">
        <f t="shared" ca="1" si="95"/>
        <v>24</v>
      </c>
      <c r="K1009" s="12" t="s">
        <v>41</v>
      </c>
      <c r="L1009" s="15">
        <v>80</v>
      </c>
      <c r="M1009" s="25" t="s">
        <v>44</v>
      </c>
      <c r="N1009">
        <v>218</v>
      </c>
    </row>
    <row r="1010" spans="1:14" ht="15.75" thickBot="1">
      <c r="A1010" s="26">
        <f t="shared" si="99"/>
        <v>1007</v>
      </c>
      <c r="B1010" s="67" t="s">
        <v>11</v>
      </c>
      <c r="C1010" s="68" t="s">
        <v>742</v>
      </c>
      <c r="D1010" s="68" t="s">
        <v>473</v>
      </c>
      <c r="E1010" s="23">
        <f t="shared" ca="1" si="100"/>
        <v>40951</v>
      </c>
      <c r="F1010" s="16">
        <f>DATE(93,7,17)</f>
        <v>34167</v>
      </c>
      <c r="G1010" s="17">
        <f t="shared" ca="1" si="96"/>
        <v>19</v>
      </c>
      <c r="H1010" s="17">
        <f t="shared" ca="1" si="97"/>
        <v>-5</v>
      </c>
      <c r="I1010" s="18">
        <f t="shared" ca="1" si="98"/>
        <v>-5</v>
      </c>
      <c r="J1010" s="19">
        <f t="shared" ca="1" si="95"/>
        <v>18</v>
      </c>
      <c r="K1010" s="17" t="s">
        <v>40</v>
      </c>
      <c r="L1010" s="20">
        <v>80</v>
      </c>
      <c r="M1010" s="26" t="s">
        <v>44</v>
      </c>
      <c r="N1010">
        <v>218</v>
      </c>
    </row>
    <row r="1011" spans="1:14">
      <c r="A1011" s="24">
        <f t="shared" si="99"/>
        <v>1008</v>
      </c>
      <c r="B1011" s="66" t="s">
        <v>11</v>
      </c>
      <c r="C1011" s="66" t="s">
        <v>743</v>
      </c>
      <c r="D1011" s="66" t="s">
        <v>716</v>
      </c>
      <c r="E1011" s="21">
        <f t="shared" ca="1" si="100"/>
        <v>40951</v>
      </c>
      <c r="F1011" s="6">
        <f>DATE(39,9,17)</f>
        <v>14505</v>
      </c>
      <c r="G1011" s="7">
        <f t="shared" ca="1" si="96"/>
        <v>73</v>
      </c>
      <c r="H1011" s="7">
        <f t="shared" ca="1" si="97"/>
        <v>-7</v>
      </c>
      <c r="I1011" s="8">
        <f t="shared" ca="1" si="98"/>
        <v>-5</v>
      </c>
      <c r="J1011" s="9">
        <f t="shared" ca="1" si="95"/>
        <v>72</v>
      </c>
      <c r="K1011" s="7" t="s">
        <v>40</v>
      </c>
      <c r="L1011" s="10">
        <v>81</v>
      </c>
      <c r="M1011" s="24" t="s">
        <v>40</v>
      </c>
      <c r="N1011">
        <v>219</v>
      </c>
    </row>
    <row r="1012" spans="1:14">
      <c r="A1012" s="25">
        <f t="shared" si="99"/>
        <v>1009</v>
      </c>
      <c r="B1012" s="67" t="s">
        <v>11</v>
      </c>
      <c r="C1012" s="67" t="s">
        <v>744</v>
      </c>
      <c r="D1012" s="67" t="s">
        <v>743</v>
      </c>
      <c r="E1012" s="22">
        <f t="shared" ca="1" si="100"/>
        <v>40951</v>
      </c>
      <c r="F1012" s="11">
        <f>DATE(44,9,20)</f>
        <v>16335</v>
      </c>
      <c r="G1012" s="12">
        <f t="shared" ca="1" si="96"/>
        <v>68</v>
      </c>
      <c r="H1012" s="12">
        <f t="shared" ca="1" si="97"/>
        <v>-7</v>
      </c>
      <c r="I1012" s="13">
        <f t="shared" ca="1" si="98"/>
        <v>-8</v>
      </c>
      <c r="J1012" s="14">
        <f t="shared" ca="1" si="95"/>
        <v>67</v>
      </c>
      <c r="K1012" s="12" t="s">
        <v>41</v>
      </c>
      <c r="L1012" s="15">
        <v>81</v>
      </c>
      <c r="M1012" s="25" t="s">
        <v>40</v>
      </c>
      <c r="N1012">
        <v>219</v>
      </c>
    </row>
    <row r="1013" spans="1:14">
      <c r="A1013" s="25">
        <f t="shared" si="99"/>
        <v>1010</v>
      </c>
      <c r="B1013" s="67" t="s">
        <v>11</v>
      </c>
      <c r="C1013" s="67" t="s">
        <v>368</v>
      </c>
      <c r="D1013" s="67" t="s">
        <v>743</v>
      </c>
      <c r="E1013" s="22">
        <f t="shared" ca="1" si="100"/>
        <v>40951</v>
      </c>
      <c r="F1013" s="11">
        <f>DATE(71,3,24)</f>
        <v>26016</v>
      </c>
      <c r="G1013" s="12">
        <f t="shared" ca="1" si="96"/>
        <v>41</v>
      </c>
      <c r="H1013" s="12">
        <f t="shared" ca="1" si="97"/>
        <v>-1</v>
      </c>
      <c r="I1013" s="13">
        <f t="shared" ca="1" si="98"/>
        <v>-12</v>
      </c>
      <c r="J1013" s="14">
        <f t="shared" ca="1" si="95"/>
        <v>40</v>
      </c>
      <c r="K1013" s="12" t="s">
        <v>41</v>
      </c>
      <c r="L1013" s="15">
        <v>81</v>
      </c>
      <c r="M1013" s="51" t="s">
        <v>44</v>
      </c>
      <c r="N1013">
        <v>219</v>
      </c>
    </row>
    <row r="1014" spans="1:14">
      <c r="A1014" s="25">
        <f t="shared" si="99"/>
        <v>1011</v>
      </c>
      <c r="B1014" s="67" t="s">
        <v>11</v>
      </c>
      <c r="C1014" s="67" t="s">
        <v>144</v>
      </c>
      <c r="D1014" s="67" t="s">
        <v>743</v>
      </c>
      <c r="E1014" s="22">
        <f t="shared" ca="1" si="100"/>
        <v>40951</v>
      </c>
      <c r="F1014" s="11">
        <f>DATE(78,4,4)</f>
        <v>28584</v>
      </c>
      <c r="G1014" s="12">
        <f t="shared" ca="1" si="96"/>
        <v>34</v>
      </c>
      <c r="H1014" s="12">
        <f t="shared" ca="1" si="97"/>
        <v>-2</v>
      </c>
      <c r="I1014" s="13">
        <f t="shared" ca="1" si="98"/>
        <v>8</v>
      </c>
      <c r="J1014" s="14">
        <f t="shared" ca="1" si="95"/>
        <v>33</v>
      </c>
      <c r="K1014" s="12" t="s">
        <v>40</v>
      </c>
      <c r="L1014" s="15">
        <v>81</v>
      </c>
      <c r="M1014" s="25" t="s">
        <v>44</v>
      </c>
      <c r="N1014">
        <v>219</v>
      </c>
    </row>
    <row r="1015" spans="1:14" ht="15.75" thickBot="1">
      <c r="A1015" s="26">
        <f t="shared" si="99"/>
        <v>1012</v>
      </c>
      <c r="B1015" s="67" t="s">
        <v>11</v>
      </c>
      <c r="C1015" s="68" t="s">
        <v>191</v>
      </c>
      <c r="D1015" s="68" t="s">
        <v>743</v>
      </c>
      <c r="E1015" s="23">
        <f t="shared" ca="1" si="100"/>
        <v>40951</v>
      </c>
      <c r="F1015" s="16">
        <f>DATE(85,7,6)</f>
        <v>31234</v>
      </c>
      <c r="G1015" s="17">
        <f t="shared" ca="1" si="96"/>
        <v>27</v>
      </c>
      <c r="H1015" s="17">
        <f t="shared" ca="1" si="97"/>
        <v>-5</v>
      </c>
      <c r="I1015" s="18">
        <f t="shared" ca="1" si="98"/>
        <v>6</v>
      </c>
      <c r="J1015" s="19">
        <f t="shared" ca="1" si="95"/>
        <v>26</v>
      </c>
      <c r="K1015" s="17" t="s">
        <v>40</v>
      </c>
      <c r="L1015" s="20">
        <v>81</v>
      </c>
      <c r="M1015" s="26" t="s">
        <v>44</v>
      </c>
      <c r="N1015">
        <v>219</v>
      </c>
    </row>
    <row r="1016" spans="1:14">
      <c r="A1016" s="24">
        <f t="shared" si="99"/>
        <v>1013</v>
      </c>
      <c r="B1016" s="66" t="s">
        <v>11</v>
      </c>
      <c r="C1016" s="66" t="s">
        <v>745</v>
      </c>
      <c r="D1016" s="66" t="s">
        <v>700</v>
      </c>
      <c r="E1016" s="21">
        <f t="shared" ca="1" si="100"/>
        <v>40951</v>
      </c>
      <c r="F1016" s="6">
        <f>DATE(23,12,27)</f>
        <v>8762</v>
      </c>
      <c r="G1016" s="7">
        <f t="shared" ca="1" si="96"/>
        <v>89</v>
      </c>
      <c r="H1016" s="7">
        <f t="shared" ca="1" si="97"/>
        <v>-10</v>
      </c>
      <c r="I1016" s="8">
        <f t="shared" ca="1" si="98"/>
        <v>-15</v>
      </c>
      <c r="J1016" s="9">
        <f t="shared" ca="1" si="95"/>
        <v>88</v>
      </c>
      <c r="K1016" s="7" t="s">
        <v>40</v>
      </c>
      <c r="L1016" s="10">
        <v>81</v>
      </c>
      <c r="M1016" s="24" t="s">
        <v>40</v>
      </c>
      <c r="N1016">
        <v>220</v>
      </c>
    </row>
    <row r="1017" spans="1:14">
      <c r="A1017" s="25">
        <f t="shared" si="99"/>
        <v>1014</v>
      </c>
      <c r="B1017" s="67" t="s">
        <v>11</v>
      </c>
      <c r="C1017" s="67" t="s">
        <v>746</v>
      </c>
      <c r="D1017" s="67" t="s">
        <v>745</v>
      </c>
      <c r="E1017" s="22">
        <f t="shared" ca="1" si="100"/>
        <v>40951</v>
      </c>
      <c r="F1017" s="11">
        <f>DATE(27,7,14)</f>
        <v>10057</v>
      </c>
      <c r="G1017" s="12">
        <f t="shared" ca="1" si="96"/>
        <v>85</v>
      </c>
      <c r="H1017" s="12">
        <f t="shared" ca="1" si="97"/>
        <v>-5</v>
      </c>
      <c r="I1017" s="13">
        <f t="shared" ca="1" si="98"/>
        <v>-2</v>
      </c>
      <c r="J1017" s="14">
        <f t="shared" ca="1" si="95"/>
        <v>84</v>
      </c>
      <c r="K1017" s="12" t="s">
        <v>41</v>
      </c>
      <c r="L1017" s="15">
        <v>81</v>
      </c>
      <c r="M1017" s="25" t="s">
        <v>40</v>
      </c>
      <c r="N1017">
        <v>220</v>
      </c>
    </row>
    <row r="1018" spans="1:14">
      <c r="A1018" s="25">
        <f t="shared" si="99"/>
        <v>1015</v>
      </c>
      <c r="B1018" s="67" t="s">
        <v>11</v>
      </c>
      <c r="C1018" s="67" t="s">
        <v>747</v>
      </c>
      <c r="D1018" s="67" t="s">
        <v>745</v>
      </c>
      <c r="E1018" s="22">
        <f t="shared" ca="1" si="100"/>
        <v>40951</v>
      </c>
      <c r="F1018" s="11">
        <f>DATE(46,1,16)</f>
        <v>16818</v>
      </c>
      <c r="G1018" s="12">
        <f t="shared" ca="1" si="96"/>
        <v>66</v>
      </c>
      <c r="H1018" s="12">
        <f t="shared" ca="1" si="97"/>
        <v>1</v>
      </c>
      <c r="I1018" s="13">
        <f t="shared" ca="1" si="98"/>
        <v>-4</v>
      </c>
      <c r="J1018" s="14">
        <f t="shared" ca="1" si="95"/>
        <v>66</v>
      </c>
      <c r="K1018" s="12" t="s">
        <v>40</v>
      </c>
      <c r="L1018" s="15">
        <v>81</v>
      </c>
      <c r="M1018" s="25" t="s">
        <v>40</v>
      </c>
      <c r="N1018">
        <v>220</v>
      </c>
    </row>
    <row r="1019" spans="1:14">
      <c r="A1019" s="25">
        <f t="shared" si="99"/>
        <v>1016</v>
      </c>
      <c r="B1019" s="67" t="s">
        <v>11</v>
      </c>
      <c r="C1019" s="67" t="s">
        <v>634</v>
      </c>
      <c r="D1019" s="67" t="s">
        <v>747</v>
      </c>
      <c r="E1019" s="22">
        <f t="shared" ca="1" si="100"/>
        <v>40951</v>
      </c>
      <c r="F1019" s="11">
        <f>DATE(52,10,11)</f>
        <v>19278</v>
      </c>
      <c r="G1019" s="12">
        <f t="shared" ca="1" si="96"/>
        <v>60</v>
      </c>
      <c r="H1019" s="12">
        <f t="shared" ca="1" si="97"/>
        <v>-8</v>
      </c>
      <c r="I1019" s="13">
        <f t="shared" ca="1" si="98"/>
        <v>1</v>
      </c>
      <c r="J1019" s="14">
        <f t="shared" ca="1" si="95"/>
        <v>59</v>
      </c>
      <c r="K1019" s="12" t="s">
        <v>41</v>
      </c>
      <c r="L1019" s="15">
        <v>81</v>
      </c>
      <c r="M1019" s="25" t="s">
        <v>40</v>
      </c>
      <c r="N1019">
        <v>220</v>
      </c>
    </row>
    <row r="1020" spans="1:14">
      <c r="A1020" s="25">
        <f t="shared" si="99"/>
        <v>1017</v>
      </c>
      <c r="B1020" s="67" t="s">
        <v>11</v>
      </c>
      <c r="C1020" s="67" t="s">
        <v>228</v>
      </c>
      <c r="D1020" s="67" t="s">
        <v>747</v>
      </c>
      <c r="E1020" s="22">
        <f t="shared" ca="1" si="100"/>
        <v>40951</v>
      </c>
      <c r="F1020" s="11">
        <f>DATE(71,7,27)</f>
        <v>26141</v>
      </c>
      <c r="G1020" s="12">
        <f t="shared" ca="1" si="96"/>
        <v>41</v>
      </c>
      <c r="H1020" s="12">
        <f t="shared" ca="1" si="97"/>
        <v>-5</v>
      </c>
      <c r="I1020" s="13">
        <f t="shared" ca="1" si="98"/>
        <v>-15</v>
      </c>
      <c r="J1020" s="14">
        <f t="shared" ca="1" si="95"/>
        <v>40</v>
      </c>
      <c r="K1020" s="12" t="s">
        <v>40</v>
      </c>
      <c r="L1020" s="15">
        <v>81</v>
      </c>
      <c r="M1020" s="25" t="s">
        <v>40</v>
      </c>
      <c r="N1020">
        <v>220</v>
      </c>
    </row>
    <row r="1021" spans="1:14">
      <c r="A1021" s="25">
        <f t="shared" si="99"/>
        <v>1018</v>
      </c>
      <c r="B1021" s="67" t="s">
        <v>11</v>
      </c>
      <c r="C1021" s="67" t="s">
        <v>660</v>
      </c>
      <c r="D1021" s="67" t="s">
        <v>748</v>
      </c>
      <c r="E1021" s="22">
        <f t="shared" ca="1" si="100"/>
        <v>40951</v>
      </c>
      <c r="F1021" s="11">
        <f>DATE(72,10,6)</f>
        <v>26578</v>
      </c>
      <c r="G1021" s="12">
        <f t="shared" ca="1" si="96"/>
        <v>40</v>
      </c>
      <c r="H1021" s="12">
        <f t="shared" ca="1" si="97"/>
        <v>-8</v>
      </c>
      <c r="I1021" s="13">
        <f t="shared" ca="1" si="98"/>
        <v>6</v>
      </c>
      <c r="J1021" s="14">
        <f t="shared" ca="1" si="95"/>
        <v>39</v>
      </c>
      <c r="K1021" s="12" t="s">
        <v>41</v>
      </c>
      <c r="L1021" s="15">
        <v>81</v>
      </c>
      <c r="M1021" s="25" t="s">
        <v>40</v>
      </c>
      <c r="N1021">
        <v>220</v>
      </c>
    </row>
    <row r="1022" spans="1:14">
      <c r="A1022" s="25">
        <f t="shared" si="99"/>
        <v>1019</v>
      </c>
      <c r="B1022" s="67" t="s">
        <v>11</v>
      </c>
      <c r="C1022" s="67" t="s">
        <v>690</v>
      </c>
      <c r="D1022" s="67" t="s">
        <v>748</v>
      </c>
      <c r="E1022" s="22">
        <f t="shared" ca="1" si="100"/>
        <v>40951</v>
      </c>
      <c r="F1022" s="11">
        <f>DATE(2003,11,19)</f>
        <v>37944</v>
      </c>
      <c r="G1022" s="12">
        <f t="shared" ca="1" si="96"/>
        <v>9</v>
      </c>
      <c r="H1022" s="12">
        <f t="shared" ca="1" si="97"/>
        <v>-9</v>
      </c>
      <c r="I1022" s="13">
        <f t="shared" ca="1" si="98"/>
        <v>-7</v>
      </c>
      <c r="J1022" s="14">
        <f t="shared" ca="1" si="95"/>
        <v>8</v>
      </c>
      <c r="K1022" s="12" t="s">
        <v>41</v>
      </c>
      <c r="L1022" s="15">
        <v>81</v>
      </c>
      <c r="M1022" s="25" t="s">
        <v>44</v>
      </c>
      <c r="N1022">
        <v>220</v>
      </c>
    </row>
    <row r="1023" spans="1:14">
      <c r="A1023" s="25">
        <f t="shared" si="99"/>
        <v>1020</v>
      </c>
      <c r="B1023" s="67" t="s">
        <v>11</v>
      </c>
      <c r="C1023" s="67" t="s">
        <v>749</v>
      </c>
      <c r="D1023" s="67" t="s">
        <v>747</v>
      </c>
      <c r="E1023" s="22">
        <f t="shared" ca="1" si="100"/>
        <v>40951</v>
      </c>
      <c r="F1023" s="11">
        <f>DATE(74,5,6)</f>
        <v>27155</v>
      </c>
      <c r="G1023" s="12">
        <f t="shared" ca="1" si="96"/>
        <v>38</v>
      </c>
      <c r="H1023" s="12">
        <f t="shared" ca="1" si="97"/>
        <v>-3</v>
      </c>
      <c r="I1023" s="13">
        <f t="shared" ca="1" si="98"/>
        <v>6</v>
      </c>
      <c r="J1023" s="14">
        <f t="shared" ca="1" si="95"/>
        <v>37</v>
      </c>
      <c r="K1023" s="12" t="s">
        <v>40</v>
      </c>
      <c r="L1023" s="15">
        <v>81</v>
      </c>
      <c r="M1023" s="25" t="s">
        <v>40</v>
      </c>
      <c r="N1023">
        <v>220</v>
      </c>
    </row>
    <row r="1024" spans="1:14">
      <c r="A1024" s="25">
        <f t="shared" si="99"/>
        <v>1021</v>
      </c>
      <c r="B1024" s="67" t="s">
        <v>11</v>
      </c>
      <c r="C1024" s="67" t="s">
        <v>628</v>
      </c>
      <c r="D1024" s="67" t="s">
        <v>750</v>
      </c>
      <c r="E1024" s="22">
        <f t="shared" ca="1" si="100"/>
        <v>40951</v>
      </c>
      <c r="F1024" s="11">
        <f>DATE(78,1,12)</f>
        <v>28502</v>
      </c>
      <c r="G1024" s="12">
        <f t="shared" ca="1" si="96"/>
        <v>34</v>
      </c>
      <c r="H1024" s="12">
        <f t="shared" ca="1" si="97"/>
        <v>1</v>
      </c>
      <c r="I1024" s="13">
        <f t="shared" ca="1" si="98"/>
        <v>0</v>
      </c>
      <c r="J1024" s="14">
        <f t="shared" ca="1" si="95"/>
        <v>34</v>
      </c>
      <c r="K1024" s="12" t="s">
        <v>41</v>
      </c>
      <c r="L1024" s="15">
        <v>81</v>
      </c>
      <c r="M1024" s="25" t="s">
        <v>40</v>
      </c>
      <c r="N1024">
        <v>220</v>
      </c>
    </row>
    <row r="1025" spans="1:14" ht="15.75" thickBot="1">
      <c r="A1025" s="26">
        <f t="shared" si="99"/>
        <v>1022</v>
      </c>
      <c r="B1025" s="67" t="s">
        <v>11</v>
      </c>
      <c r="C1025" s="68" t="s">
        <v>350</v>
      </c>
      <c r="D1025" s="68" t="s">
        <v>747</v>
      </c>
      <c r="E1025" s="23">
        <f t="shared" ca="1" si="100"/>
        <v>40951</v>
      </c>
      <c r="F1025" s="16">
        <f>DATE(84,2,4)</f>
        <v>30716</v>
      </c>
      <c r="G1025" s="17">
        <f t="shared" ca="1" si="96"/>
        <v>28</v>
      </c>
      <c r="H1025" s="17">
        <f t="shared" ca="1" si="97"/>
        <v>0</v>
      </c>
      <c r="I1025" s="18">
        <f t="shared" ca="1" si="98"/>
        <v>8</v>
      </c>
      <c r="J1025" s="19">
        <f t="shared" ca="1" si="95"/>
        <v>28</v>
      </c>
      <c r="K1025" s="17" t="s">
        <v>41</v>
      </c>
      <c r="L1025" s="20">
        <v>81</v>
      </c>
      <c r="M1025" s="26" t="s">
        <v>44</v>
      </c>
      <c r="N1025">
        <v>220</v>
      </c>
    </row>
    <row r="1026" spans="1:14">
      <c r="A1026" s="24">
        <f t="shared" si="99"/>
        <v>1023</v>
      </c>
      <c r="B1026" s="66" t="s">
        <v>11</v>
      </c>
      <c r="C1026" s="66" t="s">
        <v>235</v>
      </c>
      <c r="D1026" s="66"/>
      <c r="E1026" s="21">
        <f t="shared" ca="1" si="100"/>
        <v>40951</v>
      </c>
      <c r="F1026" s="6">
        <f>DATE(35,11,6)</f>
        <v>13094</v>
      </c>
      <c r="G1026" s="7">
        <f t="shared" ca="1" si="96"/>
        <v>77</v>
      </c>
      <c r="H1026" s="7">
        <f t="shared" ca="1" si="97"/>
        <v>-9</v>
      </c>
      <c r="I1026" s="8">
        <f t="shared" ca="1" si="98"/>
        <v>6</v>
      </c>
      <c r="J1026" s="9">
        <f t="shared" ca="1" si="95"/>
        <v>76</v>
      </c>
      <c r="K1026" s="7" t="s">
        <v>40</v>
      </c>
      <c r="L1026" s="10">
        <v>82</v>
      </c>
      <c r="M1026" s="24" t="s">
        <v>40</v>
      </c>
      <c r="N1026">
        <v>221</v>
      </c>
    </row>
    <row r="1027" spans="1:14">
      <c r="A1027" s="25">
        <f t="shared" si="99"/>
        <v>1024</v>
      </c>
      <c r="B1027" s="67" t="s">
        <v>11</v>
      </c>
      <c r="C1027" s="67" t="s">
        <v>751</v>
      </c>
      <c r="D1027" s="67" t="s">
        <v>235</v>
      </c>
      <c r="E1027" s="22">
        <f t="shared" ca="1" si="100"/>
        <v>40951</v>
      </c>
      <c r="F1027" s="11">
        <f>DATE(41,5,10)</f>
        <v>15106</v>
      </c>
      <c r="G1027" s="12">
        <f t="shared" ca="1" si="96"/>
        <v>71</v>
      </c>
      <c r="H1027" s="12">
        <f t="shared" ca="1" si="97"/>
        <v>-3</v>
      </c>
      <c r="I1027" s="13">
        <f t="shared" ca="1" si="98"/>
        <v>2</v>
      </c>
      <c r="J1027" s="14">
        <f t="shared" ca="1" si="95"/>
        <v>70</v>
      </c>
      <c r="K1027" s="12" t="s">
        <v>41</v>
      </c>
      <c r="L1027" s="15">
        <v>82</v>
      </c>
      <c r="M1027" s="25" t="s">
        <v>40</v>
      </c>
      <c r="N1027">
        <v>221</v>
      </c>
    </row>
    <row r="1028" spans="1:14">
      <c r="A1028" s="25">
        <f t="shared" si="99"/>
        <v>1025</v>
      </c>
      <c r="B1028" s="67" t="s">
        <v>11</v>
      </c>
      <c r="C1028" s="67" t="s">
        <v>654</v>
      </c>
      <c r="D1028" s="67" t="s">
        <v>235</v>
      </c>
      <c r="E1028" s="22">
        <f t="shared" ca="1" si="100"/>
        <v>40951</v>
      </c>
      <c r="F1028" s="11">
        <f>DATE(64,9,1)</f>
        <v>23621</v>
      </c>
      <c r="G1028" s="12">
        <f t="shared" ca="1" si="96"/>
        <v>48</v>
      </c>
      <c r="H1028" s="12">
        <f t="shared" ca="1" si="97"/>
        <v>-7</v>
      </c>
      <c r="I1028" s="13">
        <f t="shared" ca="1" si="98"/>
        <v>11</v>
      </c>
      <c r="J1028" s="14">
        <f t="shared" ref="J1028:J1091" ca="1" si="101">IF(H1028&lt;0,G1028-1,IF(H1028&gt;0,G1028,IF(I1028&lt;0,G1028-1,G1028)))</f>
        <v>47</v>
      </c>
      <c r="K1028" s="12" t="s">
        <v>40</v>
      </c>
      <c r="L1028" s="15">
        <v>82</v>
      </c>
      <c r="M1028" s="25" t="s">
        <v>40</v>
      </c>
      <c r="N1028">
        <v>221</v>
      </c>
    </row>
    <row r="1029" spans="1:14">
      <c r="A1029" s="25">
        <f t="shared" si="99"/>
        <v>1026</v>
      </c>
      <c r="B1029" s="67" t="s">
        <v>11</v>
      </c>
      <c r="C1029" s="67" t="s">
        <v>622</v>
      </c>
      <c r="D1029" s="67" t="s">
        <v>654</v>
      </c>
      <c r="E1029" s="22">
        <f t="shared" ca="1" si="100"/>
        <v>40951</v>
      </c>
      <c r="F1029" s="11">
        <f>DATE(71,1,14)</f>
        <v>25947</v>
      </c>
      <c r="G1029" s="12">
        <f t="shared" ca="1" si="96"/>
        <v>41</v>
      </c>
      <c r="H1029" s="12">
        <f t="shared" ca="1" si="97"/>
        <v>1</v>
      </c>
      <c r="I1029" s="13">
        <f t="shared" ca="1" si="98"/>
        <v>-2</v>
      </c>
      <c r="J1029" s="14">
        <f t="shared" ca="1" si="101"/>
        <v>41</v>
      </c>
      <c r="K1029" s="12" t="s">
        <v>41</v>
      </c>
      <c r="L1029" s="15">
        <v>82</v>
      </c>
      <c r="M1029" s="25" t="s">
        <v>40</v>
      </c>
      <c r="N1029">
        <v>221</v>
      </c>
    </row>
    <row r="1030" spans="1:14">
      <c r="A1030" s="25">
        <f t="shared" si="99"/>
        <v>1027</v>
      </c>
      <c r="B1030" s="67" t="s">
        <v>11</v>
      </c>
      <c r="C1030" s="67" t="s">
        <v>741</v>
      </c>
      <c r="D1030" s="67" t="s">
        <v>654</v>
      </c>
      <c r="E1030" s="22">
        <f t="shared" ca="1" si="100"/>
        <v>40951</v>
      </c>
      <c r="F1030" s="11">
        <f>DATE(91,10,5)</f>
        <v>33516</v>
      </c>
      <c r="G1030" s="12">
        <f t="shared" ca="1" si="96"/>
        <v>21</v>
      </c>
      <c r="H1030" s="12">
        <f t="shared" ca="1" si="97"/>
        <v>-8</v>
      </c>
      <c r="I1030" s="13">
        <f t="shared" ca="1" si="98"/>
        <v>7</v>
      </c>
      <c r="J1030" s="14">
        <f t="shared" ca="1" si="101"/>
        <v>20</v>
      </c>
      <c r="K1030" s="12" t="s">
        <v>41</v>
      </c>
      <c r="L1030" s="15">
        <v>82</v>
      </c>
      <c r="M1030" s="25" t="s">
        <v>44</v>
      </c>
      <c r="N1030">
        <v>221</v>
      </c>
    </row>
    <row r="1031" spans="1:14">
      <c r="A1031" s="25">
        <f t="shared" si="99"/>
        <v>1028</v>
      </c>
      <c r="B1031" s="67" t="s">
        <v>11</v>
      </c>
      <c r="C1031" s="67" t="s">
        <v>752</v>
      </c>
      <c r="D1031" s="67" t="s">
        <v>654</v>
      </c>
      <c r="E1031" s="22">
        <f t="shared" ca="1" si="100"/>
        <v>40951</v>
      </c>
      <c r="F1031" s="11">
        <f>DATE(95,6,22)</f>
        <v>34872</v>
      </c>
      <c r="G1031" s="12">
        <f t="shared" ca="1" si="96"/>
        <v>17</v>
      </c>
      <c r="H1031" s="12">
        <f t="shared" ca="1" si="97"/>
        <v>-4</v>
      </c>
      <c r="I1031" s="13">
        <f t="shared" ca="1" si="98"/>
        <v>-10</v>
      </c>
      <c r="J1031" s="14">
        <f t="shared" ca="1" si="101"/>
        <v>16</v>
      </c>
      <c r="K1031" s="12" t="s">
        <v>41</v>
      </c>
      <c r="L1031" s="15">
        <v>82</v>
      </c>
      <c r="M1031" s="25" t="s">
        <v>44</v>
      </c>
      <c r="N1031">
        <v>221</v>
      </c>
    </row>
    <row r="1032" spans="1:14" ht="15.75" thickBot="1">
      <c r="A1032" s="26">
        <f t="shared" si="99"/>
        <v>1029</v>
      </c>
      <c r="B1032" s="67" t="s">
        <v>11</v>
      </c>
      <c r="C1032" s="68" t="s">
        <v>753</v>
      </c>
      <c r="D1032" s="68" t="s">
        <v>654</v>
      </c>
      <c r="E1032" s="23">
        <f t="shared" ca="1" si="100"/>
        <v>40951</v>
      </c>
      <c r="F1032" s="16">
        <f>DATE(91,9,14)</f>
        <v>33495</v>
      </c>
      <c r="G1032" s="17">
        <f t="shared" ca="1" si="96"/>
        <v>21</v>
      </c>
      <c r="H1032" s="17">
        <f t="shared" ca="1" si="97"/>
        <v>-7</v>
      </c>
      <c r="I1032" s="18">
        <f t="shared" ca="1" si="98"/>
        <v>-2</v>
      </c>
      <c r="J1032" s="19">
        <f t="shared" ca="1" si="101"/>
        <v>20</v>
      </c>
      <c r="K1032" s="17" t="s">
        <v>40</v>
      </c>
      <c r="L1032" s="20">
        <v>82</v>
      </c>
      <c r="M1032" s="26" t="s">
        <v>44</v>
      </c>
      <c r="N1032">
        <v>221</v>
      </c>
    </row>
    <row r="1033" spans="1:14">
      <c r="A1033" s="25">
        <f t="shared" si="99"/>
        <v>1030</v>
      </c>
      <c r="B1033" s="67" t="s">
        <v>11</v>
      </c>
      <c r="C1033" s="67" t="s">
        <v>754</v>
      </c>
      <c r="D1033" s="67" t="s">
        <v>682</v>
      </c>
      <c r="E1033" s="22">
        <f t="shared" ca="1" si="100"/>
        <v>40951</v>
      </c>
      <c r="F1033" s="11">
        <f>DATE(65,8,1)</f>
        <v>23955</v>
      </c>
      <c r="G1033" s="12">
        <f t="shared" ca="1" si="96"/>
        <v>47</v>
      </c>
      <c r="H1033" s="12">
        <f t="shared" ca="1" si="97"/>
        <v>-6</v>
      </c>
      <c r="I1033" s="13">
        <f t="shared" ca="1" si="98"/>
        <v>11</v>
      </c>
      <c r="J1033" s="14">
        <f t="shared" ca="1" si="101"/>
        <v>46</v>
      </c>
      <c r="K1033" s="12" t="s">
        <v>40</v>
      </c>
      <c r="L1033" s="15">
        <v>82</v>
      </c>
      <c r="M1033" s="25" t="s">
        <v>40</v>
      </c>
      <c r="N1033">
        <v>222</v>
      </c>
    </row>
    <row r="1034" spans="1:14">
      <c r="A1034" s="25">
        <f t="shared" si="99"/>
        <v>1031</v>
      </c>
      <c r="B1034" s="67" t="s">
        <v>11</v>
      </c>
      <c r="C1034" s="67" t="s">
        <v>755</v>
      </c>
      <c r="D1034" s="67" t="s">
        <v>754</v>
      </c>
      <c r="E1034" s="22">
        <f t="shared" ca="1" si="100"/>
        <v>40951</v>
      </c>
      <c r="F1034" s="11">
        <f>DATE(66,3,23)</f>
        <v>24189</v>
      </c>
      <c r="G1034" s="12">
        <f t="shared" ca="1" si="96"/>
        <v>46</v>
      </c>
      <c r="H1034" s="12">
        <f t="shared" ca="1" si="97"/>
        <v>-1</v>
      </c>
      <c r="I1034" s="13">
        <f t="shared" ca="1" si="98"/>
        <v>-11</v>
      </c>
      <c r="J1034" s="14">
        <f t="shared" ca="1" si="101"/>
        <v>45</v>
      </c>
      <c r="K1034" s="12" t="s">
        <v>41</v>
      </c>
      <c r="L1034" s="15">
        <v>82</v>
      </c>
      <c r="M1034" s="25" t="s">
        <v>40</v>
      </c>
      <c r="N1034">
        <v>222</v>
      </c>
    </row>
    <row r="1035" spans="1:14">
      <c r="A1035" s="25">
        <f t="shared" si="99"/>
        <v>1032</v>
      </c>
      <c r="B1035" s="67" t="s">
        <v>11</v>
      </c>
      <c r="C1035" s="67" t="s">
        <v>685</v>
      </c>
      <c r="D1035" s="67" t="s">
        <v>754</v>
      </c>
      <c r="E1035" s="22">
        <f t="shared" ca="1" si="100"/>
        <v>40951</v>
      </c>
      <c r="F1035" s="11">
        <f>DATE(89,5,31)</f>
        <v>32659</v>
      </c>
      <c r="G1035" s="12">
        <f t="shared" ca="1" si="96"/>
        <v>23</v>
      </c>
      <c r="H1035" s="12">
        <f t="shared" ca="1" si="97"/>
        <v>-3</v>
      </c>
      <c r="I1035" s="13">
        <f t="shared" ca="1" si="98"/>
        <v>-19</v>
      </c>
      <c r="J1035" s="14">
        <f t="shared" ca="1" si="101"/>
        <v>22</v>
      </c>
      <c r="K1035" s="12" t="s">
        <v>40</v>
      </c>
      <c r="L1035" s="15">
        <v>82</v>
      </c>
      <c r="M1035" s="25" t="s">
        <v>44</v>
      </c>
      <c r="N1035">
        <v>222</v>
      </c>
    </row>
    <row r="1036" spans="1:14" ht="15.75" thickBot="1">
      <c r="A1036" s="26">
        <f t="shared" si="99"/>
        <v>1033</v>
      </c>
      <c r="B1036" s="67" t="s">
        <v>11</v>
      </c>
      <c r="C1036" s="68" t="s">
        <v>100</v>
      </c>
      <c r="D1036" s="68" t="s">
        <v>754</v>
      </c>
      <c r="E1036" s="23">
        <f t="shared" ca="1" si="100"/>
        <v>40951</v>
      </c>
      <c r="F1036" s="16">
        <f>DATE(97,11,8)</f>
        <v>35742</v>
      </c>
      <c r="G1036" s="17">
        <f t="shared" ca="1" si="96"/>
        <v>15</v>
      </c>
      <c r="H1036" s="17">
        <f t="shared" ca="1" si="97"/>
        <v>-9</v>
      </c>
      <c r="I1036" s="18">
        <f t="shared" ca="1" si="98"/>
        <v>4</v>
      </c>
      <c r="J1036" s="19">
        <f t="shared" ca="1" si="101"/>
        <v>14</v>
      </c>
      <c r="K1036" s="17" t="s">
        <v>41</v>
      </c>
      <c r="L1036" s="20">
        <v>82</v>
      </c>
      <c r="M1036" s="26" t="s">
        <v>44</v>
      </c>
      <c r="N1036">
        <v>222</v>
      </c>
    </row>
    <row r="1037" spans="1:14">
      <c r="A1037" s="25">
        <f t="shared" si="99"/>
        <v>1034</v>
      </c>
      <c r="B1037" s="67" t="s">
        <v>11</v>
      </c>
      <c r="C1037" s="67"/>
      <c r="D1037" s="67"/>
      <c r="E1037" s="22"/>
      <c r="F1037" s="11"/>
      <c r="G1037" s="12"/>
      <c r="H1037" s="12"/>
      <c r="I1037" s="13"/>
      <c r="J1037" s="14"/>
      <c r="K1037" s="12"/>
      <c r="L1037" s="15"/>
      <c r="M1037" s="25"/>
      <c r="N1037">
        <v>223</v>
      </c>
    </row>
    <row r="1038" spans="1:14">
      <c r="A1038" s="25">
        <f t="shared" si="99"/>
        <v>1035</v>
      </c>
      <c r="B1038" s="67" t="s">
        <v>11</v>
      </c>
      <c r="C1038" s="67" t="s">
        <v>592</v>
      </c>
      <c r="D1038" s="67" t="s">
        <v>756</v>
      </c>
      <c r="E1038" s="22">
        <f t="shared" ca="1" si="100"/>
        <v>40951</v>
      </c>
      <c r="F1038" s="11">
        <f>DATE(75,1,3)</f>
        <v>27397</v>
      </c>
      <c r="G1038" s="12">
        <f t="shared" ca="1" si="96"/>
        <v>37</v>
      </c>
      <c r="H1038" s="12">
        <f t="shared" ca="1" si="97"/>
        <v>1</v>
      </c>
      <c r="I1038" s="13">
        <f t="shared" ca="1" si="98"/>
        <v>9</v>
      </c>
      <c r="J1038" s="14">
        <f t="shared" ca="1" si="101"/>
        <v>37</v>
      </c>
      <c r="K1038" s="12" t="s">
        <v>40</v>
      </c>
      <c r="L1038" s="15">
        <v>82</v>
      </c>
      <c r="M1038" s="25" t="s">
        <v>40</v>
      </c>
      <c r="N1038">
        <v>223</v>
      </c>
    </row>
    <row r="1039" spans="1:14">
      <c r="A1039" s="25">
        <f t="shared" si="99"/>
        <v>1036</v>
      </c>
      <c r="B1039" s="67" t="s">
        <v>11</v>
      </c>
      <c r="C1039" s="67" t="s">
        <v>280</v>
      </c>
      <c r="D1039" s="67" t="s">
        <v>592</v>
      </c>
      <c r="E1039" s="22">
        <f t="shared" ca="1" si="100"/>
        <v>40951</v>
      </c>
      <c r="F1039" s="11">
        <f>DATE(78,9,23)</f>
        <v>28756</v>
      </c>
      <c r="G1039" s="12">
        <f t="shared" ca="1" si="96"/>
        <v>34</v>
      </c>
      <c r="H1039" s="12">
        <f t="shared" ca="1" si="97"/>
        <v>-7</v>
      </c>
      <c r="I1039" s="13">
        <f t="shared" ca="1" si="98"/>
        <v>-11</v>
      </c>
      <c r="J1039" s="14">
        <f t="shared" ca="1" si="101"/>
        <v>33</v>
      </c>
      <c r="K1039" s="12" t="s">
        <v>41</v>
      </c>
      <c r="L1039" s="15">
        <v>82</v>
      </c>
      <c r="M1039" s="25" t="s">
        <v>40</v>
      </c>
      <c r="N1039">
        <v>223</v>
      </c>
    </row>
    <row r="1040" spans="1:14" ht="15.75" thickBot="1">
      <c r="A1040" s="26">
        <f t="shared" si="99"/>
        <v>1037</v>
      </c>
      <c r="B1040" s="67" t="s">
        <v>11</v>
      </c>
      <c r="C1040" s="68" t="s">
        <v>652</v>
      </c>
      <c r="D1040" s="68" t="s">
        <v>756</v>
      </c>
      <c r="E1040" s="23">
        <f t="shared" ca="1" si="100"/>
        <v>40951</v>
      </c>
      <c r="F1040" s="16">
        <f>DATE(77,4,3)</f>
        <v>28218</v>
      </c>
      <c r="G1040" s="17">
        <f t="shared" ca="1" si="96"/>
        <v>35</v>
      </c>
      <c r="H1040" s="17">
        <f t="shared" ca="1" si="97"/>
        <v>-2</v>
      </c>
      <c r="I1040" s="18">
        <f t="shared" ca="1" si="98"/>
        <v>9</v>
      </c>
      <c r="J1040" s="19">
        <f t="shared" ca="1" si="101"/>
        <v>34</v>
      </c>
      <c r="K1040" s="17" t="s">
        <v>40</v>
      </c>
      <c r="L1040" s="20">
        <v>82</v>
      </c>
      <c r="M1040" s="26" t="s">
        <v>44</v>
      </c>
      <c r="N1040">
        <v>223</v>
      </c>
    </row>
    <row r="1041" spans="1:14" ht="15.75" thickBot="1">
      <c r="A1041" s="43">
        <f t="shared" si="99"/>
        <v>1038</v>
      </c>
      <c r="B1041" s="69" t="s">
        <v>11</v>
      </c>
      <c r="C1041" s="69" t="s">
        <v>757</v>
      </c>
      <c r="D1041" s="69" t="s">
        <v>758</v>
      </c>
      <c r="E1041" s="37">
        <f t="shared" ca="1" si="100"/>
        <v>40951</v>
      </c>
      <c r="F1041" s="47"/>
      <c r="G1041" s="39">
        <f t="shared" ca="1" si="96"/>
        <v>112</v>
      </c>
      <c r="H1041" s="39">
        <f t="shared" ca="1" si="97"/>
        <v>1</v>
      </c>
      <c r="I1041" s="40">
        <f t="shared" ca="1" si="98"/>
        <v>12</v>
      </c>
      <c r="J1041" s="41">
        <f t="shared" ca="1" si="101"/>
        <v>112</v>
      </c>
      <c r="K1041" s="39" t="s">
        <v>40</v>
      </c>
      <c r="L1041" s="42">
        <v>83</v>
      </c>
      <c r="M1041" s="43" t="s">
        <v>40</v>
      </c>
      <c r="N1041">
        <v>224</v>
      </c>
    </row>
    <row r="1042" spans="1:14">
      <c r="A1042" s="24">
        <f t="shared" si="99"/>
        <v>1039</v>
      </c>
      <c r="B1042" s="66" t="s">
        <v>11</v>
      </c>
      <c r="C1042" s="66" t="s">
        <v>757</v>
      </c>
      <c r="D1042" s="66" t="s">
        <v>134</v>
      </c>
      <c r="E1042" s="21">
        <f t="shared" ca="1" si="100"/>
        <v>40951</v>
      </c>
      <c r="F1042" s="6">
        <f>DATE(35,12,24)</f>
        <v>13142</v>
      </c>
      <c r="G1042" s="7">
        <f t="shared" ca="1" si="96"/>
        <v>77</v>
      </c>
      <c r="H1042" s="7">
        <f t="shared" ca="1" si="97"/>
        <v>-10</v>
      </c>
      <c r="I1042" s="8">
        <f t="shared" ca="1" si="98"/>
        <v>-12</v>
      </c>
      <c r="J1042" s="9">
        <f t="shared" ca="1" si="101"/>
        <v>76</v>
      </c>
      <c r="K1042" s="7" t="s">
        <v>40</v>
      </c>
      <c r="L1042" s="10">
        <v>83</v>
      </c>
      <c r="M1042" s="24" t="s">
        <v>40</v>
      </c>
      <c r="N1042">
        <v>225</v>
      </c>
    </row>
    <row r="1043" spans="1:14">
      <c r="A1043" s="25">
        <f t="shared" si="99"/>
        <v>1040</v>
      </c>
      <c r="B1043" s="67" t="s">
        <v>11</v>
      </c>
      <c r="C1043" s="67" t="s">
        <v>592</v>
      </c>
      <c r="D1043" s="67" t="s">
        <v>757</v>
      </c>
      <c r="E1043" s="22">
        <f t="shared" ca="1" si="100"/>
        <v>40951</v>
      </c>
      <c r="F1043" s="11">
        <f>DATE(63,10,16)</f>
        <v>23300</v>
      </c>
      <c r="G1043" s="12">
        <f t="shared" ca="1" si="96"/>
        <v>49</v>
      </c>
      <c r="H1043" s="12">
        <f t="shared" ca="1" si="97"/>
        <v>-8</v>
      </c>
      <c r="I1043" s="13">
        <f t="shared" ca="1" si="98"/>
        <v>-4</v>
      </c>
      <c r="J1043" s="14">
        <f t="shared" ca="1" si="101"/>
        <v>48</v>
      </c>
      <c r="K1043" s="12" t="s">
        <v>40</v>
      </c>
      <c r="L1043" s="15">
        <v>83</v>
      </c>
      <c r="M1043" s="25" t="s">
        <v>40</v>
      </c>
      <c r="N1043">
        <v>225</v>
      </c>
    </row>
    <row r="1044" spans="1:14">
      <c r="A1044" s="25">
        <f t="shared" si="99"/>
        <v>1041</v>
      </c>
      <c r="B1044" s="67" t="s">
        <v>11</v>
      </c>
      <c r="C1044" s="67" t="s">
        <v>440</v>
      </c>
      <c r="D1044" s="67" t="s">
        <v>592</v>
      </c>
      <c r="E1044" s="22">
        <f t="shared" ca="1" si="100"/>
        <v>40951</v>
      </c>
      <c r="F1044" s="11">
        <f>DATE(65,12,12)</f>
        <v>24088</v>
      </c>
      <c r="G1044" s="12">
        <f t="shared" ca="1" si="96"/>
        <v>47</v>
      </c>
      <c r="H1044" s="12">
        <f t="shared" ca="1" si="97"/>
        <v>-10</v>
      </c>
      <c r="I1044" s="13">
        <f t="shared" ca="1" si="98"/>
        <v>0</v>
      </c>
      <c r="J1044" s="14">
        <f t="shared" ca="1" si="101"/>
        <v>46</v>
      </c>
      <c r="K1044" s="12" t="s">
        <v>41</v>
      </c>
      <c r="L1044" s="15">
        <v>83</v>
      </c>
      <c r="M1044" s="25" t="s">
        <v>40</v>
      </c>
      <c r="N1044">
        <v>225</v>
      </c>
    </row>
    <row r="1045" spans="1:14">
      <c r="A1045" s="25">
        <f t="shared" si="99"/>
        <v>1042</v>
      </c>
      <c r="B1045" s="67" t="s">
        <v>11</v>
      </c>
      <c r="C1045" s="67" t="s">
        <v>583</v>
      </c>
      <c r="D1045" s="67" t="s">
        <v>592</v>
      </c>
      <c r="E1045" s="22">
        <f t="shared" ca="1" si="100"/>
        <v>40951</v>
      </c>
      <c r="F1045" s="11">
        <f>DATE(89,10,24)</f>
        <v>32805</v>
      </c>
      <c r="G1045" s="12">
        <f t="shared" ca="1" si="96"/>
        <v>23</v>
      </c>
      <c r="H1045" s="12">
        <f t="shared" ca="1" si="97"/>
        <v>-8</v>
      </c>
      <c r="I1045" s="13">
        <f t="shared" ca="1" si="98"/>
        <v>-12</v>
      </c>
      <c r="J1045" s="14">
        <f t="shared" ca="1" si="101"/>
        <v>22</v>
      </c>
      <c r="K1045" s="12" t="s">
        <v>41</v>
      </c>
      <c r="L1045" s="15">
        <v>83</v>
      </c>
      <c r="M1045" s="25" t="s">
        <v>44</v>
      </c>
      <c r="N1045">
        <v>225</v>
      </c>
    </row>
    <row r="1046" spans="1:14" ht="15.75" thickBot="1">
      <c r="A1046" s="26">
        <f t="shared" si="99"/>
        <v>1043</v>
      </c>
      <c r="B1046" s="67" t="s">
        <v>11</v>
      </c>
      <c r="C1046" s="68" t="s">
        <v>759</v>
      </c>
      <c r="D1046" s="68" t="s">
        <v>592</v>
      </c>
      <c r="E1046" s="23">
        <f t="shared" ca="1" si="100"/>
        <v>40951</v>
      </c>
      <c r="F1046" s="16">
        <f>DATE(2001,10,25)</f>
        <v>37189</v>
      </c>
      <c r="G1046" s="17">
        <f t="shared" ca="1" si="96"/>
        <v>11</v>
      </c>
      <c r="H1046" s="17">
        <f t="shared" ca="1" si="97"/>
        <v>-8</v>
      </c>
      <c r="I1046" s="18">
        <f t="shared" ca="1" si="98"/>
        <v>-13</v>
      </c>
      <c r="J1046" s="19">
        <f t="shared" ca="1" si="101"/>
        <v>10</v>
      </c>
      <c r="K1046" s="17" t="s">
        <v>40</v>
      </c>
      <c r="L1046" s="20">
        <v>83</v>
      </c>
      <c r="M1046" s="26" t="s">
        <v>44</v>
      </c>
      <c r="N1046">
        <v>225</v>
      </c>
    </row>
    <row r="1047" spans="1:14">
      <c r="A1047" s="24">
        <f t="shared" si="99"/>
        <v>1044</v>
      </c>
      <c r="B1047" s="66" t="s">
        <v>11</v>
      </c>
      <c r="C1047" s="66" t="s">
        <v>416</v>
      </c>
      <c r="D1047" s="66" t="s">
        <v>235</v>
      </c>
      <c r="E1047" s="21">
        <f t="shared" ca="1" si="100"/>
        <v>40951</v>
      </c>
      <c r="F1047" s="6">
        <f>DATE(66,6,1)</f>
        <v>24259</v>
      </c>
      <c r="G1047" s="7">
        <f t="shared" ca="1" si="96"/>
        <v>46</v>
      </c>
      <c r="H1047" s="7">
        <f t="shared" ca="1" si="97"/>
        <v>-4</v>
      </c>
      <c r="I1047" s="8">
        <f t="shared" ca="1" si="98"/>
        <v>11</v>
      </c>
      <c r="J1047" s="9">
        <f t="shared" ca="1" si="101"/>
        <v>45</v>
      </c>
      <c r="K1047" s="7" t="s">
        <v>40</v>
      </c>
      <c r="L1047" s="10">
        <v>83</v>
      </c>
      <c r="M1047" s="24" t="s">
        <v>40</v>
      </c>
      <c r="N1047">
        <v>226</v>
      </c>
    </row>
    <row r="1048" spans="1:14">
      <c r="A1048" s="25">
        <f t="shared" si="99"/>
        <v>1045</v>
      </c>
      <c r="B1048" s="67" t="s">
        <v>11</v>
      </c>
      <c r="C1048" s="67" t="s">
        <v>760</v>
      </c>
      <c r="D1048" s="67" t="s">
        <v>416</v>
      </c>
      <c r="E1048" s="22">
        <f t="shared" ca="1" si="100"/>
        <v>40951</v>
      </c>
      <c r="F1048" s="11">
        <f>DATE(71,5,21)</f>
        <v>26074</v>
      </c>
      <c r="G1048" s="12">
        <f t="shared" ca="1" si="96"/>
        <v>41</v>
      </c>
      <c r="H1048" s="12">
        <f t="shared" ca="1" si="97"/>
        <v>-3</v>
      </c>
      <c r="I1048" s="13">
        <f t="shared" ca="1" si="98"/>
        <v>-9</v>
      </c>
      <c r="J1048" s="14">
        <f t="shared" ca="1" si="101"/>
        <v>40</v>
      </c>
      <c r="K1048" s="12" t="s">
        <v>41</v>
      </c>
      <c r="L1048" s="15">
        <v>83</v>
      </c>
      <c r="M1048" s="25" t="s">
        <v>40</v>
      </c>
      <c r="N1048">
        <v>226</v>
      </c>
    </row>
    <row r="1049" spans="1:14">
      <c r="A1049" s="25">
        <f t="shared" si="99"/>
        <v>1046</v>
      </c>
      <c r="B1049" s="67" t="s">
        <v>11</v>
      </c>
      <c r="C1049" s="67" t="s">
        <v>761</v>
      </c>
      <c r="D1049" s="67" t="s">
        <v>416</v>
      </c>
      <c r="E1049" s="22">
        <f t="shared" ca="1" si="100"/>
        <v>40951</v>
      </c>
      <c r="F1049" s="11">
        <f>DATE(92,4,7)</f>
        <v>33701</v>
      </c>
      <c r="G1049" s="12">
        <f t="shared" ca="1" si="96"/>
        <v>20</v>
      </c>
      <c r="H1049" s="12">
        <f t="shared" ca="1" si="97"/>
        <v>-2</v>
      </c>
      <c r="I1049" s="13">
        <f t="shared" ca="1" si="98"/>
        <v>5</v>
      </c>
      <c r="J1049" s="14">
        <f t="shared" ca="1" si="101"/>
        <v>19</v>
      </c>
      <c r="K1049" s="12" t="s">
        <v>41</v>
      </c>
      <c r="L1049" s="15">
        <v>83</v>
      </c>
      <c r="M1049" s="25" t="s">
        <v>44</v>
      </c>
      <c r="N1049">
        <v>226</v>
      </c>
    </row>
    <row r="1050" spans="1:14">
      <c r="A1050" s="25">
        <f t="shared" si="99"/>
        <v>1047</v>
      </c>
      <c r="B1050" s="67" t="s">
        <v>11</v>
      </c>
      <c r="C1050" s="67" t="s">
        <v>571</v>
      </c>
      <c r="D1050" s="67" t="s">
        <v>416</v>
      </c>
      <c r="E1050" s="22">
        <f t="shared" ca="1" si="100"/>
        <v>40951</v>
      </c>
      <c r="F1050" s="11">
        <f>DATE(95,2,23)</f>
        <v>34753</v>
      </c>
      <c r="G1050" s="12">
        <f t="shared" ref="G1050:G1113" ca="1" si="102">YEAR(E1050)-YEAR(F1050)</f>
        <v>17</v>
      </c>
      <c r="H1050" s="12">
        <f t="shared" ref="H1050:H1113" ca="1" si="103">MONTH(E1050)-MONTH(F1050)</f>
        <v>0</v>
      </c>
      <c r="I1050" s="13">
        <f t="shared" ref="I1050:I1113" ca="1" si="104">DAY(E1050)-DAY(F1050)</f>
        <v>-11</v>
      </c>
      <c r="J1050" s="14">
        <f t="shared" ca="1" si="101"/>
        <v>16</v>
      </c>
      <c r="K1050" s="12" t="s">
        <v>40</v>
      </c>
      <c r="L1050" s="15">
        <v>83</v>
      </c>
      <c r="M1050" s="25" t="s">
        <v>44</v>
      </c>
      <c r="N1050">
        <v>226</v>
      </c>
    </row>
    <row r="1051" spans="1:14" ht="15.75" thickBot="1">
      <c r="A1051" s="26">
        <f t="shared" si="99"/>
        <v>1048</v>
      </c>
      <c r="B1051" s="67" t="s">
        <v>11</v>
      </c>
      <c r="C1051" s="68" t="s">
        <v>290</v>
      </c>
      <c r="D1051" s="68" t="s">
        <v>416</v>
      </c>
      <c r="E1051" s="23">
        <f t="shared" ca="1" si="100"/>
        <v>40951</v>
      </c>
      <c r="F1051" s="16">
        <f>DATE(95,2,23)</f>
        <v>34753</v>
      </c>
      <c r="G1051" s="17">
        <f t="shared" ca="1" si="102"/>
        <v>17</v>
      </c>
      <c r="H1051" s="17">
        <f t="shared" ca="1" si="103"/>
        <v>0</v>
      </c>
      <c r="I1051" s="18">
        <f t="shared" ca="1" si="104"/>
        <v>-11</v>
      </c>
      <c r="J1051" s="19">
        <f t="shared" ca="1" si="101"/>
        <v>16</v>
      </c>
      <c r="K1051" s="17" t="s">
        <v>41</v>
      </c>
      <c r="L1051" s="20">
        <v>83</v>
      </c>
      <c r="M1051" s="26" t="s">
        <v>44</v>
      </c>
      <c r="N1051">
        <v>226</v>
      </c>
    </row>
    <row r="1052" spans="1:14">
      <c r="A1052" s="25">
        <f t="shared" si="99"/>
        <v>1049</v>
      </c>
      <c r="B1052" s="67" t="s">
        <v>11</v>
      </c>
      <c r="C1052" s="67" t="s">
        <v>230</v>
      </c>
      <c r="D1052" s="67" t="s">
        <v>198</v>
      </c>
      <c r="E1052" s="22">
        <f t="shared" ca="1" si="100"/>
        <v>40951</v>
      </c>
      <c r="F1052" s="11">
        <f>DATE(29,2,19)</f>
        <v>10643</v>
      </c>
      <c r="G1052" s="12">
        <f t="shared" ca="1" si="102"/>
        <v>83</v>
      </c>
      <c r="H1052" s="12">
        <f t="shared" ca="1" si="103"/>
        <v>0</v>
      </c>
      <c r="I1052" s="13">
        <f t="shared" ca="1" si="104"/>
        <v>-7</v>
      </c>
      <c r="J1052" s="14">
        <f t="shared" ca="1" si="101"/>
        <v>82</v>
      </c>
      <c r="K1052" s="12" t="s">
        <v>40</v>
      </c>
      <c r="L1052" s="15">
        <v>84</v>
      </c>
      <c r="M1052" s="25" t="s">
        <v>40</v>
      </c>
      <c r="N1052">
        <v>227</v>
      </c>
    </row>
    <row r="1053" spans="1:14">
      <c r="A1053" s="25">
        <f t="shared" si="99"/>
        <v>1050</v>
      </c>
      <c r="B1053" s="67" t="s">
        <v>11</v>
      </c>
      <c r="C1053" s="67" t="s">
        <v>762</v>
      </c>
      <c r="D1053" s="67" t="s">
        <v>230</v>
      </c>
      <c r="E1053" s="22">
        <f t="shared" ca="1" si="100"/>
        <v>40951</v>
      </c>
      <c r="F1053" s="11">
        <f>DATE(30,5,15)</f>
        <v>11093</v>
      </c>
      <c r="G1053" s="12">
        <f t="shared" ca="1" si="102"/>
        <v>82</v>
      </c>
      <c r="H1053" s="12">
        <f t="shared" ca="1" si="103"/>
        <v>-3</v>
      </c>
      <c r="I1053" s="13">
        <f t="shared" ca="1" si="104"/>
        <v>-3</v>
      </c>
      <c r="J1053" s="14">
        <f t="shared" ca="1" si="101"/>
        <v>81</v>
      </c>
      <c r="K1053" s="12" t="s">
        <v>41</v>
      </c>
      <c r="L1053" s="15">
        <v>84</v>
      </c>
      <c r="M1053" s="25" t="s">
        <v>40</v>
      </c>
      <c r="N1053">
        <v>227</v>
      </c>
    </row>
    <row r="1054" spans="1:14">
      <c r="A1054" s="25">
        <f t="shared" ref="A1054:A1117" si="105">A1053+1</f>
        <v>1051</v>
      </c>
      <c r="B1054" s="67" t="s">
        <v>11</v>
      </c>
      <c r="C1054" s="67" t="s">
        <v>763</v>
      </c>
      <c r="D1054" s="67" t="s">
        <v>230</v>
      </c>
      <c r="E1054" s="22">
        <f t="shared" ca="1" si="100"/>
        <v>40951</v>
      </c>
      <c r="F1054" s="11">
        <f>DATE(51,8,26)</f>
        <v>18866</v>
      </c>
      <c r="G1054" s="12">
        <f t="shared" ca="1" si="102"/>
        <v>61</v>
      </c>
      <c r="H1054" s="12">
        <f t="shared" ca="1" si="103"/>
        <v>-6</v>
      </c>
      <c r="I1054" s="13">
        <f t="shared" ca="1" si="104"/>
        <v>-14</v>
      </c>
      <c r="J1054" s="14">
        <f t="shared" ca="1" si="101"/>
        <v>60</v>
      </c>
      <c r="K1054" s="12" t="s">
        <v>40</v>
      </c>
      <c r="L1054" s="15">
        <v>84</v>
      </c>
      <c r="M1054" s="25" t="s">
        <v>40</v>
      </c>
      <c r="N1054">
        <v>227</v>
      </c>
    </row>
    <row r="1055" spans="1:14">
      <c r="A1055" s="25">
        <f t="shared" si="105"/>
        <v>1052</v>
      </c>
      <c r="B1055" s="67" t="s">
        <v>11</v>
      </c>
      <c r="C1055" s="67" t="s">
        <v>669</v>
      </c>
      <c r="D1055" s="67" t="s">
        <v>763</v>
      </c>
      <c r="E1055" s="22">
        <f t="shared" ca="1" si="100"/>
        <v>40951</v>
      </c>
      <c r="F1055" s="11">
        <f>DATE(54,11,18)</f>
        <v>20046</v>
      </c>
      <c r="G1055" s="12">
        <f t="shared" ca="1" si="102"/>
        <v>58</v>
      </c>
      <c r="H1055" s="12">
        <f t="shared" ca="1" si="103"/>
        <v>-9</v>
      </c>
      <c r="I1055" s="13">
        <f t="shared" ca="1" si="104"/>
        <v>-6</v>
      </c>
      <c r="J1055" s="14">
        <f t="shared" ca="1" si="101"/>
        <v>57</v>
      </c>
      <c r="K1055" s="12" t="s">
        <v>40</v>
      </c>
      <c r="L1055" s="15">
        <v>84</v>
      </c>
      <c r="M1055" s="25" t="s">
        <v>40</v>
      </c>
      <c r="N1055">
        <v>227</v>
      </c>
    </row>
    <row r="1056" spans="1:14">
      <c r="A1056" s="25">
        <f t="shared" si="105"/>
        <v>1053</v>
      </c>
      <c r="B1056" s="67" t="s">
        <v>11</v>
      </c>
      <c r="C1056" s="67" t="s">
        <v>627</v>
      </c>
      <c r="D1056" s="67" t="s">
        <v>763</v>
      </c>
      <c r="E1056" s="22">
        <f t="shared" ca="1" si="100"/>
        <v>40951</v>
      </c>
      <c r="F1056" s="11">
        <f>DATE(77,2,7)</f>
        <v>28163</v>
      </c>
      <c r="G1056" s="12">
        <f t="shared" ca="1" si="102"/>
        <v>35</v>
      </c>
      <c r="H1056" s="12">
        <f t="shared" ca="1" si="103"/>
        <v>0</v>
      </c>
      <c r="I1056" s="13">
        <f t="shared" ca="1" si="104"/>
        <v>5</v>
      </c>
      <c r="J1056" s="14">
        <f t="shared" ca="1" si="101"/>
        <v>35</v>
      </c>
      <c r="K1056" s="12" t="s">
        <v>40</v>
      </c>
      <c r="L1056" s="15">
        <v>84</v>
      </c>
      <c r="M1056" s="25" t="s">
        <v>40</v>
      </c>
      <c r="N1056">
        <v>227</v>
      </c>
    </row>
    <row r="1057" spans="1:14">
      <c r="A1057" s="25">
        <f t="shared" si="105"/>
        <v>1054</v>
      </c>
      <c r="B1057" s="67" t="s">
        <v>11</v>
      </c>
      <c r="C1057" s="67" t="s">
        <v>764</v>
      </c>
      <c r="D1057" s="67" t="s">
        <v>627</v>
      </c>
      <c r="E1057" s="22">
        <f t="shared" ca="1" si="100"/>
        <v>40951</v>
      </c>
      <c r="F1057" s="11">
        <f>DATE(80,2,14)</f>
        <v>29265</v>
      </c>
      <c r="G1057" s="12">
        <f t="shared" ca="1" si="102"/>
        <v>32</v>
      </c>
      <c r="H1057" s="12">
        <f t="shared" ca="1" si="103"/>
        <v>0</v>
      </c>
      <c r="I1057" s="13">
        <f t="shared" ca="1" si="104"/>
        <v>-2</v>
      </c>
      <c r="J1057" s="14">
        <f t="shared" ca="1" si="101"/>
        <v>31</v>
      </c>
      <c r="K1057" s="12" t="s">
        <v>41</v>
      </c>
      <c r="L1057" s="15">
        <v>84</v>
      </c>
      <c r="M1057" s="25" t="s">
        <v>40</v>
      </c>
      <c r="N1057">
        <v>227</v>
      </c>
    </row>
    <row r="1058" spans="1:14">
      <c r="A1058" s="25">
        <f t="shared" si="105"/>
        <v>1055</v>
      </c>
      <c r="B1058" s="67" t="s">
        <v>11</v>
      </c>
      <c r="C1058" s="67" t="s">
        <v>765</v>
      </c>
      <c r="D1058" s="67" t="s">
        <v>627</v>
      </c>
      <c r="E1058" s="22">
        <f t="shared" ca="1" si="100"/>
        <v>40951</v>
      </c>
      <c r="F1058" s="11">
        <f>DATE(2004,11,18)</f>
        <v>38309</v>
      </c>
      <c r="G1058" s="12">
        <f t="shared" ca="1" si="102"/>
        <v>8</v>
      </c>
      <c r="H1058" s="12">
        <f t="shared" ca="1" si="103"/>
        <v>-9</v>
      </c>
      <c r="I1058" s="13">
        <f t="shared" ca="1" si="104"/>
        <v>-6</v>
      </c>
      <c r="J1058" s="14">
        <f t="shared" ca="1" si="101"/>
        <v>7</v>
      </c>
      <c r="K1058" s="12" t="s">
        <v>40</v>
      </c>
      <c r="L1058" s="15">
        <v>84</v>
      </c>
      <c r="M1058" s="25" t="s">
        <v>44</v>
      </c>
      <c r="N1058">
        <v>227</v>
      </c>
    </row>
    <row r="1059" spans="1:14">
      <c r="A1059" s="25">
        <f t="shared" si="105"/>
        <v>1056</v>
      </c>
      <c r="B1059" s="67" t="s">
        <v>11</v>
      </c>
      <c r="C1059" s="67" t="s">
        <v>284</v>
      </c>
      <c r="D1059" s="67" t="s">
        <v>230</v>
      </c>
      <c r="E1059" s="22">
        <f t="shared" ca="1" si="100"/>
        <v>40951</v>
      </c>
      <c r="F1059" s="11">
        <f>DATE(53,7,18)</f>
        <v>19558</v>
      </c>
      <c r="G1059" s="12">
        <f t="shared" ca="1" si="102"/>
        <v>59</v>
      </c>
      <c r="H1059" s="12">
        <f t="shared" ca="1" si="103"/>
        <v>-5</v>
      </c>
      <c r="I1059" s="13">
        <f t="shared" ca="1" si="104"/>
        <v>-6</v>
      </c>
      <c r="J1059" s="14">
        <f t="shared" ca="1" si="101"/>
        <v>58</v>
      </c>
      <c r="K1059" s="12" t="s">
        <v>40</v>
      </c>
      <c r="L1059" s="15">
        <v>84</v>
      </c>
      <c r="M1059" s="25" t="s">
        <v>40</v>
      </c>
      <c r="N1059">
        <v>227</v>
      </c>
    </row>
    <row r="1060" spans="1:14">
      <c r="A1060" s="25">
        <f t="shared" si="105"/>
        <v>1057</v>
      </c>
      <c r="B1060" s="67" t="s">
        <v>11</v>
      </c>
      <c r="C1060" s="67" t="s">
        <v>150</v>
      </c>
      <c r="D1060" s="67" t="s">
        <v>284</v>
      </c>
      <c r="E1060" s="22">
        <f t="shared" ref="E1060:E1123" ca="1" si="106">TODAY()</f>
        <v>40951</v>
      </c>
      <c r="F1060" s="11">
        <f>DATE(62,8,19)</f>
        <v>22877</v>
      </c>
      <c r="G1060" s="12">
        <f t="shared" ca="1" si="102"/>
        <v>50</v>
      </c>
      <c r="H1060" s="12">
        <f t="shared" ca="1" si="103"/>
        <v>-6</v>
      </c>
      <c r="I1060" s="13">
        <f t="shared" ca="1" si="104"/>
        <v>-7</v>
      </c>
      <c r="J1060" s="14">
        <f t="shared" ca="1" si="101"/>
        <v>49</v>
      </c>
      <c r="K1060" s="12" t="s">
        <v>41</v>
      </c>
      <c r="L1060" s="15">
        <v>84</v>
      </c>
      <c r="M1060" s="25" t="s">
        <v>40</v>
      </c>
      <c r="N1060">
        <v>227</v>
      </c>
    </row>
    <row r="1061" spans="1:14">
      <c r="A1061" s="25">
        <f t="shared" si="105"/>
        <v>1058</v>
      </c>
      <c r="B1061" s="67" t="s">
        <v>11</v>
      </c>
      <c r="C1061" s="67" t="s">
        <v>766</v>
      </c>
      <c r="D1061" s="67" t="s">
        <v>284</v>
      </c>
      <c r="E1061" s="22">
        <f t="shared" ca="1" si="106"/>
        <v>40951</v>
      </c>
      <c r="F1061" s="11">
        <f>DATE(81,12,2)</f>
        <v>29922</v>
      </c>
      <c r="G1061" s="12">
        <f t="shared" ca="1" si="102"/>
        <v>31</v>
      </c>
      <c r="H1061" s="12">
        <f t="shared" ca="1" si="103"/>
        <v>-10</v>
      </c>
      <c r="I1061" s="13">
        <f t="shared" ca="1" si="104"/>
        <v>10</v>
      </c>
      <c r="J1061" s="14">
        <f t="shared" ca="1" si="101"/>
        <v>30</v>
      </c>
      <c r="K1061" s="12" t="s">
        <v>40</v>
      </c>
      <c r="L1061" s="15">
        <v>84</v>
      </c>
      <c r="M1061" s="25" t="s">
        <v>44</v>
      </c>
      <c r="N1061">
        <v>227</v>
      </c>
    </row>
    <row r="1062" spans="1:14">
      <c r="A1062" s="25">
        <f t="shared" si="105"/>
        <v>1059</v>
      </c>
      <c r="B1062" s="67" t="s">
        <v>11</v>
      </c>
      <c r="C1062" s="67" t="s">
        <v>767</v>
      </c>
      <c r="D1062" s="67" t="s">
        <v>230</v>
      </c>
      <c r="E1062" s="22">
        <f t="shared" ca="1" si="106"/>
        <v>40951</v>
      </c>
      <c r="F1062" s="11">
        <f>DATE(55,3,13)</f>
        <v>20161</v>
      </c>
      <c r="G1062" s="12">
        <f t="shared" ca="1" si="102"/>
        <v>57</v>
      </c>
      <c r="H1062" s="12">
        <f t="shared" ca="1" si="103"/>
        <v>-1</v>
      </c>
      <c r="I1062" s="13">
        <f t="shared" ca="1" si="104"/>
        <v>-1</v>
      </c>
      <c r="J1062" s="14">
        <f t="shared" ca="1" si="101"/>
        <v>56</v>
      </c>
      <c r="K1062" s="12" t="s">
        <v>40</v>
      </c>
      <c r="L1062" s="15">
        <v>84</v>
      </c>
      <c r="M1062" s="25" t="s">
        <v>40</v>
      </c>
      <c r="N1062">
        <v>227</v>
      </c>
    </row>
    <row r="1063" spans="1:14">
      <c r="A1063" s="25">
        <f t="shared" si="105"/>
        <v>1060</v>
      </c>
      <c r="B1063" s="67" t="s">
        <v>11</v>
      </c>
      <c r="C1063" s="67" t="s">
        <v>768</v>
      </c>
      <c r="D1063" s="67" t="s">
        <v>767</v>
      </c>
      <c r="E1063" s="22">
        <f t="shared" ca="1" si="106"/>
        <v>40951</v>
      </c>
      <c r="F1063" s="11">
        <f>DATE(62,7,2)</f>
        <v>22829</v>
      </c>
      <c r="G1063" s="12">
        <f t="shared" ca="1" si="102"/>
        <v>50</v>
      </c>
      <c r="H1063" s="12">
        <f t="shared" ca="1" si="103"/>
        <v>-5</v>
      </c>
      <c r="I1063" s="13">
        <f t="shared" ca="1" si="104"/>
        <v>10</v>
      </c>
      <c r="J1063" s="14">
        <f t="shared" ca="1" si="101"/>
        <v>49</v>
      </c>
      <c r="K1063" s="12" t="s">
        <v>41</v>
      </c>
      <c r="L1063" s="15">
        <v>84</v>
      </c>
      <c r="M1063" s="25" t="s">
        <v>40</v>
      </c>
      <c r="N1063">
        <v>227</v>
      </c>
    </row>
    <row r="1064" spans="1:14">
      <c r="A1064" s="25">
        <f t="shared" si="105"/>
        <v>1061</v>
      </c>
      <c r="B1064" s="67" t="s">
        <v>11</v>
      </c>
      <c r="C1064" s="67" t="s">
        <v>769</v>
      </c>
      <c r="D1064" s="67" t="s">
        <v>767</v>
      </c>
      <c r="E1064" s="22">
        <f t="shared" ca="1" si="106"/>
        <v>40951</v>
      </c>
      <c r="F1064" s="11">
        <f>DATE(81,11,25)</f>
        <v>29915</v>
      </c>
      <c r="G1064" s="12">
        <f t="shared" ca="1" si="102"/>
        <v>31</v>
      </c>
      <c r="H1064" s="12">
        <f t="shared" ca="1" si="103"/>
        <v>-9</v>
      </c>
      <c r="I1064" s="13">
        <f t="shared" ca="1" si="104"/>
        <v>-13</v>
      </c>
      <c r="J1064" s="14">
        <f t="shared" ca="1" si="101"/>
        <v>30</v>
      </c>
      <c r="K1064" s="12" t="s">
        <v>40</v>
      </c>
      <c r="L1064" s="15">
        <v>84</v>
      </c>
      <c r="M1064" s="25" t="s">
        <v>40</v>
      </c>
      <c r="N1064">
        <v>227</v>
      </c>
    </row>
    <row r="1065" spans="1:14">
      <c r="A1065" s="25">
        <f t="shared" si="105"/>
        <v>1062</v>
      </c>
      <c r="B1065" s="67" t="s">
        <v>11</v>
      </c>
      <c r="C1065" s="67" t="s">
        <v>770</v>
      </c>
      <c r="D1065" s="67" t="s">
        <v>769</v>
      </c>
      <c r="E1065" s="22">
        <f t="shared" ca="1" si="106"/>
        <v>40951</v>
      </c>
      <c r="F1065" s="11">
        <f>DATE(84,2,17)</f>
        <v>30729</v>
      </c>
      <c r="G1065" s="12">
        <f t="shared" ca="1" si="102"/>
        <v>28</v>
      </c>
      <c r="H1065" s="12">
        <f t="shared" ca="1" si="103"/>
        <v>0</v>
      </c>
      <c r="I1065" s="13">
        <f t="shared" ca="1" si="104"/>
        <v>-5</v>
      </c>
      <c r="J1065" s="14">
        <f t="shared" ca="1" si="101"/>
        <v>27</v>
      </c>
      <c r="K1065" s="12" t="s">
        <v>41</v>
      </c>
      <c r="L1065" s="15">
        <v>84</v>
      </c>
      <c r="M1065" s="25" t="s">
        <v>40</v>
      </c>
      <c r="N1065">
        <v>227</v>
      </c>
    </row>
    <row r="1066" spans="1:14" ht="15.75" thickBot="1">
      <c r="A1066" s="26">
        <f t="shared" si="105"/>
        <v>1063</v>
      </c>
      <c r="B1066" s="67" t="s">
        <v>11</v>
      </c>
      <c r="C1066" s="68" t="s">
        <v>771</v>
      </c>
      <c r="D1066" s="68" t="s">
        <v>767</v>
      </c>
      <c r="E1066" s="23">
        <f t="shared" ca="1" si="106"/>
        <v>40951</v>
      </c>
      <c r="F1066" s="16">
        <f>DATE(87,11,28)</f>
        <v>32109</v>
      </c>
      <c r="G1066" s="17">
        <f t="shared" ca="1" si="102"/>
        <v>25</v>
      </c>
      <c r="H1066" s="17">
        <f t="shared" ca="1" si="103"/>
        <v>-9</v>
      </c>
      <c r="I1066" s="18">
        <f t="shared" ca="1" si="104"/>
        <v>-16</v>
      </c>
      <c r="J1066" s="19">
        <f t="shared" ca="1" si="101"/>
        <v>24</v>
      </c>
      <c r="K1066" s="17" t="s">
        <v>40</v>
      </c>
      <c r="L1066" s="20">
        <v>84</v>
      </c>
      <c r="M1066" s="26" t="s">
        <v>44</v>
      </c>
      <c r="N1066">
        <v>227</v>
      </c>
    </row>
    <row r="1067" spans="1:14">
      <c r="A1067" s="25">
        <f t="shared" si="105"/>
        <v>1064</v>
      </c>
      <c r="B1067" s="67" t="s">
        <v>11</v>
      </c>
      <c r="C1067" s="67" t="s">
        <v>96</v>
      </c>
      <c r="D1067" s="67" t="s">
        <v>358</v>
      </c>
      <c r="E1067" s="22">
        <f t="shared" ca="1" si="106"/>
        <v>40951</v>
      </c>
      <c r="F1067" s="11">
        <f>DATE(63,11,17)</f>
        <v>23332</v>
      </c>
      <c r="G1067" s="12">
        <f t="shared" ca="1" si="102"/>
        <v>49</v>
      </c>
      <c r="H1067" s="12">
        <f t="shared" ca="1" si="103"/>
        <v>-9</v>
      </c>
      <c r="I1067" s="13">
        <f t="shared" ca="1" si="104"/>
        <v>-5</v>
      </c>
      <c r="J1067" s="14">
        <f t="shared" ca="1" si="101"/>
        <v>48</v>
      </c>
      <c r="K1067" s="12" t="s">
        <v>40</v>
      </c>
      <c r="L1067" s="15">
        <v>84</v>
      </c>
      <c r="M1067" s="25" t="s">
        <v>40</v>
      </c>
      <c r="N1067">
        <v>228</v>
      </c>
    </row>
    <row r="1068" spans="1:14">
      <c r="A1068" s="25">
        <f t="shared" si="105"/>
        <v>1065</v>
      </c>
      <c r="B1068" s="67" t="s">
        <v>11</v>
      </c>
      <c r="C1068" s="67" t="s">
        <v>261</v>
      </c>
      <c r="D1068" s="67" t="s">
        <v>96</v>
      </c>
      <c r="E1068" s="22">
        <f t="shared" ca="1" si="106"/>
        <v>40951</v>
      </c>
      <c r="F1068" s="11">
        <f>DATE(64,6,1)</f>
        <v>23529</v>
      </c>
      <c r="G1068" s="12">
        <f t="shared" ca="1" si="102"/>
        <v>48</v>
      </c>
      <c r="H1068" s="12">
        <f t="shared" ca="1" si="103"/>
        <v>-4</v>
      </c>
      <c r="I1068" s="13">
        <f t="shared" ca="1" si="104"/>
        <v>11</v>
      </c>
      <c r="J1068" s="14">
        <f t="shared" ca="1" si="101"/>
        <v>47</v>
      </c>
      <c r="K1068" s="12" t="s">
        <v>41</v>
      </c>
      <c r="L1068" s="15">
        <v>84</v>
      </c>
      <c r="M1068" s="25" t="s">
        <v>40</v>
      </c>
      <c r="N1068">
        <v>228</v>
      </c>
    </row>
    <row r="1069" spans="1:14">
      <c r="A1069" s="25">
        <f t="shared" si="105"/>
        <v>1066</v>
      </c>
      <c r="B1069" s="67" t="s">
        <v>11</v>
      </c>
      <c r="C1069" s="67" t="s">
        <v>540</v>
      </c>
      <c r="D1069" s="67" t="s">
        <v>96</v>
      </c>
      <c r="E1069" s="22">
        <f t="shared" ca="1" si="106"/>
        <v>40951</v>
      </c>
      <c r="F1069" s="11">
        <f>DATE(89,8,20)</f>
        <v>32740</v>
      </c>
      <c r="G1069" s="12">
        <f t="shared" ca="1" si="102"/>
        <v>23</v>
      </c>
      <c r="H1069" s="12">
        <f t="shared" ca="1" si="103"/>
        <v>-6</v>
      </c>
      <c r="I1069" s="13">
        <f t="shared" ca="1" si="104"/>
        <v>-8</v>
      </c>
      <c r="J1069" s="14">
        <f t="shared" ca="1" si="101"/>
        <v>22</v>
      </c>
      <c r="K1069" s="12" t="s">
        <v>40</v>
      </c>
      <c r="L1069" s="15">
        <v>84</v>
      </c>
      <c r="M1069" s="25" t="s">
        <v>44</v>
      </c>
      <c r="N1069">
        <v>228</v>
      </c>
    </row>
    <row r="1070" spans="1:14" ht="15.75" thickBot="1">
      <c r="A1070" s="26">
        <f t="shared" si="105"/>
        <v>1067</v>
      </c>
      <c r="B1070" s="67" t="s">
        <v>11</v>
      </c>
      <c r="C1070" s="68" t="s">
        <v>299</v>
      </c>
      <c r="D1070" s="68" t="s">
        <v>96</v>
      </c>
      <c r="E1070" s="23">
        <f t="shared" ca="1" si="106"/>
        <v>40951</v>
      </c>
      <c r="F1070" s="16">
        <f>DATE(95,6,24)</f>
        <v>34874</v>
      </c>
      <c r="G1070" s="17">
        <f t="shared" ca="1" si="102"/>
        <v>17</v>
      </c>
      <c r="H1070" s="17">
        <f t="shared" ca="1" si="103"/>
        <v>-4</v>
      </c>
      <c r="I1070" s="18">
        <f t="shared" ca="1" si="104"/>
        <v>-12</v>
      </c>
      <c r="J1070" s="19">
        <f t="shared" ca="1" si="101"/>
        <v>16</v>
      </c>
      <c r="K1070" s="17" t="s">
        <v>40</v>
      </c>
      <c r="L1070" s="20">
        <v>84</v>
      </c>
      <c r="M1070" s="26" t="s">
        <v>44</v>
      </c>
      <c r="N1070">
        <v>228</v>
      </c>
    </row>
    <row r="1071" spans="1:14">
      <c r="A1071" s="24">
        <f t="shared" si="105"/>
        <v>1068</v>
      </c>
      <c r="B1071" s="66" t="s">
        <v>11</v>
      </c>
      <c r="C1071" s="66" t="s">
        <v>237</v>
      </c>
      <c r="D1071" s="66" t="s">
        <v>198</v>
      </c>
      <c r="E1071" s="21">
        <f t="shared" ca="1" si="106"/>
        <v>40951</v>
      </c>
      <c r="F1071" s="6">
        <f>DATE(33,3,16)</f>
        <v>12129</v>
      </c>
      <c r="G1071" s="7">
        <f t="shared" ca="1" si="102"/>
        <v>79</v>
      </c>
      <c r="H1071" s="7">
        <f t="shared" ca="1" si="103"/>
        <v>-1</v>
      </c>
      <c r="I1071" s="8">
        <f t="shared" ca="1" si="104"/>
        <v>-4</v>
      </c>
      <c r="J1071" s="9">
        <f t="shared" ca="1" si="101"/>
        <v>78</v>
      </c>
      <c r="K1071" s="7" t="s">
        <v>40</v>
      </c>
      <c r="L1071" s="10">
        <v>85</v>
      </c>
      <c r="M1071" s="24" t="s">
        <v>40</v>
      </c>
      <c r="N1071">
        <v>229</v>
      </c>
    </row>
    <row r="1072" spans="1:14">
      <c r="A1072" s="25">
        <f t="shared" si="105"/>
        <v>1069</v>
      </c>
      <c r="B1072" s="67" t="s">
        <v>11</v>
      </c>
      <c r="C1072" s="67" t="s">
        <v>772</v>
      </c>
      <c r="D1072" s="67" t="s">
        <v>237</v>
      </c>
      <c r="E1072" s="22">
        <f t="shared" ca="1" si="106"/>
        <v>40951</v>
      </c>
      <c r="F1072" s="32"/>
      <c r="G1072" s="12">
        <f t="shared" ca="1" si="102"/>
        <v>112</v>
      </c>
      <c r="H1072" s="12">
        <f t="shared" ca="1" si="103"/>
        <v>1</v>
      </c>
      <c r="I1072" s="13">
        <f t="shared" ca="1" si="104"/>
        <v>12</v>
      </c>
      <c r="J1072" s="14">
        <f t="shared" ca="1" si="101"/>
        <v>112</v>
      </c>
      <c r="K1072" s="12" t="s">
        <v>41</v>
      </c>
      <c r="L1072" s="15">
        <v>85</v>
      </c>
      <c r="M1072" s="25" t="s">
        <v>40</v>
      </c>
      <c r="N1072">
        <v>229</v>
      </c>
    </row>
    <row r="1073" spans="1:14">
      <c r="A1073" s="25">
        <f t="shared" si="105"/>
        <v>1070</v>
      </c>
      <c r="B1073" s="67" t="s">
        <v>11</v>
      </c>
      <c r="C1073" s="67" t="s">
        <v>773</v>
      </c>
      <c r="D1073" s="67" t="s">
        <v>237</v>
      </c>
      <c r="E1073" s="22">
        <f t="shared" ca="1" si="106"/>
        <v>40951</v>
      </c>
      <c r="F1073" s="11">
        <f>DATE(57,11,30)</f>
        <v>21154</v>
      </c>
      <c r="G1073" s="12">
        <f t="shared" ca="1" si="102"/>
        <v>55</v>
      </c>
      <c r="H1073" s="12">
        <f t="shared" ca="1" si="103"/>
        <v>-9</v>
      </c>
      <c r="I1073" s="13">
        <f t="shared" ca="1" si="104"/>
        <v>-18</v>
      </c>
      <c r="J1073" s="14">
        <f t="shared" ca="1" si="101"/>
        <v>54</v>
      </c>
      <c r="K1073" s="12" t="s">
        <v>40</v>
      </c>
      <c r="L1073" s="15">
        <v>85</v>
      </c>
      <c r="M1073" s="25" t="s">
        <v>40</v>
      </c>
      <c r="N1073">
        <v>229</v>
      </c>
    </row>
    <row r="1074" spans="1:14">
      <c r="A1074" s="25">
        <f t="shared" si="105"/>
        <v>1071</v>
      </c>
      <c r="B1074" s="67" t="s">
        <v>11</v>
      </c>
      <c r="C1074" s="67" t="s">
        <v>662</v>
      </c>
      <c r="D1074" s="67" t="s">
        <v>773</v>
      </c>
      <c r="E1074" s="22">
        <f t="shared" ca="1" si="106"/>
        <v>40951</v>
      </c>
      <c r="F1074" s="11">
        <f>DATE(67,8,17)</f>
        <v>24701</v>
      </c>
      <c r="G1074" s="12">
        <f t="shared" ca="1" si="102"/>
        <v>45</v>
      </c>
      <c r="H1074" s="12">
        <f t="shared" ca="1" si="103"/>
        <v>-6</v>
      </c>
      <c r="I1074" s="13">
        <f t="shared" ca="1" si="104"/>
        <v>-5</v>
      </c>
      <c r="J1074" s="14">
        <f t="shared" ca="1" si="101"/>
        <v>44</v>
      </c>
      <c r="K1074" s="12" t="s">
        <v>41</v>
      </c>
      <c r="L1074" s="15">
        <v>85</v>
      </c>
      <c r="M1074" s="25" t="s">
        <v>40</v>
      </c>
      <c r="N1074">
        <v>229</v>
      </c>
    </row>
    <row r="1075" spans="1:14">
      <c r="A1075" s="25">
        <f t="shared" si="105"/>
        <v>1072</v>
      </c>
      <c r="B1075" s="67" t="s">
        <v>11</v>
      </c>
      <c r="C1075" s="67" t="s">
        <v>774</v>
      </c>
      <c r="D1075" s="67" t="s">
        <v>773</v>
      </c>
      <c r="E1075" s="22">
        <f t="shared" ca="1" si="106"/>
        <v>40951</v>
      </c>
      <c r="F1075" s="11">
        <f>DATE(88,3,1)</f>
        <v>32203</v>
      </c>
      <c r="G1075" s="12">
        <f t="shared" ca="1" si="102"/>
        <v>24</v>
      </c>
      <c r="H1075" s="12">
        <f t="shared" ca="1" si="103"/>
        <v>-1</v>
      </c>
      <c r="I1075" s="13">
        <f t="shared" ca="1" si="104"/>
        <v>11</v>
      </c>
      <c r="J1075" s="14">
        <f t="shared" ca="1" si="101"/>
        <v>23</v>
      </c>
      <c r="K1075" s="12" t="s">
        <v>41</v>
      </c>
      <c r="L1075" s="15">
        <v>85</v>
      </c>
      <c r="M1075" s="25" t="s">
        <v>44</v>
      </c>
      <c r="N1075">
        <v>229</v>
      </c>
    </row>
    <row r="1076" spans="1:14" ht="15.75" thickBot="1">
      <c r="A1076" s="26">
        <f t="shared" si="105"/>
        <v>1073</v>
      </c>
      <c r="B1076" s="67" t="s">
        <v>11</v>
      </c>
      <c r="C1076" s="68" t="s">
        <v>775</v>
      </c>
      <c r="D1076" s="68" t="s">
        <v>773</v>
      </c>
      <c r="E1076" s="23">
        <f t="shared" ca="1" si="106"/>
        <v>40951</v>
      </c>
      <c r="F1076" s="16">
        <f>DATE(89,12,16)</f>
        <v>32858</v>
      </c>
      <c r="G1076" s="17">
        <f t="shared" ca="1" si="102"/>
        <v>23</v>
      </c>
      <c r="H1076" s="17">
        <f t="shared" ca="1" si="103"/>
        <v>-10</v>
      </c>
      <c r="I1076" s="18">
        <f t="shared" ca="1" si="104"/>
        <v>-4</v>
      </c>
      <c r="J1076" s="19">
        <f t="shared" ca="1" si="101"/>
        <v>22</v>
      </c>
      <c r="K1076" s="17" t="s">
        <v>41</v>
      </c>
      <c r="L1076" s="20">
        <v>85</v>
      </c>
      <c r="M1076" s="26" t="s">
        <v>44</v>
      </c>
      <c r="N1076">
        <v>229</v>
      </c>
    </row>
    <row r="1077" spans="1:14">
      <c r="A1077" s="24">
        <f t="shared" si="105"/>
        <v>1074</v>
      </c>
      <c r="B1077" s="66" t="s">
        <v>11</v>
      </c>
      <c r="C1077" s="66" t="s">
        <v>648</v>
      </c>
      <c r="D1077" s="66" t="s">
        <v>682</v>
      </c>
      <c r="E1077" s="21">
        <f t="shared" ca="1" si="106"/>
        <v>40951</v>
      </c>
      <c r="F1077" s="6">
        <f>DATE(49,9,6)</f>
        <v>18147</v>
      </c>
      <c r="G1077" s="7">
        <f t="shared" ca="1" si="102"/>
        <v>63</v>
      </c>
      <c r="H1077" s="7">
        <f t="shared" ca="1" si="103"/>
        <v>-7</v>
      </c>
      <c r="I1077" s="8">
        <f t="shared" ca="1" si="104"/>
        <v>6</v>
      </c>
      <c r="J1077" s="9">
        <f t="shared" ca="1" si="101"/>
        <v>62</v>
      </c>
      <c r="K1077" s="7" t="s">
        <v>40</v>
      </c>
      <c r="L1077" s="10">
        <v>85</v>
      </c>
      <c r="M1077" s="24" t="s">
        <v>40</v>
      </c>
      <c r="N1077">
        <v>230</v>
      </c>
    </row>
    <row r="1078" spans="1:14">
      <c r="A1078" s="25">
        <f t="shared" si="105"/>
        <v>1075</v>
      </c>
      <c r="B1078" s="67" t="s">
        <v>11</v>
      </c>
      <c r="C1078" s="67" t="s">
        <v>626</v>
      </c>
      <c r="D1078" s="67" t="s">
        <v>648</v>
      </c>
      <c r="E1078" s="22">
        <f t="shared" ca="1" si="106"/>
        <v>40951</v>
      </c>
      <c r="F1078" s="11">
        <f>DATE(49,8,1)</f>
        <v>18111</v>
      </c>
      <c r="G1078" s="12">
        <f t="shared" ca="1" si="102"/>
        <v>63</v>
      </c>
      <c r="H1078" s="12">
        <f t="shared" ca="1" si="103"/>
        <v>-6</v>
      </c>
      <c r="I1078" s="13">
        <f t="shared" ca="1" si="104"/>
        <v>11</v>
      </c>
      <c r="J1078" s="14">
        <f t="shared" ca="1" si="101"/>
        <v>62</v>
      </c>
      <c r="K1078" s="12" t="s">
        <v>41</v>
      </c>
      <c r="L1078" s="15">
        <v>85</v>
      </c>
      <c r="M1078" s="25" t="s">
        <v>40</v>
      </c>
      <c r="N1078">
        <v>230</v>
      </c>
    </row>
    <row r="1079" spans="1:14">
      <c r="A1079" s="25">
        <f t="shared" si="105"/>
        <v>1076</v>
      </c>
      <c r="B1079" s="67" t="s">
        <v>11</v>
      </c>
      <c r="C1079" s="67" t="s">
        <v>452</v>
      </c>
      <c r="D1079" s="67" t="s">
        <v>648</v>
      </c>
      <c r="E1079" s="22">
        <f t="shared" ca="1" si="106"/>
        <v>40951</v>
      </c>
      <c r="F1079" s="11">
        <f>DATE(77,3,26)</f>
        <v>28210</v>
      </c>
      <c r="G1079" s="12">
        <f t="shared" ca="1" si="102"/>
        <v>35</v>
      </c>
      <c r="H1079" s="12">
        <f t="shared" ca="1" si="103"/>
        <v>-1</v>
      </c>
      <c r="I1079" s="13">
        <f t="shared" ca="1" si="104"/>
        <v>-14</v>
      </c>
      <c r="J1079" s="14">
        <f t="shared" ca="1" si="101"/>
        <v>34</v>
      </c>
      <c r="K1079" s="12" t="s">
        <v>40</v>
      </c>
      <c r="L1079" s="15">
        <v>85</v>
      </c>
      <c r="M1079" s="25" t="s">
        <v>40</v>
      </c>
      <c r="N1079">
        <v>230</v>
      </c>
    </row>
    <row r="1080" spans="1:14">
      <c r="A1080" s="25">
        <f t="shared" si="105"/>
        <v>1077</v>
      </c>
      <c r="B1080" s="67" t="s">
        <v>11</v>
      </c>
      <c r="C1080" s="67" t="s">
        <v>555</v>
      </c>
      <c r="D1080" s="67" t="s">
        <v>452</v>
      </c>
      <c r="E1080" s="22">
        <f t="shared" ca="1" si="106"/>
        <v>40951</v>
      </c>
      <c r="F1080" s="11">
        <f>DATE(80,3,13)</f>
        <v>29293</v>
      </c>
      <c r="G1080" s="12">
        <f t="shared" ca="1" si="102"/>
        <v>32</v>
      </c>
      <c r="H1080" s="12">
        <f t="shared" ca="1" si="103"/>
        <v>-1</v>
      </c>
      <c r="I1080" s="13">
        <f t="shared" ca="1" si="104"/>
        <v>-1</v>
      </c>
      <c r="J1080" s="14">
        <f t="shared" ca="1" si="101"/>
        <v>31</v>
      </c>
      <c r="K1080" s="12" t="s">
        <v>41</v>
      </c>
      <c r="L1080" s="15">
        <v>85</v>
      </c>
      <c r="M1080" s="25" t="s">
        <v>40</v>
      </c>
      <c r="N1080">
        <v>230</v>
      </c>
    </row>
    <row r="1081" spans="1:14">
      <c r="A1081" s="25">
        <f t="shared" si="105"/>
        <v>1078</v>
      </c>
      <c r="B1081" s="67" t="s">
        <v>11</v>
      </c>
      <c r="C1081" s="67" t="s">
        <v>776</v>
      </c>
      <c r="D1081" s="67" t="s">
        <v>452</v>
      </c>
      <c r="E1081" s="22">
        <f t="shared" ca="1" si="106"/>
        <v>40951</v>
      </c>
      <c r="F1081" s="11">
        <f>DATE(2003,3,3)</f>
        <v>37683</v>
      </c>
      <c r="G1081" s="12">
        <f t="shared" ca="1" si="102"/>
        <v>9</v>
      </c>
      <c r="H1081" s="12">
        <f t="shared" ca="1" si="103"/>
        <v>-1</v>
      </c>
      <c r="I1081" s="13">
        <f t="shared" ca="1" si="104"/>
        <v>9</v>
      </c>
      <c r="J1081" s="14">
        <f t="shared" ca="1" si="101"/>
        <v>8</v>
      </c>
      <c r="K1081" s="12" t="s">
        <v>41</v>
      </c>
      <c r="L1081" s="15">
        <v>85</v>
      </c>
      <c r="M1081" s="25" t="s">
        <v>44</v>
      </c>
      <c r="N1081">
        <v>230</v>
      </c>
    </row>
    <row r="1082" spans="1:14">
      <c r="A1082" s="25">
        <f t="shared" si="105"/>
        <v>1079</v>
      </c>
      <c r="B1082" s="67" t="s">
        <v>11</v>
      </c>
      <c r="C1082" s="67" t="s">
        <v>777</v>
      </c>
      <c r="D1082" s="67" t="s">
        <v>452</v>
      </c>
      <c r="E1082" s="22">
        <f t="shared" ca="1" si="106"/>
        <v>40951</v>
      </c>
      <c r="F1082" s="11">
        <f>DATE(2005,6,14)</f>
        <v>38517</v>
      </c>
      <c r="G1082" s="12">
        <f t="shared" ca="1" si="102"/>
        <v>7</v>
      </c>
      <c r="H1082" s="12">
        <f t="shared" ca="1" si="103"/>
        <v>-4</v>
      </c>
      <c r="I1082" s="13">
        <f t="shared" ca="1" si="104"/>
        <v>-2</v>
      </c>
      <c r="J1082" s="14">
        <f t="shared" ca="1" si="101"/>
        <v>6</v>
      </c>
      <c r="K1082" s="12" t="s">
        <v>40</v>
      </c>
      <c r="L1082" s="15">
        <v>85</v>
      </c>
      <c r="M1082" s="25" t="s">
        <v>44</v>
      </c>
      <c r="N1082">
        <v>230</v>
      </c>
    </row>
    <row r="1083" spans="1:14" ht="15.75" thickBot="1">
      <c r="A1083" s="26">
        <f t="shared" si="105"/>
        <v>1080</v>
      </c>
      <c r="B1083" s="67" t="s">
        <v>11</v>
      </c>
      <c r="C1083" s="68" t="s">
        <v>84</v>
      </c>
      <c r="D1083" s="68" t="s">
        <v>452</v>
      </c>
      <c r="E1083" s="23">
        <f t="shared" ca="1" si="106"/>
        <v>40951</v>
      </c>
      <c r="F1083" s="16">
        <f>DATE(81,9,7)</f>
        <v>29836</v>
      </c>
      <c r="G1083" s="17">
        <f t="shared" ca="1" si="102"/>
        <v>31</v>
      </c>
      <c r="H1083" s="17">
        <f t="shared" ca="1" si="103"/>
        <v>-7</v>
      </c>
      <c r="I1083" s="18">
        <f t="shared" ca="1" si="104"/>
        <v>5</v>
      </c>
      <c r="J1083" s="19">
        <f t="shared" ca="1" si="101"/>
        <v>30</v>
      </c>
      <c r="K1083" s="17" t="s">
        <v>41</v>
      </c>
      <c r="L1083" s="20">
        <v>85</v>
      </c>
      <c r="M1083" s="26" t="s">
        <v>44</v>
      </c>
      <c r="N1083">
        <v>230</v>
      </c>
    </row>
    <row r="1084" spans="1:14">
      <c r="A1084" s="25">
        <f t="shared" si="105"/>
        <v>1081</v>
      </c>
      <c r="B1084" s="67" t="s">
        <v>11</v>
      </c>
      <c r="C1084" s="67" t="s">
        <v>648</v>
      </c>
      <c r="D1084" s="67" t="s">
        <v>778</v>
      </c>
      <c r="E1084" s="22">
        <f t="shared" ca="1" si="106"/>
        <v>40951</v>
      </c>
      <c r="F1084" s="11">
        <f>DATE(48,2,13)</f>
        <v>17576</v>
      </c>
      <c r="G1084" s="12">
        <f t="shared" ca="1" si="102"/>
        <v>64</v>
      </c>
      <c r="H1084" s="12">
        <f t="shared" ca="1" si="103"/>
        <v>0</v>
      </c>
      <c r="I1084" s="13">
        <f t="shared" ca="1" si="104"/>
        <v>-1</v>
      </c>
      <c r="J1084" s="14">
        <f t="shared" ca="1" si="101"/>
        <v>63</v>
      </c>
      <c r="K1084" s="12" t="s">
        <v>40</v>
      </c>
      <c r="L1084" s="15">
        <v>85</v>
      </c>
      <c r="M1084" s="25" t="s">
        <v>40</v>
      </c>
      <c r="N1084">
        <v>231</v>
      </c>
    </row>
    <row r="1085" spans="1:14">
      <c r="A1085" s="25">
        <f t="shared" si="105"/>
        <v>1082</v>
      </c>
      <c r="B1085" s="67" t="s">
        <v>11</v>
      </c>
      <c r="C1085" s="67" t="s">
        <v>779</v>
      </c>
      <c r="D1085" s="67" t="s">
        <v>648</v>
      </c>
      <c r="E1085" s="22">
        <f t="shared" ca="1" si="106"/>
        <v>40951</v>
      </c>
      <c r="F1085" s="11">
        <f>DATE(53,3,6)</f>
        <v>19424</v>
      </c>
      <c r="G1085" s="12">
        <f t="shared" ca="1" si="102"/>
        <v>59</v>
      </c>
      <c r="H1085" s="12">
        <f t="shared" ca="1" si="103"/>
        <v>-1</v>
      </c>
      <c r="I1085" s="13">
        <f t="shared" ca="1" si="104"/>
        <v>6</v>
      </c>
      <c r="J1085" s="14">
        <f t="shared" ca="1" si="101"/>
        <v>58</v>
      </c>
      <c r="K1085" s="12" t="s">
        <v>41</v>
      </c>
      <c r="L1085" s="15">
        <v>85</v>
      </c>
      <c r="M1085" s="25" t="s">
        <v>40</v>
      </c>
      <c r="N1085">
        <v>231</v>
      </c>
    </row>
    <row r="1086" spans="1:14">
      <c r="A1086" s="25">
        <f t="shared" si="105"/>
        <v>1083</v>
      </c>
      <c r="B1086" s="67" t="s">
        <v>11</v>
      </c>
      <c r="C1086" s="67" t="s">
        <v>780</v>
      </c>
      <c r="D1086" s="67" t="s">
        <v>648</v>
      </c>
      <c r="E1086" s="22">
        <f t="shared" ca="1" si="106"/>
        <v>40951</v>
      </c>
      <c r="F1086" s="11">
        <f>DATE(83,11,9)</f>
        <v>30629</v>
      </c>
      <c r="G1086" s="12">
        <f t="shared" ca="1" si="102"/>
        <v>29</v>
      </c>
      <c r="H1086" s="12">
        <f t="shared" ca="1" si="103"/>
        <v>-9</v>
      </c>
      <c r="I1086" s="13">
        <f t="shared" ca="1" si="104"/>
        <v>3</v>
      </c>
      <c r="J1086" s="14">
        <f t="shared" ca="1" si="101"/>
        <v>28</v>
      </c>
      <c r="K1086" s="12" t="s">
        <v>41</v>
      </c>
      <c r="L1086" s="15">
        <v>85</v>
      </c>
      <c r="M1086" s="25" t="s">
        <v>44</v>
      </c>
      <c r="N1086">
        <v>231</v>
      </c>
    </row>
    <row r="1087" spans="1:14" ht="15.75" thickBot="1">
      <c r="A1087" s="26">
        <f t="shared" si="105"/>
        <v>1084</v>
      </c>
      <c r="B1087" s="67" t="s">
        <v>11</v>
      </c>
      <c r="C1087" s="68" t="s">
        <v>781</v>
      </c>
      <c r="D1087" s="68" t="s">
        <v>778</v>
      </c>
      <c r="E1087" s="23">
        <f t="shared" ca="1" si="106"/>
        <v>40951</v>
      </c>
      <c r="F1087" s="16">
        <f>DATE(44,1,14)</f>
        <v>16085</v>
      </c>
      <c r="G1087" s="17">
        <f t="shared" ca="1" si="102"/>
        <v>68</v>
      </c>
      <c r="H1087" s="17">
        <f t="shared" ca="1" si="103"/>
        <v>1</v>
      </c>
      <c r="I1087" s="18">
        <f t="shared" ca="1" si="104"/>
        <v>-2</v>
      </c>
      <c r="J1087" s="19">
        <f t="shared" ca="1" si="101"/>
        <v>68</v>
      </c>
      <c r="K1087" s="17" t="s">
        <v>41</v>
      </c>
      <c r="L1087" s="20">
        <v>85</v>
      </c>
      <c r="M1087" s="26" t="s">
        <v>44</v>
      </c>
      <c r="N1087">
        <v>231</v>
      </c>
    </row>
    <row r="1088" spans="1:14">
      <c r="A1088" s="25">
        <f t="shared" si="105"/>
        <v>1085</v>
      </c>
      <c r="B1088" s="67" t="s">
        <v>11</v>
      </c>
      <c r="C1088" s="67" t="s">
        <v>399</v>
      </c>
      <c r="D1088" s="67" t="s">
        <v>606</v>
      </c>
      <c r="E1088" s="22">
        <f t="shared" ca="1" si="106"/>
        <v>40951</v>
      </c>
      <c r="F1088" s="11">
        <f>DATE(45,9,21)</f>
        <v>16701</v>
      </c>
      <c r="G1088" s="12">
        <f t="shared" ca="1" si="102"/>
        <v>67</v>
      </c>
      <c r="H1088" s="12">
        <f t="shared" ca="1" si="103"/>
        <v>-7</v>
      </c>
      <c r="I1088" s="13">
        <f t="shared" ca="1" si="104"/>
        <v>-9</v>
      </c>
      <c r="J1088" s="14">
        <f t="shared" ca="1" si="101"/>
        <v>66</v>
      </c>
      <c r="K1088" s="12" t="s">
        <v>40</v>
      </c>
      <c r="L1088" s="15">
        <v>86</v>
      </c>
      <c r="M1088" s="25" t="s">
        <v>40</v>
      </c>
      <c r="N1088">
        <v>232</v>
      </c>
    </row>
    <row r="1089" spans="1:14">
      <c r="A1089" s="25">
        <f t="shared" si="105"/>
        <v>1086</v>
      </c>
      <c r="B1089" s="67" t="s">
        <v>11</v>
      </c>
      <c r="C1089" s="67" t="s">
        <v>782</v>
      </c>
      <c r="D1089" s="67" t="s">
        <v>399</v>
      </c>
      <c r="E1089" s="22">
        <f t="shared" ca="1" si="106"/>
        <v>40951</v>
      </c>
      <c r="F1089" s="11">
        <f>DATE(54,4,25)</f>
        <v>19839</v>
      </c>
      <c r="G1089" s="12">
        <f t="shared" ca="1" si="102"/>
        <v>58</v>
      </c>
      <c r="H1089" s="12">
        <f t="shared" ca="1" si="103"/>
        <v>-2</v>
      </c>
      <c r="I1089" s="13">
        <f t="shared" ca="1" si="104"/>
        <v>-13</v>
      </c>
      <c r="J1089" s="14">
        <f t="shared" ca="1" si="101"/>
        <v>57</v>
      </c>
      <c r="K1089" s="12" t="s">
        <v>41</v>
      </c>
      <c r="L1089" s="15">
        <v>86</v>
      </c>
      <c r="M1089" s="25" t="s">
        <v>40</v>
      </c>
      <c r="N1089">
        <v>232</v>
      </c>
    </row>
    <row r="1090" spans="1:14">
      <c r="A1090" s="25">
        <f t="shared" si="105"/>
        <v>1087</v>
      </c>
      <c r="B1090" s="67" t="s">
        <v>11</v>
      </c>
      <c r="C1090" s="67" t="s">
        <v>784</v>
      </c>
      <c r="D1090" s="67" t="s">
        <v>399</v>
      </c>
      <c r="E1090" s="22">
        <f t="shared" ca="1" si="106"/>
        <v>40951</v>
      </c>
      <c r="F1090" s="11">
        <f>DATE(76,5,24)</f>
        <v>27904</v>
      </c>
      <c r="G1090" s="12">
        <f t="shared" ca="1" si="102"/>
        <v>36</v>
      </c>
      <c r="H1090" s="12">
        <f t="shared" ca="1" si="103"/>
        <v>-3</v>
      </c>
      <c r="I1090" s="13">
        <f t="shared" ca="1" si="104"/>
        <v>-12</v>
      </c>
      <c r="J1090" s="14">
        <f t="shared" ca="1" si="101"/>
        <v>35</v>
      </c>
      <c r="K1090" s="12" t="s">
        <v>40</v>
      </c>
      <c r="L1090" s="15">
        <v>86</v>
      </c>
      <c r="M1090" s="25" t="s">
        <v>40</v>
      </c>
      <c r="N1090">
        <v>232</v>
      </c>
    </row>
    <row r="1091" spans="1:14">
      <c r="A1091" s="25">
        <f t="shared" si="105"/>
        <v>1088</v>
      </c>
      <c r="B1091" s="67" t="s">
        <v>11</v>
      </c>
      <c r="C1091" s="67" t="s">
        <v>288</v>
      </c>
      <c r="D1091" s="67" t="s">
        <v>784</v>
      </c>
      <c r="E1091" s="22">
        <f t="shared" ca="1" si="106"/>
        <v>40951</v>
      </c>
      <c r="F1091" s="11">
        <f>DATE(79,6,23)</f>
        <v>29029</v>
      </c>
      <c r="G1091" s="12">
        <f t="shared" ca="1" si="102"/>
        <v>33</v>
      </c>
      <c r="H1091" s="12">
        <f t="shared" ca="1" si="103"/>
        <v>-4</v>
      </c>
      <c r="I1091" s="13">
        <f t="shared" ca="1" si="104"/>
        <v>-11</v>
      </c>
      <c r="J1091" s="14">
        <f t="shared" ca="1" si="101"/>
        <v>32</v>
      </c>
      <c r="K1091" s="12" t="s">
        <v>41</v>
      </c>
      <c r="L1091" s="15">
        <v>86</v>
      </c>
      <c r="M1091" s="25" t="s">
        <v>40</v>
      </c>
      <c r="N1091">
        <v>232</v>
      </c>
    </row>
    <row r="1092" spans="1:14" ht="15.75" thickBot="1">
      <c r="A1092" s="26">
        <f t="shared" si="105"/>
        <v>1089</v>
      </c>
      <c r="B1092" s="67" t="s">
        <v>11</v>
      </c>
      <c r="C1092" s="68" t="s">
        <v>783</v>
      </c>
      <c r="D1092" s="68" t="s">
        <v>784</v>
      </c>
      <c r="E1092" s="23">
        <f t="shared" ca="1" si="106"/>
        <v>40951</v>
      </c>
      <c r="F1092" s="16">
        <f>DATE(2003,4,19)</f>
        <v>37730</v>
      </c>
      <c r="G1092" s="17">
        <f t="shared" ca="1" si="102"/>
        <v>9</v>
      </c>
      <c r="H1092" s="17">
        <f t="shared" ca="1" si="103"/>
        <v>-2</v>
      </c>
      <c r="I1092" s="18">
        <f t="shared" ca="1" si="104"/>
        <v>-7</v>
      </c>
      <c r="J1092" s="19">
        <f t="shared" ref="J1092:J1155" ca="1" si="107">IF(H1092&lt;0,G1092-1,IF(H1092&gt;0,G1092,IF(I1092&lt;0,G1092-1,G1092)))</f>
        <v>8</v>
      </c>
      <c r="K1092" s="17" t="s">
        <v>41</v>
      </c>
      <c r="L1092" s="20">
        <v>86</v>
      </c>
      <c r="M1092" s="26" t="s">
        <v>44</v>
      </c>
      <c r="N1092">
        <v>232</v>
      </c>
    </row>
    <row r="1093" spans="1:14">
      <c r="A1093" s="24">
        <f t="shared" si="105"/>
        <v>1090</v>
      </c>
      <c r="B1093" s="66" t="s">
        <v>11</v>
      </c>
      <c r="C1093" s="66" t="s">
        <v>634</v>
      </c>
      <c r="D1093" s="66" t="s">
        <v>528</v>
      </c>
      <c r="E1093" s="21">
        <f t="shared" ca="1" si="106"/>
        <v>40951</v>
      </c>
      <c r="F1093" s="45"/>
      <c r="G1093" s="7">
        <f t="shared" ca="1" si="102"/>
        <v>112</v>
      </c>
      <c r="H1093" s="7">
        <f t="shared" ca="1" si="103"/>
        <v>1</v>
      </c>
      <c r="I1093" s="8">
        <f t="shared" ca="1" si="104"/>
        <v>12</v>
      </c>
      <c r="J1093" s="9">
        <f t="shared" ca="1" si="107"/>
        <v>112</v>
      </c>
      <c r="K1093" s="7" t="s">
        <v>41</v>
      </c>
      <c r="L1093" s="10">
        <v>86</v>
      </c>
      <c r="M1093" s="24" t="s">
        <v>40</v>
      </c>
      <c r="N1093">
        <v>233</v>
      </c>
    </row>
    <row r="1094" spans="1:14">
      <c r="A1094" s="25">
        <f t="shared" si="105"/>
        <v>1091</v>
      </c>
      <c r="B1094" s="67" t="s">
        <v>11</v>
      </c>
      <c r="C1094" s="67" t="s">
        <v>96</v>
      </c>
      <c r="D1094" s="67" t="s">
        <v>528</v>
      </c>
      <c r="E1094" s="22">
        <f t="shared" ca="1" si="106"/>
        <v>40951</v>
      </c>
      <c r="F1094" s="11">
        <f>DATE(66,9,1)</f>
        <v>24351</v>
      </c>
      <c r="G1094" s="12">
        <f t="shared" ca="1" si="102"/>
        <v>46</v>
      </c>
      <c r="H1094" s="12">
        <f t="shared" ca="1" si="103"/>
        <v>-7</v>
      </c>
      <c r="I1094" s="13">
        <f t="shared" ca="1" si="104"/>
        <v>11</v>
      </c>
      <c r="J1094" s="14">
        <f t="shared" ca="1" si="107"/>
        <v>45</v>
      </c>
      <c r="K1094" s="12" t="s">
        <v>40</v>
      </c>
      <c r="L1094" s="15">
        <v>86</v>
      </c>
      <c r="M1094" s="25" t="s">
        <v>40</v>
      </c>
      <c r="N1094">
        <v>233</v>
      </c>
    </row>
    <row r="1095" spans="1:14">
      <c r="A1095" s="25">
        <f t="shared" si="105"/>
        <v>1092</v>
      </c>
      <c r="B1095" s="67" t="s">
        <v>11</v>
      </c>
      <c r="C1095" s="67" t="s">
        <v>319</v>
      </c>
      <c r="D1095" s="67" t="s">
        <v>96</v>
      </c>
      <c r="E1095" s="22">
        <f t="shared" ca="1" si="106"/>
        <v>40951</v>
      </c>
      <c r="F1095" s="11">
        <f>DATE(68,10,29)</f>
        <v>25140</v>
      </c>
      <c r="G1095" s="12">
        <f t="shared" ca="1" si="102"/>
        <v>44</v>
      </c>
      <c r="H1095" s="12">
        <f t="shared" ca="1" si="103"/>
        <v>-8</v>
      </c>
      <c r="I1095" s="13">
        <f t="shared" ca="1" si="104"/>
        <v>-17</v>
      </c>
      <c r="J1095" s="14">
        <f t="shared" ca="1" si="107"/>
        <v>43</v>
      </c>
      <c r="K1095" s="12" t="s">
        <v>40</v>
      </c>
      <c r="L1095" s="15">
        <v>86</v>
      </c>
      <c r="M1095" s="25" t="s">
        <v>40</v>
      </c>
      <c r="N1095">
        <v>233</v>
      </c>
    </row>
    <row r="1096" spans="1:14">
      <c r="A1096" s="25">
        <f t="shared" si="105"/>
        <v>1093</v>
      </c>
      <c r="B1096" s="67" t="s">
        <v>11</v>
      </c>
      <c r="C1096" s="67" t="s">
        <v>785</v>
      </c>
      <c r="D1096" s="67" t="s">
        <v>96</v>
      </c>
      <c r="E1096" s="22">
        <f t="shared" ca="1" si="106"/>
        <v>40951</v>
      </c>
      <c r="F1096" s="11">
        <f>DATE(92,10,10)</f>
        <v>33887</v>
      </c>
      <c r="G1096" s="12">
        <f t="shared" ca="1" si="102"/>
        <v>20</v>
      </c>
      <c r="H1096" s="12">
        <f t="shared" ca="1" si="103"/>
        <v>-8</v>
      </c>
      <c r="I1096" s="13">
        <f t="shared" ca="1" si="104"/>
        <v>2</v>
      </c>
      <c r="J1096" s="14">
        <f t="shared" ca="1" si="107"/>
        <v>19</v>
      </c>
      <c r="K1096" s="12" t="s">
        <v>40</v>
      </c>
      <c r="L1096" s="15">
        <v>86</v>
      </c>
      <c r="M1096" s="25" t="s">
        <v>44</v>
      </c>
      <c r="N1096">
        <v>233</v>
      </c>
    </row>
    <row r="1097" spans="1:14">
      <c r="A1097" s="25">
        <f t="shared" si="105"/>
        <v>1094</v>
      </c>
      <c r="B1097" s="67" t="s">
        <v>11</v>
      </c>
      <c r="C1097" s="67" t="s">
        <v>571</v>
      </c>
      <c r="D1097" s="67" t="s">
        <v>96</v>
      </c>
      <c r="E1097" s="22">
        <f t="shared" ca="1" si="106"/>
        <v>40951</v>
      </c>
      <c r="F1097" s="11">
        <f>DATE(97,5,23)</f>
        <v>35573</v>
      </c>
      <c r="G1097" s="12">
        <f t="shared" ca="1" si="102"/>
        <v>15</v>
      </c>
      <c r="H1097" s="12">
        <f t="shared" ca="1" si="103"/>
        <v>-3</v>
      </c>
      <c r="I1097" s="13">
        <f t="shared" ca="1" si="104"/>
        <v>-11</v>
      </c>
      <c r="J1097" s="14">
        <f t="shared" ca="1" si="107"/>
        <v>14</v>
      </c>
      <c r="K1097" s="12" t="s">
        <v>40</v>
      </c>
      <c r="L1097" s="15">
        <v>86</v>
      </c>
      <c r="M1097" s="25" t="s">
        <v>44</v>
      </c>
      <c r="N1097">
        <v>233</v>
      </c>
    </row>
    <row r="1098" spans="1:14">
      <c r="A1098" s="25">
        <f t="shared" si="105"/>
        <v>1095</v>
      </c>
      <c r="B1098" s="67" t="s">
        <v>11</v>
      </c>
      <c r="C1098" s="67" t="s">
        <v>588</v>
      </c>
      <c r="D1098" s="67" t="s">
        <v>528</v>
      </c>
      <c r="E1098" s="22">
        <f t="shared" ca="1" si="106"/>
        <v>40951</v>
      </c>
      <c r="F1098" s="11">
        <f>DATE(63,4,24)</f>
        <v>23125</v>
      </c>
      <c r="G1098" s="12">
        <f t="shared" ca="1" si="102"/>
        <v>49</v>
      </c>
      <c r="H1098" s="12">
        <f t="shared" ca="1" si="103"/>
        <v>-2</v>
      </c>
      <c r="I1098" s="13">
        <f t="shared" ca="1" si="104"/>
        <v>-12</v>
      </c>
      <c r="J1098" s="14">
        <f t="shared" ca="1" si="107"/>
        <v>48</v>
      </c>
      <c r="K1098" s="12" t="s">
        <v>40</v>
      </c>
      <c r="L1098" s="15">
        <v>86</v>
      </c>
      <c r="M1098" s="25" t="s">
        <v>40</v>
      </c>
      <c r="N1098">
        <v>233</v>
      </c>
    </row>
    <row r="1099" spans="1:14">
      <c r="A1099" s="25">
        <f t="shared" si="105"/>
        <v>1096</v>
      </c>
      <c r="B1099" s="67" t="s">
        <v>11</v>
      </c>
      <c r="C1099" s="67" t="s">
        <v>786</v>
      </c>
      <c r="D1099" s="67" t="s">
        <v>588</v>
      </c>
      <c r="E1099" s="22">
        <f t="shared" ca="1" si="106"/>
        <v>40951</v>
      </c>
      <c r="F1099" s="11">
        <f>DATE(70,12,28)</f>
        <v>25930</v>
      </c>
      <c r="G1099" s="12">
        <f t="shared" ca="1" si="102"/>
        <v>42</v>
      </c>
      <c r="H1099" s="12">
        <f t="shared" ca="1" si="103"/>
        <v>-10</v>
      </c>
      <c r="I1099" s="13">
        <f t="shared" ca="1" si="104"/>
        <v>-16</v>
      </c>
      <c r="J1099" s="14">
        <f t="shared" ca="1" si="107"/>
        <v>41</v>
      </c>
      <c r="K1099" s="12" t="s">
        <v>41</v>
      </c>
      <c r="L1099" s="15">
        <v>86</v>
      </c>
      <c r="M1099" s="25" t="s">
        <v>40</v>
      </c>
      <c r="N1099">
        <v>233</v>
      </c>
    </row>
    <row r="1100" spans="1:14">
      <c r="A1100" s="25">
        <f t="shared" si="105"/>
        <v>1097</v>
      </c>
      <c r="B1100" s="67" t="s">
        <v>11</v>
      </c>
      <c r="C1100" s="67" t="s">
        <v>422</v>
      </c>
      <c r="D1100" s="67" t="s">
        <v>588</v>
      </c>
      <c r="E1100" s="22">
        <f t="shared" ca="1" si="106"/>
        <v>40951</v>
      </c>
      <c r="F1100" s="11">
        <f>DATE(94,5,4)</f>
        <v>34458</v>
      </c>
      <c r="G1100" s="12">
        <f t="shared" ca="1" si="102"/>
        <v>18</v>
      </c>
      <c r="H1100" s="12">
        <f t="shared" ca="1" si="103"/>
        <v>-3</v>
      </c>
      <c r="I1100" s="13">
        <f t="shared" ca="1" si="104"/>
        <v>8</v>
      </c>
      <c r="J1100" s="14">
        <f t="shared" ca="1" si="107"/>
        <v>17</v>
      </c>
      <c r="K1100" s="12" t="s">
        <v>41</v>
      </c>
      <c r="L1100" s="15">
        <v>86</v>
      </c>
      <c r="M1100" s="25" t="s">
        <v>44</v>
      </c>
      <c r="N1100">
        <v>233</v>
      </c>
    </row>
    <row r="1101" spans="1:14">
      <c r="A1101" s="25">
        <f t="shared" si="105"/>
        <v>1098</v>
      </c>
      <c r="B1101" s="67" t="s">
        <v>11</v>
      </c>
      <c r="C1101" s="67" t="s">
        <v>787</v>
      </c>
      <c r="D1101" s="67" t="s">
        <v>588</v>
      </c>
      <c r="E1101" s="22">
        <f t="shared" ca="1" si="106"/>
        <v>40951</v>
      </c>
      <c r="F1101" s="11">
        <f>DATE(2002,2,27)</f>
        <v>37314</v>
      </c>
      <c r="G1101" s="12">
        <f t="shared" ca="1" si="102"/>
        <v>10</v>
      </c>
      <c r="H1101" s="12">
        <f t="shared" ca="1" si="103"/>
        <v>0</v>
      </c>
      <c r="I1101" s="13">
        <f t="shared" ca="1" si="104"/>
        <v>-15</v>
      </c>
      <c r="J1101" s="14">
        <f t="shared" ca="1" si="107"/>
        <v>9</v>
      </c>
      <c r="K1101" s="12" t="s">
        <v>40</v>
      </c>
      <c r="L1101" s="15">
        <v>86</v>
      </c>
      <c r="M1101" s="25" t="s">
        <v>44</v>
      </c>
      <c r="N1101">
        <v>233</v>
      </c>
    </row>
    <row r="1102" spans="1:14">
      <c r="A1102" s="25">
        <f t="shared" si="105"/>
        <v>1099</v>
      </c>
      <c r="B1102" s="67" t="s">
        <v>11</v>
      </c>
      <c r="C1102" s="67" t="s">
        <v>788</v>
      </c>
      <c r="D1102" s="67" t="s">
        <v>528</v>
      </c>
      <c r="E1102" s="22">
        <f t="shared" ca="1" si="106"/>
        <v>40951</v>
      </c>
      <c r="F1102" s="11">
        <f>DATE(69,8,1)</f>
        <v>25416</v>
      </c>
      <c r="G1102" s="12">
        <f t="shared" ca="1" si="102"/>
        <v>43</v>
      </c>
      <c r="H1102" s="12">
        <f t="shared" ca="1" si="103"/>
        <v>-6</v>
      </c>
      <c r="I1102" s="13">
        <f t="shared" ca="1" si="104"/>
        <v>11</v>
      </c>
      <c r="J1102" s="14">
        <f t="shared" ca="1" si="107"/>
        <v>42</v>
      </c>
      <c r="K1102" s="12" t="s">
        <v>40</v>
      </c>
      <c r="L1102" s="15">
        <v>86</v>
      </c>
      <c r="M1102" s="25" t="s">
        <v>40</v>
      </c>
      <c r="N1102">
        <v>233</v>
      </c>
    </row>
    <row r="1103" spans="1:14">
      <c r="A1103" s="25">
        <f t="shared" si="105"/>
        <v>1100</v>
      </c>
      <c r="B1103" s="67" t="s">
        <v>11</v>
      </c>
      <c r="C1103" s="67" t="s">
        <v>175</v>
      </c>
      <c r="D1103" s="67" t="s">
        <v>788</v>
      </c>
      <c r="E1103" s="22">
        <f t="shared" ca="1" si="106"/>
        <v>40951</v>
      </c>
      <c r="F1103" s="11">
        <f>DATE(75,5,7)</f>
        <v>27521</v>
      </c>
      <c r="G1103" s="12">
        <f t="shared" ca="1" si="102"/>
        <v>37</v>
      </c>
      <c r="H1103" s="12">
        <f t="shared" ca="1" si="103"/>
        <v>-3</v>
      </c>
      <c r="I1103" s="13">
        <f t="shared" ca="1" si="104"/>
        <v>5</v>
      </c>
      <c r="J1103" s="14">
        <f t="shared" ca="1" si="107"/>
        <v>36</v>
      </c>
      <c r="K1103" s="12" t="s">
        <v>41</v>
      </c>
      <c r="L1103" s="15">
        <v>86</v>
      </c>
      <c r="M1103" s="25" t="s">
        <v>40</v>
      </c>
      <c r="N1103">
        <v>233</v>
      </c>
    </row>
    <row r="1104" spans="1:14" ht="15.75" thickBot="1">
      <c r="A1104" s="26">
        <f t="shared" si="105"/>
        <v>1101</v>
      </c>
      <c r="B1104" s="67" t="s">
        <v>11</v>
      </c>
      <c r="C1104" s="68" t="s">
        <v>789</v>
      </c>
      <c r="D1104" s="68" t="s">
        <v>788</v>
      </c>
      <c r="E1104" s="23">
        <f t="shared" ca="1" si="106"/>
        <v>40951</v>
      </c>
      <c r="F1104" s="16">
        <f>DATE(99,3,13)</f>
        <v>36232</v>
      </c>
      <c r="G1104" s="17">
        <f t="shared" ca="1" si="102"/>
        <v>13</v>
      </c>
      <c r="H1104" s="17">
        <f t="shared" ca="1" si="103"/>
        <v>-1</v>
      </c>
      <c r="I1104" s="18">
        <f t="shared" ca="1" si="104"/>
        <v>-1</v>
      </c>
      <c r="J1104" s="19">
        <f t="shared" ca="1" si="107"/>
        <v>12</v>
      </c>
      <c r="K1104" s="17" t="s">
        <v>41</v>
      </c>
      <c r="L1104" s="20">
        <v>86</v>
      </c>
      <c r="M1104" s="26" t="s">
        <v>44</v>
      </c>
      <c r="N1104">
        <v>233</v>
      </c>
    </row>
    <row r="1105" spans="1:14">
      <c r="A1105" s="24">
        <f t="shared" si="105"/>
        <v>1102</v>
      </c>
      <c r="B1105" s="66" t="s">
        <v>11</v>
      </c>
      <c r="C1105" s="66" t="s">
        <v>790</v>
      </c>
      <c r="D1105" s="66" t="s">
        <v>791</v>
      </c>
      <c r="E1105" s="21">
        <f t="shared" ca="1" si="106"/>
        <v>40951</v>
      </c>
      <c r="F1105" s="45"/>
      <c r="G1105" s="7">
        <f t="shared" ca="1" si="102"/>
        <v>112</v>
      </c>
      <c r="H1105" s="7">
        <f t="shared" ca="1" si="103"/>
        <v>1</v>
      </c>
      <c r="I1105" s="8">
        <f t="shared" ca="1" si="104"/>
        <v>12</v>
      </c>
      <c r="J1105" s="9">
        <f t="shared" ca="1" si="107"/>
        <v>112</v>
      </c>
      <c r="K1105" s="7" t="s">
        <v>40</v>
      </c>
      <c r="L1105" s="10">
        <v>87</v>
      </c>
      <c r="M1105" s="24" t="s">
        <v>40</v>
      </c>
      <c r="N1105">
        <v>234</v>
      </c>
    </row>
    <row r="1106" spans="1:14" ht="15.75" thickBot="1">
      <c r="A1106" s="26">
        <f t="shared" si="105"/>
        <v>1103</v>
      </c>
      <c r="B1106" s="67" t="s">
        <v>11</v>
      </c>
      <c r="C1106" s="68" t="s">
        <v>792</v>
      </c>
      <c r="D1106" s="68" t="s">
        <v>791</v>
      </c>
      <c r="E1106" s="23">
        <f t="shared" ca="1" si="106"/>
        <v>40951</v>
      </c>
      <c r="F1106" s="33"/>
      <c r="G1106" s="17">
        <f t="shared" ca="1" si="102"/>
        <v>112</v>
      </c>
      <c r="H1106" s="17">
        <f t="shared" ca="1" si="103"/>
        <v>1</v>
      </c>
      <c r="I1106" s="18">
        <f t="shared" ca="1" si="104"/>
        <v>12</v>
      </c>
      <c r="J1106" s="19">
        <f t="shared" ca="1" si="107"/>
        <v>112</v>
      </c>
      <c r="K1106" s="17" t="s">
        <v>41</v>
      </c>
      <c r="L1106" s="20">
        <v>87</v>
      </c>
      <c r="M1106" s="26" t="s">
        <v>40</v>
      </c>
      <c r="N1106">
        <v>234</v>
      </c>
    </row>
    <row r="1107" spans="1:14">
      <c r="A1107" s="24">
        <f t="shared" si="105"/>
        <v>1104</v>
      </c>
      <c r="B1107" s="66" t="s">
        <v>11</v>
      </c>
      <c r="C1107" s="66" t="s">
        <v>284</v>
      </c>
      <c r="D1107" s="66" t="s">
        <v>682</v>
      </c>
      <c r="E1107" s="21">
        <f t="shared" ca="1" si="106"/>
        <v>40951</v>
      </c>
      <c r="F1107" s="6">
        <f>DATE(59,10,20)</f>
        <v>21843</v>
      </c>
      <c r="G1107" s="7">
        <f t="shared" ca="1" si="102"/>
        <v>53</v>
      </c>
      <c r="H1107" s="7">
        <f t="shared" ca="1" si="103"/>
        <v>-8</v>
      </c>
      <c r="I1107" s="8">
        <f t="shared" ca="1" si="104"/>
        <v>-8</v>
      </c>
      <c r="J1107" s="9">
        <f t="shared" ca="1" si="107"/>
        <v>52</v>
      </c>
      <c r="K1107" s="7" t="s">
        <v>40</v>
      </c>
      <c r="L1107" s="10">
        <v>87</v>
      </c>
      <c r="M1107" s="24" t="s">
        <v>40</v>
      </c>
      <c r="N1107">
        <v>235</v>
      </c>
    </row>
    <row r="1108" spans="1:14">
      <c r="A1108" s="25">
        <f t="shared" si="105"/>
        <v>1105</v>
      </c>
      <c r="B1108" s="67" t="s">
        <v>11</v>
      </c>
      <c r="C1108" s="67" t="s">
        <v>216</v>
      </c>
      <c r="D1108" s="67" t="s">
        <v>284</v>
      </c>
      <c r="E1108" s="22">
        <f t="shared" ca="1" si="106"/>
        <v>40951</v>
      </c>
      <c r="F1108" s="11">
        <f>DATE(63,8,17)</f>
        <v>23240</v>
      </c>
      <c r="G1108" s="12">
        <f t="shared" ca="1" si="102"/>
        <v>49</v>
      </c>
      <c r="H1108" s="12">
        <f t="shared" ca="1" si="103"/>
        <v>-6</v>
      </c>
      <c r="I1108" s="13">
        <f t="shared" ca="1" si="104"/>
        <v>-5</v>
      </c>
      <c r="J1108" s="14">
        <f t="shared" ca="1" si="107"/>
        <v>48</v>
      </c>
      <c r="K1108" s="12" t="s">
        <v>41</v>
      </c>
      <c r="L1108" s="15">
        <v>87</v>
      </c>
      <c r="M1108" s="25" t="s">
        <v>40</v>
      </c>
      <c r="N1108">
        <v>235</v>
      </c>
    </row>
    <row r="1109" spans="1:14">
      <c r="A1109" s="25">
        <f t="shared" si="105"/>
        <v>1106</v>
      </c>
      <c r="B1109" s="67" t="s">
        <v>11</v>
      </c>
      <c r="C1109" s="67" t="s">
        <v>793</v>
      </c>
      <c r="D1109" s="67" t="s">
        <v>284</v>
      </c>
      <c r="E1109" s="22">
        <f t="shared" ca="1" si="106"/>
        <v>40951</v>
      </c>
      <c r="F1109" s="11">
        <f>DATE(86,6,12)</f>
        <v>31575</v>
      </c>
      <c r="G1109" s="12">
        <f t="shared" ca="1" si="102"/>
        <v>26</v>
      </c>
      <c r="H1109" s="12">
        <f t="shared" ca="1" si="103"/>
        <v>-4</v>
      </c>
      <c r="I1109" s="13">
        <f t="shared" ca="1" si="104"/>
        <v>0</v>
      </c>
      <c r="J1109" s="14">
        <f t="shared" ca="1" si="107"/>
        <v>25</v>
      </c>
      <c r="K1109" s="12" t="s">
        <v>41</v>
      </c>
      <c r="L1109" s="15">
        <v>87</v>
      </c>
      <c r="M1109" s="25" t="s">
        <v>44</v>
      </c>
      <c r="N1109">
        <v>235</v>
      </c>
    </row>
    <row r="1110" spans="1:14" ht="15.75" thickBot="1">
      <c r="A1110" s="26">
        <f t="shared" si="105"/>
        <v>1107</v>
      </c>
      <c r="B1110" s="67" t="s">
        <v>11</v>
      </c>
      <c r="C1110" s="68" t="s">
        <v>794</v>
      </c>
      <c r="D1110" s="68" t="s">
        <v>284</v>
      </c>
      <c r="E1110" s="23">
        <f t="shared" ca="1" si="106"/>
        <v>40951</v>
      </c>
      <c r="F1110" s="16">
        <f>DATE(90,4,10)</f>
        <v>32973</v>
      </c>
      <c r="G1110" s="17">
        <f t="shared" ca="1" si="102"/>
        <v>22</v>
      </c>
      <c r="H1110" s="17">
        <f t="shared" ca="1" si="103"/>
        <v>-2</v>
      </c>
      <c r="I1110" s="18">
        <f t="shared" ca="1" si="104"/>
        <v>2</v>
      </c>
      <c r="J1110" s="19">
        <f t="shared" ca="1" si="107"/>
        <v>21</v>
      </c>
      <c r="K1110" s="17" t="s">
        <v>40</v>
      </c>
      <c r="L1110" s="20">
        <v>87</v>
      </c>
      <c r="M1110" s="26" t="s">
        <v>44</v>
      </c>
      <c r="N1110">
        <v>235</v>
      </c>
    </row>
    <row r="1111" spans="1:14">
      <c r="A1111" s="24">
        <f t="shared" si="105"/>
        <v>1108</v>
      </c>
      <c r="B1111" s="66" t="s">
        <v>11</v>
      </c>
      <c r="C1111" s="66" t="s">
        <v>795</v>
      </c>
      <c r="D1111" s="66" t="s">
        <v>606</v>
      </c>
      <c r="E1111" s="21">
        <f t="shared" ca="1" si="106"/>
        <v>40951</v>
      </c>
      <c r="F1111" s="45"/>
      <c r="G1111" s="7">
        <f t="shared" ca="1" si="102"/>
        <v>112</v>
      </c>
      <c r="H1111" s="7">
        <f t="shared" ca="1" si="103"/>
        <v>1</v>
      </c>
      <c r="I1111" s="8">
        <f t="shared" ca="1" si="104"/>
        <v>12</v>
      </c>
      <c r="J1111" s="9">
        <f t="shared" ca="1" si="107"/>
        <v>112</v>
      </c>
      <c r="K1111" s="7" t="s">
        <v>41</v>
      </c>
      <c r="L1111" s="10">
        <v>87</v>
      </c>
      <c r="M1111" s="24" t="s">
        <v>40</v>
      </c>
      <c r="N1111">
        <v>236</v>
      </c>
    </row>
    <row r="1112" spans="1:14">
      <c r="A1112" s="25">
        <f t="shared" si="105"/>
        <v>1109</v>
      </c>
      <c r="B1112" s="67" t="s">
        <v>11</v>
      </c>
      <c r="C1112" s="67" t="s">
        <v>578</v>
      </c>
      <c r="D1112" s="67" t="s">
        <v>606</v>
      </c>
      <c r="E1112" s="22">
        <f t="shared" ca="1" si="106"/>
        <v>40951</v>
      </c>
      <c r="F1112" s="11">
        <f>DATE(48,2,24)</f>
        <v>17587</v>
      </c>
      <c r="G1112" s="12">
        <f t="shared" ca="1" si="102"/>
        <v>64</v>
      </c>
      <c r="H1112" s="12">
        <f t="shared" ca="1" si="103"/>
        <v>0</v>
      </c>
      <c r="I1112" s="13">
        <f t="shared" ca="1" si="104"/>
        <v>-12</v>
      </c>
      <c r="J1112" s="14">
        <f t="shared" ca="1" si="107"/>
        <v>63</v>
      </c>
      <c r="K1112" s="12" t="s">
        <v>41</v>
      </c>
      <c r="L1112" s="15">
        <v>87</v>
      </c>
      <c r="M1112" s="25" t="s">
        <v>44</v>
      </c>
      <c r="N1112">
        <v>236</v>
      </c>
    </row>
    <row r="1113" spans="1:14" ht="15.75" thickBot="1">
      <c r="A1113" s="26">
        <f t="shared" si="105"/>
        <v>1110</v>
      </c>
      <c r="B1113" s="67" t="s">
        <v>11</v>
      </c>
      <c r="C1113" s="68" t="s">
        <v>796</v>
      </c>
      <c r="D1113" s="68" t="s">
        <v>606</v>
      </c>
      <c r="E1113" s="23">
        <f t="shared" ca="1" si="106"/>
        <v>40951</v>
      </c>
      <c r="F1113" s="16">
        <f>DATE(50,4,4)</f>
        <v>18357</v>
      </c>
      <c r="G1113" s="17">
        <f t="shared" ca="1" si="102"/>
        <v>62</v>
      </c>
      <c r="H1113" s="17">
        <f t="shared" ca="1" si="103"/>
        <v>-2</v>
      </c>
      <c r="I1113" s="18">
        <f t="shared" ca="1" si="104"/>
        <v>8</v>
      </c>
      <c r="J1113" s="19">
        <f t="shared" ca="1" si="107"/>
        <v>61</v>
      </c>
      <c r="K1113" s="17" t="s">
        <v>41</v>
      </c>
      <c r="L1113" s="20">
        <v>87</v>
      </c>
      <c r="M1113" s="26" t="s">
        <v>44</v>
      </c>
      <c r="N1113">
        <v>236</v>
      </c>
    </row>
    <row r="1114" spans="1:14">
      <c r="A1114" s="25">
        <f t="shared" si="105"/>
        <v>1111</v>
      </c>
      <c r="B1114" s="67" t="s">
        <v>11</v>
      </c>
      <c r="C1114" s="67" t="s">
        <v>797</v>
      </c>
      <c r="D1114" s="67" t="s">
        <v>606</v>
      </c>
      <c r="E1114" s="22">
        <f t="shared" ca="1" si="106"/>
        <v>40951</v>
      </c>
      <c r="F1114" s="11">
        <f>DATE(43,7,24)</f>
        <v>15911</v>
      </c>
      <c r="G1114" s="12">
        <f t="shared" ref="G1114:G1177" ca="1" si="108">YEAR(E1114)-YEAR(F1114)</f>
        <v>69</v>
      </c>
      <c r="H1114" s="12">
        <f t="shared" ref="H1114:H1177" ca="1" si="109">MONTH(E1114)-MONTH(F1114)</f>
        <v>-5</v>
      </c>
      <c r="I1114" s="13">
        <f t="shared" ref="I1114:I1177" ca="1" si="110">DAY(E1114)-DAY(F1114)</f>
        <v>-12</v>
      </c>
      <c r="J1114" s="14">
        <f t="shared" ca="1" si="107"/>
        <v>68</v>
      </c>
      <c r="K1114" s="12" t="s">
        <v>40</v>
      </c>
      <c r="L1114" s="15">
        <v>87</v>
      </c>
      <c r="M1114" s="25" t="s">
        <v>40</v>
      </c>
      <c r="N1114">
        <v>237</v>
      </c>
    </row>
    <row r="1115" spans="1:14">
      <c r="A1115" s="25">
        <f t="shared" si="105"/>
        <v>1112</v>
      </c>
      <c r="B1115" s="67" t="s">
        <v>11</v>
      </c>
      <c r="C1115" s="67" t="s">
        <v>798</v>
      </c>
      <c r="D1115" s="67" t="s">
        <v>797</v>
      </c>
      <c r="E1115" s="22">
        <f t="shared" ca="1" si="106"/>
        <v>40951</v>
      </c>
      <c r="F1115" s="11">
        <f>DATE(50,8,25)</f>
        <v>18500</v>
      </c>
      <c r="G1115" s="12">
        <f t="shared" ca="1" si="108"/>
        <v>62</v>
      </c>
      <c r="H1115" s="12">
        <f t="shared" ca="1" si="109"/>
        <v>-6</v>
      </c>
      <c r="I1115" s="13">
        <f t="shared" ca="1" si="110"/>
        <v>-13</v>
      </c>
      <c r="J1115" s="14">
        <f t="shared" ca="1" si="107"/>
        <v>61</v>
      </c>
      <c r="K1115" s="12" t="s">
        <v>41</v>
      </c>
      <c r="L1115" s="15">
        <v>87</v>
      </c>
      <c r="M1115" s="25" t="s">
        <v>40</v>
      </c>
      <c r="N1115">
        <v>237</v>
      </c>
    </row>
    <row r="1116" spans="1:14">
      <c r="A1116" s="25">
        <f t="shared" si="105"/>
        <v>1113</v>
      </c>
      <c r="B1116" s="67" t="s">
        <v>11</v>
      </c>
      <c r="C1116" s="67" t="s">
        <v>118</v>
      </c>
      <c r="D1116" s="67" t="s">
        <v>797</v>
      </c>
      <c r="E1116" s="22">
        <f t="shared" ca="1" si="106"/>
        <v>40951</v>
      </c>
      <c r="F1116" s="11">
        <f>DATE(75,2,26)</f>
        <v>27451</v>
      </c>
      <c r="G1116" s="12">
        <f t="shared" ca="1" si="108"/>
        <v>37</v>
      </c>
      <c r="H1116" s="12">
        <f t="shared" ca="1" si="109"/>
        <v>0</v>
      </c>
      <c r="I1116" s="13">
        <f t="shared" ca="1" si="110"/>
        <v>-14</v>
      </c>
      <c r="J1116" s="14">
        <f t="shared" ca="1" si="107"/>
        <v>36</v>
      </c>
      <c r="K1116" s="12" t="s">
        <v>40</v>
      </c>
      <c r="L1116" s="15">
        <v>87</v>
      </c>
      <c r="M1116" s="25" t="s">
        <v>40</v>
      </c>
      <c r="N1116">
        <v>237</v>
      </c>
    </row>
    <row r="1117" spans="1:14">
      <c r="A1117" s="25">
        <f t="shared" si="105"/>
        <v>1114</v>
      </c>
      <c r="B1117" s="67" t="s">
        <v>11</v>
      </c>
      <c r="C1117" s="67" t="s">
        <v>302</v>
      </c>
      <c r="D1117" s="67" t="s">
        <v>118</v>
      </c>
      <c r="E1117" s="22">
        <f t="shared" ca="1" si="106"/>
        <v>40951</v>
      </c>
      <c r="F1117" s="11">
        <f>DATE(79,6,6)</f>
        <v>29012</v>
      </c>
      <c r="G1117" s="12">
        <f t="shared" ca="1" si="108"/>
        <v>33</v>
      </c>
      <c r="H1117" s="12">
        <f t="shared" ca="1" si="109"/>
        <v>-4</v>
      </c>
      <c r="I1117" s="13">
        <f t="shared" ca="1" si="110"/>
        <v>6</v>
      </c>
      <c r="J1117" s="14">
        <f t="shared" ca="1" si="107"/>
        <v>32</v>
      </c>
      <c r="K1117" s="12" t="s">
        <v>41</v>
      </c>
      <c r="L1117" s="15">
        <v>87</v>
      </c>
      <c r="M1117" s="25" t="s">
        <v>40</v>
      </c>
      <c r="N1117">
        <v>237</v>
      </c>
    </row>
    <row r="1118" spans="1:14" ht="15.75" thickBot="1">
      <c r="A1118" s="26">
        <f t="shared" ref="A1118:A1181" si="111">A1117+1</f>
        <v>1115</v>
      </c>
      <c r="B1118" s="67" t="s">
        <v>11</v>
      </c>
      <c r="C1118" s="68" t="s">
        <v>799</v>
      </c>
      <c r="D1118" s="68" t="s">
        <v>118</v>
      </c>
      <c r="E1118" s="23">
        <f t="shared" ca="1" si="106"/>
        <v>40951</v>
      </c>
      <c r="F1118" s="16">
        <f>DATE(2004,10,27)</f>
        <v>38287</v>
      </c>
      <c r="G1118" s="17">
        <f t="shared" ca="1" si="108"/>
        <v>8</v>
      </c>
      <c r="H1118" s="17">
        <f t="shared" ca="1" si="109"/>
        <v>-8</v>
      </c>
      <c r="I1118" s="18">
        <f t="shared" ca="1" si="110"/>
        <v>-15</v>
      </c>
      <c r="J1118" s="19">
        <f t="shared" ca="1" si="107"/>
        <v>7</v>
      </c>
      <c r="K1118" s="17" t="s">
        <v>40</v>
      </c>
      <c r="L1118" s="20">
        <v>87</v>
      </c>
      <c r="M1118" s="26" t="s">
        <v>44</v>
      </c>
      <c r="N1118">
        <v>237</v>
      </c>
    </row>
    <row r="1119" spans="1:14">
      <c r="A1119" s="24">
        <f t="shared" si="111"/>
        <v>1116</v>
      </c>
      <c r="B1119" s="66" t="s">
        <v>11</v>
      </c>
      <c r="C1119" s="66" t="s">
        <v>414</v>
      </c>
      <c r="D1119" s="66" t="s">
        <v>758</v>
      </c>
      <c r="E1119" s="21">
        <f t="shared" ca="1" si="106"/>
        <v>40951</v>
      </c>
      <c r="F1119" s="6">
        <f>DATE(61,9,1)</f>
        <v>22525</v>
      </c>
      <c r="G1119" s="7">
        <f t="shared" ca="1" si="108"/>
        <v>51</v>
      </c>
      <c r="H1119" s="7">
        <f t="shared" ca="1" si="109"/>
        <v>-7</v>
      </c>
      <c r="I1119" s="8">
        <f t="shared" ca="1" si="110"/>
        <v>11</v>
      </c>
      <c r="J1119" s="9">
        <f t="shared" ca="1" si="107"/>
        <v>50</v>
      </c>
      <c r="K1119" s="7" t="s">
        <v>40</v>
      </c>
      <c r="L1119" s="10">
        <v>88</v>
      </c>
      <c r="M1119" s="24" t="s">
        <v>40</v>
      </c>
      <c r="N1119">
        <v>238</v>
      </c>
    </row>
    <row r="1120" spans="1:14">
      <c r="A1120" s="25">
        <f t="shared" si="111"/>
        <v>1117</v>
      </c>
      <c r="B1120" s="67" t="s">
        <v>11</v>
      </c>
      <c r="C1120" s="67" t="s">
        <v>800</v>
      </c>
      <c r="D1120" s="67" t="s">
        <v>414</v>
      </c>
      <c r="E1120" s="22">
        <f t="shared" ca="1" si="106"/>
        <v>40951</v>
      </c>
      <c r="F1120" s="11">
        <f>DATE(66,1,3)</f>
        <v>24110</v>
      </c>
      <c r="G1120" s="12">
        <f t="shared" ca="1" si="108"/>
        <v>46</v>
      </c>
      <c r="H1120" s="12">
        <f t="shared" ca="1" si="109"/>
        <v>1</v>
      </c>
      <c r="I1120" s="13">
        <f t="shared" ca="1" si="110"/>
        <v>9</v>
      </c>
      <c r="J1120" s="14">
        <f t="shared" ca="1" si="107"/>
        <v>46</v>
      </c>
      <c r="K1120" s="12" t="s">
        <v>41</v>
      </c>
      <c r="L1120" s="15">
        <v>88</v>
      </c>
      <c r="M1120" s="25" t="s">
        <v>40</v>
      </c>
      <c r="N1120">
        <v>238</v>
      </c>
    </row>
    <row r="1121" spans="1:14">
      <c r="A1121" s="25">
        <f t="shared" si="111"/>
        <v>1118</v>
      </c>
      <c r="B1121" s="67" t="s">
        <v>11</v>
      </c>
      <c r="C1121" s="67" t="s">
        <v>801</v>
      </c>
      <c r="D1121" s="67" t="s">
        <v>414</v>
      </c>
      <c r="E1121" s="22">
        <f t="shared" ca="1" si="106"/>
        <v>40951</v>
      </c>
      <c r="F1121" s="11">
        <f>DATE(97,12,12)</f>
        <v>35776</v>
      </c>
      <c r="G1121" s="12">
        <f t="shared" ca="1" si="108"/>
        <v>15</v>
      </c>
      <c r="H1121" s="12">
        <f t="shared" ca="1" si="109"/>
        <v>-10</v>
      </c>
      <c r="I1121" s="13">
        <f t="shared" ca="1" si="110"/>
        <v>0</v>
      </c>
      <c r="J1121" s="14">
        <f t="shared" ca="1" si="107"/>
        <v>14</v>
      </c>
      <c r="K1121" s="12" t="s">
        <v>41</v>
      </c>
      <c r="L1121" s="15">
        <v>88</v>
      </c>
      <c r="M1121" s="25" t="s">
        <v>44</v>
      </c>
      <c r="N1121">
        <v>238</v>
      </c>
    </row>
    <row r="1122" spans="1:14">
      <c r="A1122" s="25">
        <f t="shared" si="111"/>
        <v>1119</v>
      </c>
      <c r="B1122" s="67" t="s">
        <v>11</v>
      </c>
      <c r="C1122" s="67" t="s">
        <v>802</v>
      </c>
      <c r="D1122" s="67" t="s">
        <v>414</v>
      </c>
      <c r="E1122" s="22">
        <f t="shared" ca="1" si="106"/>
        <v>40951</v>
      </c>
      <c r="F1122" s="11">
        <f>DATE(2000,10,7)</f>
        <v>36806</v>
      </c>
      <c r="G1122" s="12">
        <f t="shared" ca="1" si="108"/>
        <v>12</v>
      </c>
      <c r="H1122" s="12">
        <f t="shared" ca="1" si="109"/>
        <v>-8</v>
      </c>
      <c r="I1122" s="13">
        <f t="shared" ca="1" si="110"/>
        <v>5</v>
      </c>
      <c r="J1122" s="14">
        <f t="shared" ca="1" si="107"/>
        <v>11</v>
      </c>
      <c r="K1122" s="12" t="s">
        <v>40</v>
      </c>
      <c r="L1122" s="15">
        <v>88</v>
      </c>
      <c r="M1122" s="25" t="s">
        <v>44</v>
      </c>
      <c r="N1122">
        <v>238</v>
      </c>
    </row>
    <row r="1123" spans="1:14" ht="15.75" thickBot="1">
      <c r="A1123" s="26">
        <f t="shared" si="111"/>
        <v>1120</v>
      </c>
      <c r="B1123" s="67" t="s">
        <v>11</v>
      </c>
      <c r="C1123" s="68" t="s">
        <v>803</v>
      </c>
      <c r="D1123" s="68" t="s">
        <v>758</v>
      </c>
      <c r="E1123" s="23">
        <f t="shared" ca="1" si="106"/>
        <v>40951</v>
      </c>
      <c r="F1123" s="33"/>
      <c r="G1123" s="17">
        <f t="shared" ca="1" si="108"/>
        <v>112</v>
      </c>
      <c r="H1123" s="17">
        <f t="shared" ca="1" si="109"/>
        <v>1</v>
      </c>
      <c r="I1123" s="18">
        <f t="shared" ca="1" si="110"/>
        <v>12</v>
      </c>
      <c r="J1123" s="19">
        <f t="shared" ca="1" si="107"/>
        <v>112</v>
      </c>
      <c r="K1123" s="17" t="s">
        <v>41</v>
      </c>
      <c r="L1123" s="20">
        <v>88</v>
      </c>
      <c r="M1123" s="26" t="s">
        <v>40</v>
      </c>
      <c r="N1123">
        <v>238</v>
      </c>
    </row>
    <row r="1124" spans="1:14">
      <c r="A1124" s="24">
        <f t="shared" si="111"/>
        <v>1121</v>
      </c>
      <c r="B1124" s="66" t="s">
        <v>11</v>
      </c>
      <c r="C1124" s="66" t="s">
        <v>229</v>
      </c>
      <c r="D1124" s="66" t="s">
        <v>267</v>
      </c>
      <c r="E1124" s="21">
        <f t="shared" ref="E1124:E1187" ca="1" si="112">TODAY()</f>
        <v>40951</v>
      </c>
      <c r="F1124" s="6">
        <f>DATE(74,10,6)</f>
        <v>27308</v>
      </c>
      <c r="G1124" s="7">
        <f t="shared" ca="1" si="108"/>
        <v>38</v>
      </c>
      <c r="H1124" s="7">
        <f t="shared" ca="1" si="109"/>
        <v>-8</v>
      </c>
      <c r="I1124" s="8">
        <f t="shared" ca="1" si="110"/>
        <v>6</v>
      </c>
      <c r="J1124" s="9">
        <f t="shared" ca="1" si="107"/>
        <v>37</v>
      </c>
      <c r="K1124" s="7" t="s">
        <v>40</v>
      </c>
      <c r="L1124" s="10">
        <v>88</v>
      </c>
      <c r="M1124" s="24" t="s">
        <v>40</v>
      </c>
      <c r="N1124">
        <v>239</v>
      </c>
    </row>
    <row r="1125" spans="1:14">
      <c r="A1125" s="25">
        <f t="shared" si="111"/>
        <v>1122</v>
      </c>
      <c r="B1125" s="67" t="s">
        <v>11</v>
      </c>
      <c r="C1125" s="67" t="s">
        <v>804</v>
      </c>
      <c r="D1125" s="67" t="s">
        <v>229</v>
      </c>
      <c r="E1125" s="22">
        <f t="shared" ca="1" si="112"/>
        <v>40951</v>
      </c>
      <c r="F1125" s="11">
        <f>DATE(79,10,18)</f>
        <v>29146</v>
      </c>
      <c r="G1125" s="12">
        <f t="shared" ca="1" si="108"/>
        <v>33</v>
      </c>
      <c r="H1125" s="12">
        <f t="shared" ca="1" si="109"/>
        <v>-8</v>
      </c>
      <c r="I1125" s="13">
        <f t="shared" ca="1" si="110"/>
        <v>-6</v>
      </c>
      <c r="J1125" s="14">
        <f t="shared" ca="1" si="107"/>
        <v>32</v>
      </c>
      <c r="K1125" s="12" t="s">
        <v>41</v>
      </c>
      <c r="L1125" s="15">
        <v>88</v>
      </c>
      <c r="M1125" s="25" t="s">
        <v>40</v>
      </c>
      <c r="N1125">
        <v>239</v>
      </c>
    </row>
    <row r="1126" spans="1:14">
      <c r="A1126" s="25">
        <f t="shared" si="111"/>
        <v>1123</v>
      </c>
      <c r="B1126" s="67" t="s">
        <v>11</v>
      </c>
      <c r="C1126" s="67" t="s">
        <v>541</v>
      </c>
      <c r="D1126" s="67" t="s">
        <v>267</v>
      </c>
      <c r="E1126" s="22">
        <f t="shared" ca="1" si="112"/>
        <v>40951</v>
      </c>
      <c r="F1126" s="11">
        <f>DATE(76,5,22)</f>
        <v>27902</v>
      </c>
      <c r="G1126" s="12">
        <f t="shared" ca="1" si="108"/>
        <v>36</v>
      </c>
      <c r="H1126" s="12">
        <f t="shared" ca="1" si="109"/>
        <v>-3</v>
      </c>
      <c r="I1126" s="13">
        <f t="shared" ca="1" si="110"/>
        <v>-10</v>
      </c>
      <c r="J1126" s="14">
        <f t="shared" ca="1" si="107"/>
        <v>35</v>
      </c>
      <c r="K1126" s="12" t="s">
        <v>40</v>
      </c>
      <c r="L1126" s="15">
        <v>88</v>
      </c>
      <c r="M1126" s="25" t="s">
        <v>40</v>
      </c>
      <c r="N1126">
        <v>239</v>
      </c>
    </row>
    <row r="1127" spans="1:14">
      <c r="A1127" s="25">
        <f t="shared" si="111"/>
        <v>1124</v>
      </c>
      <c r="B1127" s="67" t="s">
        <v>11</v>
      </c>
      <c r="C1127" s="67" t="s">
        <v>805</v>
      </c>
      <c r="D1127" s="67" t="s">
        <v>541</v>
      </c>
      <c r="E1127" s="22">
        <f t="shared" ca="1" si="112"/>
        <v>40951</v>
      </c>
      <c r="F1127" s="11">
        <f>DATE(76,12,27)</f>
        <v>28121</v>
      </c>
      <c r="G1127" s="12">
        <f t="shared" ca="1" si="108"/>
        <v>36</v>
      </c>
      <c r="H1127" s="12">
        <f t="shared" ca="1" si="109"/>
        <v>-10</v>
      </c>
      <c r="I1127" s="13">
        <f t="shared" ca="1" si="110"/>
        <v>-15</v>
      </c>
      <c r="J1127" s="14">
        <f t="shared" ca="1" si="107"/>
        <v>35</v>
      </c>
      <c r="K1127" s="12" t="s">
        <v>41</v>
      </c>
      <c r="L1127" s="15">
        <v>88</v>
      </c>
      <c r="M1127" s="25" t="s">
        <v>40</v>
      </c>
      <c r="N1127">
        <v>239</v>
      </c>
    </row>
    <row r="1128" spans="1:14" ht="15.75" thickBot="1">
      <c r="A1128" s="26">
        <f t="shared" si="111"/>
        <v>1125</v>
      </c>
      <c r="B1128" s="67" t="s">
        <v>11</v>
      </c>
      <c r="C1128" s="68" t="s">
        <v>806</v>
      </c>
      <c r="D1128" s="68" t="s">
        <v>541</v>
      </c>
      <c r="E1128" s="23">
        <f t="shared" ca="1" si="112"/>
        <v>40951</v>
      </c>
      <c r="F1128" s="16">
        <f>DATE(2003,11,16)</f>
        <v>37941</v>
      </c>
      <c r="G1128" s="17">
        <f t="shared" ca="1" si="108"/>
        <v>9</v>
      </c>
      <c r="H1128" s="17">
        <f t="shared" ca="1" si="109"/>
        <v>-9</v>
      </c>
      <c r="I1128" s="18">
        <f t="shared" ca="1" si="110"/>
        <v>-4</v>
      </c>
      <c r="J1128" s="19">
        <f t="shared" ca="1" si="107"/>
        <v>8</v>
      </c>
      <c r="K1128" s="17" t="s">
        <v>41</v>
      </c>
      <c r="L1128" s="20">
        <v>88</v>
      </c>
      <c r="M1128" s="26" t="s">
        <v>44</v>
      </c>
      <c r="N1128">
        <v>239</v>
      </c>
    </row>
    <row r="1129" spans="1:14">
      <c r="A1129" s="25">
        <f t="shared" si="111"/>
        <v>1126</v>
      </c>
      <c r="B1129" s="67" t="s">
        <v>12</v>
      </c>
      <c r="C1129" s="67" t="s">
        <v>807</v>
      </c>
      <c r="D1129" s="67" t="s">
        <v>716</v>
      </c>
      <c r="E1129" s="22">
        <f t="shared" ca="1" si="112"/>
        <v>40951</v>
      </c>
      <c r="F1129" s="11">
        <f>DATE(54,12,21)</f>
        <v>20079</v>
      </c>
      <c r="G1129" s="12">
        <f t="shared" ca="1" si="108"/>
        <v>58</v>
      </c>
      <c r="H1129" s="12">
        <f t="shared" ca="1" si="109"/>
        <v>-10</v>
      </c>
      <c r="I1129" s="13">
        <f t="shared" ca="1" si="110"/>
        <v>-9</v>
      </c>
      <c r="J1129" s="14">
        <f t="shared" ca="1" si="107"/>
        <v>57</v>
      </c>
      <c r="K1129" s="12" t="s">
        <v>40</v>
      </c>
      <c r="L1129" s="15">
        <v>89</v>
      </c>
      <c r="M1129" s="25" t="s">
        <v>40</v>
      </c>
      <c r="N1129">
        <v>240</v>
      </c>
    </row>
    <row r="1130" spans="1:14">
      <c r="A1130" s="25">
        <f t="shared" si="111"/>
        <v>1127</v>
      </c>
      <c r="B1130" s="67" t="s">
        <v>12</v>
      </c>
      <c r="C1130" s="67" t="s">
        <v>155</v>
      </c>
      <c r="D1130" s="67" t="s">
        <v>807</v>
      </c>
      <c r="E1130" s="22">
        <f t="shared" ca="1" si="112"/>
        <v>40951</v>
      </c>
      <c r="F1130" s="32"/>
      <c r="G1130" s="12">
        <f t="shared" ca="1" si="108"/>
        <v>112</v>
      </c>
      <c r="H1130" s="12">
        <f t="shared" ca="1" si="109"/>
        <v>1</v>
      </c>
      <c r="I1130" s="13">
        <f t="shared" ca="1" si="110"/>
        <v>12</v>
      </c>
      <c r="J1130" s="14">
        <f t="shared" ca="1" si="107"/>
        <v>112</v>
      </c>
      <c r="K1130" s="12" t="s">
        <v>41</v>
      </c>
      <c r="L1130" s="15">
        <v>89</v>
      </c>
      <c r="M1130" s="25" t="s">
        <v>40</v>
      </c>
      <c r="N1130">
        <v>240</v>
      </c>
    </row>
    <row r="1131" spans="1:14">
      <c r="A1131" s="25">
        <f t="shared" si="111"/>
        <v>1128</v>
      </c>
      <c r="B1131" s="67" t="s">
        <v>12</v>
      </c>
      <c r="C1131" s="67" t="s">
        <v>808</v>
      </c>
      <c r="D1131" s="67" t="s">
        <v>807</v>
      </c>
      <c r="E1131" s="22">
        <f t="shared" ca="1" si="112"/>
        <v>40951</v>
      </c>
      <c r="F1131" s="11">
        <f>DATE(84,3,31)</f>
        <v>30772</v>
      </c>
      <c r="G1131" s="12">
        <f t="shared" ca="1" si="108"/>
        <v>28</v>
      </c>
      <c r="H1131" s="12">
        <f t="shared" ca="1" si="109"/>
        <v>-1</v>
      </c>
      <c r="I1131" s="13">
        <f t="shared" ca="1" si="110"/>
        <v>-19</v>
      </c>
      <c r="J1131" s="14">
        <f t="shared" ca="1" si="107"/>
        <v>27</v>
      </c>
      <c r="K1131" s="12" t="s">
        <v>40</v>
      </c>
      <c r="L1131" s="15">
        <v>89</v>
      </c>
      <c r="M1131" s="25" t="s">
        <v>44</v>
      </c>
      <c r="N1131">
        <v>240</v>
      </c>
    </row>
    <row r="1132" spans="1:14" ht="15.75" thickBot="1">
      <c r="A1132" s="26">
        <f t="shared" si="111"/>
        <v>1129</v>
      </c>
      <c r="B1132" s="67" t="s">
        <v>12</v>
      </c>
      <c r="C1132" s="68" t="s">
        <v>722</v>
      </c>
      <c r="D1132" s="68" t="s">
        <v>807</v>
      </c>
      <c r="E1132" s="23">
        <f t="shared" ca="1" si="112"/>
        <v>40951</v>
      </c>
      <c r="F1132" s="16">
        <f>DATE(96,3,28)</f>
        <v>35152</v>
      </c>
      <c r="G1132" s="17">
        <f t="shared" ca="1" si="108"/>
        <v>16</v>
      </c>
      <c r="H1132" s="17">
        <f t="shared" ca="1" si="109"/>
        <v>-1</v>
      </c>
      <c r="I1132" s="18">
        <f t="shared" ca="1" si="110"/>
        <v>-16</v>
      </c>
      <c r="J1132" s="19">
        <f t="shared" ca="1" si="107"/>
        <v>15</v>
      </c>
      <c r="K1132" s="17" t="s">
        <v>41</v>
      </c>
      <c r="L1132" s="20">
        <v>89</v>
      </c>
      <c r="M1132" s="26" t="s">
        <v>44</v>
      </c>
      <c r="N1132">
        <v>240</v>
      </c>
    </row>
    <row r="1133" spans="1:14">
      <c r="A1133" s="25">
        <f t="shared" si="111"/>
        <v>1130</v>
      </c>
      <c r="B1133" s="67" t="s">
        <v>12</v>
      </c>
      <c r="C1133" s="67" t="s">
        <v>809</v>
      </c>
      <c r="D1133" s="67" t="s">
        <v>70</v>
      </c>
      <c r="E1133" s="22">
        <f t="shared" ca="1" si="112"/>
        <v>40951</v>
      </c>
      <c r="F1133" s="11">
        <f>DATE(62,9,23)</f>
        <v>22912</v>
      </c>
      <c r="G1133" s="12">
        <f t="shared" ca="1" si="108"/>
        <v>50</v>
      </c>
      <c r="H1133" s="12">
        <f t="shared" ca="1" si="109"/>
        <v>-7</v>
      </c>
      <c r="I1133" s="13">
        <f t="shared" ca="1" si="110"/>
        <v>-11</v>
      </c>
      <c r="J1133" s="14">
        <f t="shared" ca="1" si="107"/>
        <v>49</v>
      </c>
      <c r="K1133" s="12" t="s">
        <v>40</v>
      </c>
      <c r="L1133" s="15">
        <v>89</v>
      </c>
      <c r="M1133" s="25" t="s">
        <v>40</v>
      </c>
      <c r="N1133">
        <v>241</v>
      </c>
    </row>
    <row r="1134" spans="1:14">
      <c r="A1134" s="25">
        <f t="shared" si="111"/>
        <v>1131</v>
      </c>
      <c r="B1134" s="67" t="s">
        <v>12</v>
      </c>
      <c r="C1134" s="67" t="s">
        <v>810</v>
      </c>
      <c r="D1134" s="67" t="s">
        <v>809</v>
      </c>
      <c r="E1134" s="22">
        <f t="shared" ca="1" si="112"/>
        <v>40951</v>
      </c>
      <c r="F1134" s="11">
        <f>DATE(65,7,22)</f>
        <v>23945</v>
      </c>
      <c r="G1134" s="12">
        <f t="shared" ca="1" si="108"/>
        <v>47</v>
      </c>
      <c r="H1134" s="12">
        <f t="shared" ca="1" si="109"/>
        <v>-5</v>
      </c>
      <c r="I1134" s="13">
        <f t="shared" ca="1" si="110"/>
        <v>-10</v>
      </c>
      <c r="J1134" s="14">
        <f t="shared" ca="1" si="107"/>
        <v>46</v>
      </c>
      <c r="K1134" s="12" t="s">
        <v>41</v>
      </c>
      <c r="L1134" s="15">
        <v>89</v>
      </c>
      <c r="M1134" s="25" t="s">
        <v>40</v>
      </c>
      <c r="N1134">
        <v>241</v>
      </c>
    </row>
    <row r="1135" spans="1:14">
      <c r="A1135" s="25">
        <f t="shared" si="111"/>
        <v>1132</v>
      </c>
      <c r="B1135" s="67" t="s">
        <v>12</v>
      </c>
      <c r="C1135" s="67" t="s">
        <v>811</v>
      </c>
      <c r="D1135" s="67" t="s">
        <v>809</v>
      </c>
      <c r="E1135" s="22">
        <f t="shared" ca="1" si="112"/>
        <v>40951</v>
      </c>
      <c r="F1135" s="11">
        <f>DATE(90,10,31)</f>
        <v>33177</v>
      </c>
      <c r="G1135" s="12">
        <f t="shared" ca="1" si="108"/>
        <v>22</v>
      </c>
      <c r="H1135" s="12">
        <f t="shared" ca="1" si="109"/>
        <v>-8</v>
      </c>
      <c r="I1135" s="13">
        <f t="shared" ca="1" si="110"/>
        <v>-19</v>
      </c>
      <c r="J1135" s="14">
        <f t="shared" ca="1" si="107"/>
        <v>21</v>
      </c>
      <c r="K1135" s="12" t="s">
        <v>40</v>
      </c>
      <c r="L1135" s="15">
        <v>89</v>
      </c>
      <c r="M1135" s="25" t="s">
        <v>44</v>
      </c>
      <c r="N1135">
        <v>241</v>
      </c>
    </row>
    <row r="1136" spans="1:14" ht="15.75" thickBot="1">
      <c r="A1136" s="26">
        <f t="shared" si="111"/>
        <v>1133</v>
      </c>
      <c r="B1136" s="67" t="s">
        <v>12</v>
      </c>
      <c r="C1136" s="68" t="s">
        <v>812</v>
      </c>
      <c r="D1136" s="68" t="s">
        <v>809</v>
      </c>
      <c r="E1136" s="23">
        <f t="shared" ca="1" si="112"/>
        <v>40951</v>
      </c>
      <c r="F1136" s="16">
        <f>DATE(96,11,13)</f>
        <v>35382</v>
      </c>
      <c r="G1136" s="17">
        <f t="shared" ca="1" si="108"/>
        <v>16</v>
      </c>
      <c r="H1136" s="17">
        <f t="shared" ca="1" si="109"/>
        <v>-9</v>
      </c>
      <c r="I1136" s="18">
        <f t="shared" ca="1" si="110"/>
        <v>-1</v>
      </c>
      <c r="J1136" s="19">
        <f t="shared" ca="1" si="107"/>
        <v>15</v>
      </c>
      <c r="K1136" s="17" t="s">
        <v>40</v>
      </c>
      <c r="L1136" s="20">
        <v>89</v>
      </c>
      <c r="M1136" s="26" t="s">
        <v>44</v>
      </c>
      <c r="N1136">
        <v>241</v>
      </c>
    </row>
    <row r="1137" spans="1:14">
      <c r="A1137" s="25">
        <f t="shared" si="111"/>
        <v>1134</v>
      </c>
      <c r="B1137" s="67" t="s">
        <v>12</v>
      </c>
      <c r="C1137" s="67" t="s">
        <v>55</v>
      </c>
      <c r="D1137" s="67" t="s">
        <v>716</v>
      </c>
      <c r="E1137" s="22">
        <f t="shared" ca="1" si="112"/>
        <v>40951</v>
      </c>
      <c r="F1137" s="32"/>
      <c r="G1137" s="12">
        <f t="shared" ca="1" si="108"/>
        <v>112</v>
      </c>
      <c r="H1137" s="12">
        <f t="shared" ca="1" si="109"/>
        <v>1</v>
      </c>
      <c r="I1137" s="13">
        <f t="shared" ca="1" si="110"/>
        <v>12</v>
      </c>
      <c r="J1137" s="14">
        <f t="shared" ca="1" si="107"/>
        <v>112</v>
      </c>
      <c r="K1137" s="12" t="s">
        <v>40</v>
      </c>
      <c r="L1137" s="15">
        <v>89</v>
      </c>
      <c r="M1137" s="25" t="s">
        <v>40</v>
      </c>
      <c r="N1137">
        <v>242</v>
      </c>
    </row>
    <row r="1138" spans="1:14">
      <c r="A1138" s="25">
        <f t="shared" si="111"/>
        <v>1135</v>
      </c>
      <c r="B1138" s="67" t="s">
        <v>12</v>
      </c>
      <c r="C1138" s="67" t="s">
        <v>813</v>
      </c>
      <c r="D1138" s="67" t="s">
        <v>55</v>
      </c>
      <c r="E1138" s="22">
        <f t="shared" ca="1" si="112"/>
        <v>40951</v>
      </c>
      <c r="F1138" s="32"/>
      <c r="G1138" s="12">
        <f t="shared" ca="1" si="108"/>
        <v>112</v>
      </c>
      <c r="H1138" s="12">
        <f t="shared" ca="1" si="109"/>
        <v>1</v>
      </c>
      <c r="I1138" s="13">
        <f t="shared" ca="1" si="110"/>
        <v>12</v>
      </c>
      <c r="J1138" s="14">
        <f t="shared" ca="1" si="107"/>
        <v>112</v>
      </c>
      <c r="K1138" s="12" t="s">
        <v>41</v>
      </c>
      <c r="L1138" s="15">
        <v>89</v>
      </c>
      <c r="M1138" s="25" t="s">
        <v>40</v>
      </c>
      <c r="N1138">
        <v>242</v>
      </c>
    </row>
    <row r="1139" spans="1:14">
      <c r="A1139" s="25">
        <f t="shared" si="111"/>
        <v>1136</v>
      </c>
      <c r="B1139" s="67" t="s">
        <v>12</v>
      </c>
      <c r="C1139" s="67" t="s">
        <v>652</v>
      </c>
      <c r="D1139" s="67" t="s">
        <v>55</v>
      </c>
      <c r="E1139" s="22">
        <f t="shared" ca="1" si="112"/>
        <v>40951</v>
      </c>
      <c r="F1139" s="11">
        <f>DATE(75,5,4)</f>
        <v>27518</v>
      </c>
      <c r="G1139" s="12">
        <f t="shared" ca="1" si="108"/>
        <v>37</v>
      </c>
      <c r="H1139" s="12">
        <f t="shared" ca="1" si="109"/>
        <v>-3</v>
      </c>
      <c r="I1139" s="13">
        <f t="shared" ca="1" si="110"/>
        <v>8</v>
      </c>
      <c r="J1139" s="14">
        <f t="shared" ca="1" si="107"/>
        <v>36</v>
      </c>
      <c r="K1139" s="12" t="s">
        <v>40</v>
      </c>
      <c r="L1139" s="15">
        <v>89</v>
      </c>
      <c r="M1139" s="25" t="s">
        <v>40</v>
      </c>
      <c r="N1139">
        <v>242</v>
      </c>
    </row>
    <row r="1140" spans="1:14">
      <c r="A1140" s="25">
        <f t="shared" si="111"/>
        <v>1137</v>
      </c>
      <c r="B1140" s="67" t="s">
        <v>12</v>
      </c>
      <c r="C1140" s="67" t="s">
        <v>565</v>
      </c>
      <c r="D1140" s="67" t="s">
        <v>652</v>
      </c>
      <c r="E1140" s="22">
        <f t="shared" ca="1" si="112"/>
        <v>40951</v>
      </c>
      <c r="F1140" s="11">
        <f>DATE(80,11,19)</f>
        <v>29544</v>
      </c>
      <c r="G1140" s="12">
        <f t="shared" ca="1" si="108"/>
        <v>32</v>
      </c>
      <c r="H1140" s="12">
        <f t="shared" ca="1" si="109"/>
        <v>-9</v>
      </c>
      <c r="I1140" s="13">
        <f t="shared" ca="1" si="110"/>
        <v>-7</v>
      </c>
      <c r="J1140" s="14">
        <f t="shared" ca="1" si="107"/>
        <v>31</v>
      </c>
      <c r="K1140" s="12" t="s">
        <v>41</v>
      </c>
      <c r="L1140" s="15">
        <v>89</v>
      </c>
      <c r="M1140" s="25" t="s">
        <v>40</v>
      </c>
      <c r="N1140">
        <v>242</v>
      </c>
    </row>
    <row r="1141" spans="1:14">
      <c r="A1141" s="25">
        <f t="shared" si="111"/>
        <v>1138</v>
      </c>
      <c r="B1141" s="67" t="s">
        <v>12</v>
      </c>
      <c r="C1141" s="67" t="s">
        <v>710</v>
      </c>
      <c r="D1141" s="67" t="s">
        <v>652</v>
      </c>
      <c r="E1141" s="22">
        <f t="shared" ca="1" si="112"/>
        <v>40951</v>
      </c>
      <c r="F1141" s="11">
        <f>DATE(2004,6,15)</f>
        <v>38153</v>
      </c>
      <c r="G1141" s="12">
        <f t="shared" ca="1" si="108"/>
        <v>8</v>
      </c>
      <c r="H1141" s="12">
        <f t="shared" ca="1" si="109"/>
        <v>-4</v>
      </c>
      <c r="I1141" s="13">
        <f t="shared" ca="1" si="110"/>
        <v>-3</v>
      </c>
      <c r="J1141" s="14">
        <f t="shared" ca="1" si="107"/>
        <v>7</v>
      </c>
      <c r="K1141" s="12" t="s">
        <v>41</v>
      </c>
      <c r="L1141" s="15">
        <v>89</v>
      </c>
      <c r="M1141" s="25" t="s">
        <v>44</v>
      </c>
      <c r="N1141">
        <v>242</v>
      </c>
    </row>
    <row r="1142" spans="1:14">
      <c r="A1142" s="25">
        <f t="shared" si="111"/>
        <v>1139</v>
      </c>
      <c r="B1142" s="67" t="s">
        <v>12</v>
      </c>
      <c r="C1142" s="67" t="s">
        <v>814</v>
      </c>
      <c r="D1142" s="67" t="s">
        <v>652</v>
      </c>
      <c r="E1142" s="22">
        <f t="shared" ca="1" si="112"/>
        <v>40951</v>
      </c>
      <c r="F1142" s="11">
        <f>DATE(2006,10,4)</f>
        <v>38994</v>
      </c>
      <c r="G1142" s="12">
        <f t="shared" ca="1" si="108"/>
        <v>6</v>
      </c>
      <c r="H1142" s="12">
        <f t="shared" ca="1" si="109"/>
        <v>-8</v>
      </c>
      <c r="I1142" s="13">
        <f t="shared" ca="1" si="110"/>
        <v>8</v>
      </c>
      <c r="J1142" s="14">
        <f t="shared" ca="1" si="107"/>
        <v>5</v>
      </c>
      <c r="K1142" s="12" t="s">
        <v>40</v>
      </c>
      <c r="L1142" s="15">
        <v>89</v>
      </c>
      <c r="M1142" s="25" t="s">
        <v>44</v>
      </c>
      <c r="N1142">
        <v>242</v>
      </c>
    </row>
    <row r="1143" spans="1:14" ht="15.75" thickBot="1">
      <c r="A1143" s="26">
        <f t="shared" si="111"/>
        <v>1140</v>
      </c>
      <c r="B1143" s="67" t="s">
        <v>12</v>
      </c>
      <c r="C1143" s="68" t="s">
        <v>815</v>
      </c>
      <c r="D1143" s="68" t="s">
        <v>816</v>
      </c>
      <c r="E1143" s="23">
        <f t="shared" ca="1" si="112"/>
        <v>40951</v>
      </c>
      <c r="F1143" s="33"/>
      <c r="G1143" s="17">
        <f t="shared" ca="1" si="108"/>
        <v>112</v>
      </c>
      <c r="H1143" s="17">
        <f t="shared" ca="1" si="109"/>
        <v>1</v>
      </c>
      <c r="I1143" s="18">
        <f t="shared" ca="1" si="110"/>
        <v>12</v>
      </c>
      <c r="J1143" s="19">
        <f t="shared" ca="1" si="107"/>
        <v>112</v>
      </c>
      <c r="K1143" s="17" t="s">
        <v>40</v>
      </c>
      <c r="L1143" s="20">
        <v>89</v>
      </c>
      <c r="M1143" s="26" t="s">
        <v>40</v>
      </c>
      <c r="N1143">
        <v>242</v>
      </c>
    </row>
    <row r="1144" spans="1:14">
      <c r="A1144" s="25">
        <f t="shared" si="111"/>
        <v>1141</v>
      </c>
      <c r="B1144" s="67" t="s">
        <v>12</v>
      </c>
      <c r="C1144" s="67" t="s">
        <v>817</v>
      </c>
      <c r="D1144" s="67" t="s">
        <v>716</v>
      </c>
      <c r="E1144" s="22">
        <f t="shared" ca="1" si="112"/>
        <v>40951</v>
      </c>
      <c r="F1144" s="11">
        <f>DATE(53,3,2)</f>
        <v>19420</v>
      </c>
      <c r="G1144" s="12">
        <f t="shared" ca="1" si="108"/>
        <v>59</v>
      </c>
      <c r="H1144" s="12">
        <f t="shared" ca="1" si="109"/>
        <v>-1</v>
      </c>
      <c r="I1144" s="13">
        <f t="shared" ca="1" si="110"/>
        <v>10</v>
      </c>
      <c r="J1144" s="14">
        <f t="shared" ca="1" si="107"/>
        <v>58</v>
      </c>
      <c r="K1144" s="12" t="s">
        <v>40</v>
      </c>
      <c r="L1144" s="15">
        <v>90</v>
      </c>
      <c r="M1144" s="25" t="s">
        <v>40</v>
      </c>
      <c r="N1144">
        <v>243</v>
      </c>
    </row>
    <row r="1145" spans="1:14">
      <c r="A1145" s="25">
        <f t="shared" si="111"/>
        <v>1142</v>
      </c>
      <c r="B1145" s="67" t="s">
        <v>12</v>
      </c>
      <c r="C1145" s="67" t="s">
        <v>115</v>
      </c>
      <c r="D1145" s="67" t="s">
        <v>817</v>
      </c>
      <c r="E1145" s="22">
        <f t="shared" ca="1" si="112"/>
        <v>40951</v>
      </c>
      <c r="F1145" s="11">
        <f>DATE(58,9,9)</f>
        <v>21437</v>
      </c>
      <c r="G1145" s="12">
        <f t="shared" ca="1" si="108"/>
        <v>54</v>
      </c>
      <c r="H1145" s="12">
        <f t="shared" ca="1" si="109"/>
        <v>-7</v>
      </c>
      <c r="I1145" s="13">
        <f t="shared" ca="1" si="110"/>
        <v>3</v>
      </c>
      <c r="J1145" s="14">
        <f t="shared" ca="1" si="107"/>
        <v>53</v>
      </c>
      <c r="K1145" s="12" t="s">
        <v>41</v>
      </c>
      <c r="L1145" s="15">
        <v>90</v>
      </c>
      <c r="M1145" s="25" t="s">
        <v>40</v>
      </c>
      <c r="N1145">
        <v>243</v>
      </c>
    </row>
    <row r="1146" spans="1:14">
      <c r="A1146" s="25">
        <f t="shared" si="111"/>
        <v>1143</v>
      </c>
      <c r="B1146" s="67" t="s">
        <v>12</v>
      </c>
      <c r="C1146" s="67" t="s">
        <v>818</v>
      </c>
      <c r="D1146" s="67" t="s">
        <v>817</v>
      </c>
      <c r="E1146" s="22">
        <f t="shared" ca="1" si="112"/>
        <v>40951</v>
      </c>
      <c r="F1146" s="11">
        <f>DATE(84,5,8)</f>
        <v>30810</v>
      </c>
      <c r="G1146" s="12">
        <f t="shared" ca="1" si="108"/>
        <v>28</v>
      </c>
      <c r="H1146" s="12">
        <f t="shared" ca="1" si="109"/>
        <v>-3</v>
      </c>
      <c r="I1146" s="13">
        <f t="shared" ca="1" si="110"/>
        <v>4</v>
      </c>
      <c r="J1146" s="14">
        <f t="shared" ca="1" si="107"/>
        <v>27</v>
      </c>
      <c r="K1146" s="12" t="s">
        <v>41</v>
      </c>
      <c r="L1146" s="15">
        <v>90</v>
      </c>
      <c r="M1146" s="25" t="s">
        <v>44</v>
      </c>
      <c r="N1146">
        <v>243</v>
      </c>
    </row>
    <row r="1147" spans="1:14">
      <c r="A1147" s="25">
        <f t="shared" si="111"/>
        <v>1144</v>
      </c>
      <c r="B1147" s="67" t="s">
        <v>12</v>
      </c>
      <c r="C1147" s="67" t="s">
        <v>819</v>
      </c>
      <c r="D1147" s="67" t="s">
        <v>817</v>
      </c>
      <c r="E1147" s="22">
        <f t="shared" ca="1" si="112"/>
        <v>40951</v>
      </c>
      <c r="F1147" s="11">
        <f>DATE(81,2,27)</f>
        <v>29644</v>
      </c>
      <c r="G1147" s="12">
        <f t="shared" ca="1" si="108"/>
        <v>31</v>
      </c>
      <c r="H1147" s="12">
        <f t="shared" ca="1" si="109"/>
        <v>0</v>
      </c>
      <c r="I1147" s="13">
        <f t="shared" ca="1" si="110"/>
        <v>-15</v>
      </c>
      <c r="J1147" s="14">
        <f t="shared" ca="1" si="107"/>
        <v>30</v>
      </c>
      <c r="K1147" s="12" t="s">
        <v>40</v>
      </c>
      <c r="L1147" s="15">
        <v>90</v>
      </c>
      <c r="M1147" s="25" t="s">
        <v>40</v>
      </c>
      <c r="N1147">
        <v>243</v>
      </c>
    </row>
    <row r="1148" spans="1:14" ht="15.75" thickBot="1">
      <c r="A1148" s="26">
        <f t="shared" si="111"/>
        <v>1145</v>
      </c>
      <c r="B1148" s="68" t="s">
        <v>12</v>
      </c>
      <c r="C1148" s="68" t="s">
        <v>716</v>
      </c>
      <c r="D1148" s="68"/>
      <c r="E1148" s="23">
        <f t="shared" ca="1" si="112"/>
        <v>40951</v>
      </c>
      <c r="F1148" s="33"/>
      <c r="G1148" s="17">
        <f t="shared" ca="1" si="108"/>
        <v>112</v>
      </c>
      <c r="H1148" s="17">
        <f t="shared" ca="1" si="109"/>
        <v>1</v>
      </c>
      <c r="I1148" s="18">
        <f t="shared" ca="1" si="110"/>
        <v>12</v>
      </c>
      <c r="J1148" s="19">
        <f t="shared" ca="1" si="107"/>
        <v>112</v>
      </c>
      <c r="K1148" s="17" t="s">
        <v>40</v>
      </c>
      <c r="L1148" s="20">
        <v>90</v>
      </c>
      <c r="M1148" s="26" t="s">
        <v>40</v>
      </c>
      <c r="N1148">
        <v>243</v>
      </c>
    </row>
    <row r="1149" spans="1:14">
      <c r="A1149" s="25">
        <f t="shared" si="111"/>
        <v>1146</v>
      </c>
      <c r="B1149" s="67" t="s">
        <v>12</v>
      </c>
      <c r="C1149" s="67" t="s">
        <v>249</v>
      </c>
      <c r="D1149" s="67" t="s">
        <v>70</v>
      </c>
      <c r="E1149" s="22">
        <f t="shared" ca="1" si="112"/>
        <v>40951</v>
      </c>
      <c r="F1149" s="11">
        <f>DATE(49,11,23)</f>
        <v>18225</v>
      </c>
      <c r="G1149" s="12">
        <f t="shared" ca="1" si="108"/>
        <v>63</v>
      </c>
      <c r="H1149" s="12">
        <f t="shared" ca="1" si="109"/>
        <v>-9</v>
      </c>
      <c r="I1149" s="13">
        <f t="shared" ca="1" si="110"/>
        <v>-11</v>
      </c>
      <c r="J1149" s="14">
        <f t="shared" ca="1" si="107"/>
        <v>62</v>
      </c>
      <c r="K1149" s="12" t="s">
        <v>40</v>
      </c>
      <c r="L1149" s="15">
        <v>90</v>
      </c>
      <c r="M1149" s="25" t="s">
        <v>40</v>
      </c>
      <c r="N1149">
        <v>244</v>
      </c>
    </row>
    <row r="1150" spans="1:14">
      <c r="A1150" s="25">
        <f t="shared" si="111"/>
        <v>1147</v>
      </c>
      <c r="B1150" s="67" t="s">
        <v>12</v>
      </c>
      <c r="C1150" s="67" t="s">
        <v>615</v>
      </c>
      <c r="D1150" s="67" t="s">
        <v>249</v>
      </c>
      <c r="E1150" s="22">
        <f t="shared" ca="1" si="112"/>
        <v>40951</v>
      </c>
      <c r="F1150" s="11">
        <f>DATE(54,11,6)</f>
        <v>20034</v>
      </c>
      <c r="G1150" s="12">
        <f t="shared" ca="1" si="108"/>
        <v>58</v>
      </c>
      <c r="H1150" s="12">
        <f t="shared" ca="1" si="109"/>
        <v>-9</v>
      </c>
      <c r="I1150" s="13">
        <f t="shared" ca="1" si="110"/>
        <v>6</v>
      </c>
      <c r="J1150" s="14">
        <f t="shared" ca="1" si="107"/>
        <v>57</v>
      </c>
      <c r="K1150" s="12" t="s">
        <v>41</v>
      </c>
      <c r="L1150" s="15">
        <v>90</v>
      </c>
      <c r="M1150" s="25" t="s">
        <v>40</v>
      </c>
      <c r="N1150">
        <v>244</v>
      </c>
    </row>
    <row r="1151" spans="1:14" ht="15.75" thickBot="1">
      <c r="A1151" s="26">
        <f t="shared" si="111"/>
        <v>1148</v>
      </c>
      <c r="B1151" s="68" t="s">
        <v>12</v>
      </c>
      <c r="C1151" s="68" t="s">
        <v>820</v>
      </c>
      <c r="D1151" s="68" t="s">
        <v>249</v>
      </c>
      <c r="E1151" s="23">
        <f t="shared" ca="1" si="112"/>
        <v>40951</v>
      </c>
      <c r="F1151" s="16">
        <f>DATE(89,9,26)</f>
        <v>32777</v>
      </c>
      <c r="G1151" s="17">
        <f t="shared" ca="1" si="108"/>
        <v>23</v>
      </c>
      <c r="H1151" s="17">
        <f t="shared" ca="1" si="109"/>
        <v>-7</v>
      </c>
      <c r="I1151" s="18">
        <f t="shared" ca="1" si="110"/>
        <v>-14</v>
      </c>
      <c r="J1151" s="19">
        <f t="shared" ca="1" si="107"/>
        <v>22</v>
      </c>
      <c r="K1151" s="17" t="s">
        <v>40</v>
      </c>
      <c r="L1151" s="20">
        <v>90</v>
      </c>
      <c r="M1151" s="26" t="s">
        <v>44</v>
      </c>
      <c r="N1151">
        <v>244</v>
      </c>
    </row>
    <row r="1152" spans="1:14" ht="15.75" thickBot="1">
      <c r="A1152" s="43">
        <f t="shared" si="111"/>
        <v>1149</v>
      </c>
      <c r="B1152" s="69" t="s">
        <v>12</v>
      </c>
      <c r="C1152" s="69" t="s">
        <v>821</v>
      </c>
      <c r="D1152" s="69" t="s">
        <v>716</v>
      </c>
      <c r="E1152" s="37">
        <f t="shared" ca="1" si="112"/>
        <v>40951</v>
      </c>
      <c r="F1152" s="38">
        <f>DATE(42,12,4)</f>
        <v>15679</v>
      </c>
      <c r="G1152" s="39">
        <f t="shared" ca="1" si="108"/>
        <v>70</v>
      </c>
      <c r="H1152" s="39">
        <f t="shared" ca="1" si="109"/>
        <v>-10</v>
      </c>
      <c r="I1152" s="40">
        <f t="shared" ca="1" si="110"/>
        <v>8</v>
      </c>
      <c r="J1152" s="41">
        <f t="shared" ca="1" si="107"/>
        <v>69</v>
      </c>
      <c r="K1152" s="64" t="s">
        <v>40</v>
      </c>
      <c r="L1152" s="42">
        <v>90</v>
      </c>
      <c r="M1152" s="43" t="s">
        <v>40</v>
      </c>
      <c r="N1152">
        <v>245</v>
      </c>
    </row>
    <row r="1153" spans="1:14">
      <c r="A1153" s="25">
        <f t="shared" si="111"/>
        <v>1150</v>
      </c>
      <c r="B1153" s="67" t="s">
        <v>13</v>
      </c>
      <c r="C1153" s="67" t="s">
        <v>822</v>
      </c>
      <c r="D1153" s="67" t="s">
        <v>72</v>
      </c>
      <c r="E1153" s="22">
        <f t="shared" ca="1" si="112"/>
        <v>40951</v>
      </c>
      <c r="F1153" s="11">
        <f>DATE(68,11,20)</f>
        <v>25162</v>
      </c>
      <c r="G1153" s="12">
        <f t="shared" ca="1" si="108"/>
        <v>44</v>
      </c>
      <c r="H1153" s="12">
        <f t="shared" ca="1" si="109"/>
        <v>-9</v>
      </c>
      <c r="I1153" s="13">
        <f t="shared" ca="1" si="110"/>
        <v>-8</v>
      </c>
      <c r="J1153" s="14">
        <f t="shared" ca="1" si="107"/>
        <v>43</v>
      </c>
      <c r="K1153" s="12" t="s">
        <v>40</v>
      </c>
      <c r="L1153" s="15">
        <v>91</v>
      </c>
      <c r="M1153" s="25" t="s">
        <v>40</v>
      </c>
      <c r="N1153">
        <v>246</v>
      </c>
    </row>
    <row r="1154" spans="1:14">
      <c r="A1154" s="25">
        <f t="shared" si="111"/>
        <v>1151</v>
      </c>
      <c r="B1154" s="67" t="s">
        <v>13</v>
      </c>
      <c r="C1154" s="67" t="s">
        <v>150</v>
      </c>
      <c r="D1154" s="67" t="s">
        <v>521</v>
      </c>
      <c r="E1154" s="22">
        <f t="shared" ca="1" si="112"/>
        <v>40951</v>
      </c>
      <c r="F1154" s="11">
        <f>DATE(70,10,29)</f>
        <v>25870</v>
      </c>
      <c r="G1154" s="12">
        <f t="shared" ca="1" si="108"/>
        <v>42</v>
      </c>
      <c r="H1154" s="12">
        <f t="shared" ca="1" si="109"/>
        <v>-8</v>
      </c>
      <c r="I1154" s="13">
        <f t="shared" ca="1" si="110"/>
        <v>-17</v>
      </c>
      <c r="J1154" s="14">
        <f t="shared" ca="1" si="107"/>
        <v>41</v>
      </c>
      <c r="K1154" s="12" t="s">
        <v>41</v>
      </c>
      <c r="L1154" s="15">
        <v>91</v>
      </c>
      <c r="M1154" s="25" t="s">
        <v>40</v>
      </c>
      <c r="N1154">
        <v>246</v>
      </c>
    </row>
    <row r="1155" spans="1:14" ht="15.75" thickBot="1">
      <c r="A1155" s="26">
        <f t="shared" si="111"/>
        <v>1152</v>
      </c>
      <c r="B1155" s="68" t="s">
        <v>13</v>
      </c>
      <c r="C1155" s="68" t="s">
        <v>392</v>
      </c>
      <c r="D1155" s="68" t="s">
        <v>521</v>
      </c>
      <c r="E1155" s="23">
        <f t="shared" ca="1" si="112"/>
        <v>40951</v>
      </c>
      <c r="F1155" s="16">
        <f>DATE(97,1,11)</f>
        <v>35441</v>
      </c>
      <c r="G1155" s="17">
        <f t="shared" ca="1" si="108"/>
        <v>15</v>
      </c>
      <c r="H1155" s="17">
        <f t="shared" ca="1" si="109"/>
        <v>1</v>
      </c>
      <c r="I1155" s="18">
        <f t="shared" ca="1" si="110"/>
        <v>1</v>
      </c>
      <c r="J1155" s="19">
        <f t="shared" ca="1" si="107"/>
        <v>15</v>
      </c>
      <c r="K1155" s="17" t="s">
        <v>40</v>
      </c>
      <c r="L1155" s="20">
        <v>91</v>
      </c>
      <c r="M1155" s="26" t="s">
        <v>44</v>
      </c>
      <c r="N1155">
        <v>246</v>
      </c>
    </row>
    <row r="1156" spans="1:14">
      <c r="A1156" s="25">
        <f t="shared" si="111"/>
        <v>1153</v>
      </c>
      <c r="B1156" s="67" t="s">
        <v>13</v>
      </c>
      <c r="C1156" s="67" t="s">
        <v>521</v>
      </c>
      <c r="D1156" s="67" t="s">
        <v>198</v>
      </c>
      <c r="E1156" s="22">
        <f t="shared" ca="1" si="112"/>
        <v>40951</v>
      </c>
      <c r="F1156" s="11">
        <f>DATE(41,12,9)</f>
        <v>15319</v>
      </c>
      <c r="G1156" s="12">
        <f t="shared" ca="1" si="108"/>
        <v>71</v>
      </c>
      <c r="H1156" s="12">
        <f t="shared" ca="1" si="109"/>
        <v>-10</v>
      </c>
      <c r="I1156" s="13">
        <f t="shared" ca="1" si="110"/>
        <v>3</v>
      </c>
      <c r="J1156" s="14">
        <f t="shared" ref="J1156:J1219" ca="1" si="113">IF(H1156&lt;0,G1156-1,IF(H1156&gt;0,G1156,IF(I1156&lt;0,G1156-1,G1156)))</f>
        <v>70</v>
      </c>
      <c r="K1156" s="12" t="s">
        <v>40</v>
      </c>
      <c r="L1156" s="15">
        <v>91</v>
      </c>
      <c r="M1156" s="25" t="s">
        <v>40</v>
      </c>
      <c r="N1156">
        <v>247</v>
      </c>
    </row>
    <row r="1157" spans="1:14">
      <c r="A1157" s="25">
        <f t="shared" si="111"/>
        <v>1154</v>
      </c>
      <c r="B1157" s="67" t="s">
        <v>13</v>
      </c>
      <c r="C1157" s="67" t="s">
        <v>823</v>
      </c>
      <c r="D1157" s="67" t="s">
        <v>521</v>
      </c>
      <c r="E1157" s="22">
        <f t="shared" ca="1" si="112"/>
        <v>40951</v>
      </c>
      <c r="F1157" s="11">
        <f>DATE(48,8,31)</f>
        <v>17776</v>
      </c>
      <c r="G1157" s="12">
        <f t="shared" ca="1" si="108"/>
        <v>64</v>
      </c>
      <c r="H1157" s="12">
        <f t="shared" ca="1" si="109"/>
        <v>-6</v>
      </c>
      <c r="I1157" s="13">
        <f t="shared" ca="1" si="110"/>
        <v>-19</v>
      </c>
      <c r="J1157" s="14">
        <f t="shared" ca="1" si="113"/>
        <v>63</v>
      </c>
      <c r="K1157" s="12" t="s">
        <v>41</v>
      </c>
      <c r="L1157" s="15">
        <v>91</v>
      </c>
      <c r="M1157" s="25" t="s">
        <v>40</v>
      </c>
      <c r="N1157">
        <v>247</v>
      </c>
    </row>
    <row r="1158" spans="1:14">
      <c r="A1158" s="25">
        <f t="shared" si="111"/>
        <v>1155</v>
      </c>
      <c r="B1158" s="67" t="s">
        <v>13</v>
      </c>
      <c r="C1158" s="67" t="s">
        <v>824</v>
      </c>
      <c r="D1158" s="67" t="s">
        <v>521</v>
      </c>
      <c r="E1158" s="22">
        <f t="shared" ca="1" si="112"/>
        <v>40951</v>
      </c>
      <c r="F1158" s="11">
        <f>DATE(69,7,19)</f>
        <v>25403</v>
      </c>
      <c r="G1158" s="12">
        <f t="shared" ca="1" si="108"/>
        <v>43</v>
      </c>
      <c r="H1158" s="12">
        <f t="shared" ca="1" si="109"/>
        <v>-5</v>
      </c>
      <c r="I1158" s="13">
        <f t="shared" ca="1" si="110"/>
        <v>-7</v>
      </c>
      <c r="J1158" s="14">
        <f t="shared" ca="1" si="113"/>
        <v>42</v>
      </c>
      <c r="K1158" s="12" t="s">
        <v>40</v>
      </c>
      <c r="L1158" s="15">
        <v>91</v>
      </c>
      <c r="M1158" s="25" t="s">
        <v>40</v>
      </c>
      <c r="N1158">
        <v>247</v>
      </c>
    </row>
    <row r="1159" spans="1:14">
      <c r="A1159" s="25">
        <f t="shared" si="111"/>
        <v>1156</v>
      </c>
      <c r="B1159" s="67" t="s">
        <v>13</v>
      </c>
      <c r="C1159" s="67" t="s">
        <v>361</v>
      </c>
      <c r="D1159" s="67" t="s">
        <v>824</v>
      </c>
      <c r="E1159" s="22">
        <f t="shared" ca="1" si="112"/>
        <v>40951</v>
      </c>
      <c r="F1159" s="11">
        <f>DATE(78,1,24)</f>
        <v>28514</v>
      </c>
      <c r="G1159" s="12">
        <f t="shared" ca="1" si="108"/>
        <v>34</v>
      </c>
      <c r="H1159" s="12">
        <f t="shared" ca="1" si="109"/>
        <v>1</v>
      </c>
      <c r="I1159" s="13">
        <f t="shared" ca="1" si="110"/>
        <v>-12</v>
      </c>
      <c r="J1159" s="14">
        <f t="shared" ca="1" si="113"/>
        <v>34</v>
      </c>
      <c r="K1159" s="12" t="s">
        <v>41</v>
      </c>
      <c r="L1159" s="15">
        <v>91</v>
      </c>
      <c r="M1159" s="25" t="s">
        <v>40</v>
      </c>
      <c r="N1159">
        <v>247</v>
      </c>
    </row>
    <row r="1160" spans="1:14">
      <c r="A1160" s="25">
        <f t="shared" si="111"/>
        <v>1157</v>
      </c>
      <c r="B1160" s="67" t="s">
        <v>13</v>
      </c>
      <c r="C1160" s="67" t="s">
        <v>668</v>
      </c>
      <c r="D1160" s="67" t="s">
        <v>824</v>
      </c>
      <c r="E1160" s="22">
        <f t="shared" ca="1" si="112"/>
        <v>40951</v>
      </c>
      <c r="F1160" s="11">
        <f>DATE(2000,7,13)</f>
        <v>36720</v>
      </c>
      <c r="G1160" s="12">
        <f t="shared" ca="1" si="108"/>
        <v>12</v>
      </c>
      <c r="H1160" s="12">
        <f t="shared" ca="1" si="109"/>
        <v>-5</v>
      </c>
      <c r="I1160" s="13">
        <f t="shared" ca="1" si="110"/>
        <v>-1</v>
      </c>
      <c r="J1160" s="14">
        <f t="shared" ca="1" si="113"/>
        <v>11</v>
      </c>
      <c r="K1160" s="12" t="s">
        <v>41</v>
      </c>
      <c r="L1160" s="15">
        <v>91</v>
      </c>
      <c r="M1160" s="25" t="s">
        <v>44</v>
      </c>
      <c r="N1160">
        <v>247</v>
      </c>
    </row>
    <row r="1161" spans="1:14">
      <c r="A1161" s="25">
        <f t="shared" si="111"/>
        <v>1158</v>
      </c>
      <c r="B1161" s="67" t="s">
        <v>13</v>
      </c>
      <c r="C1161" s="67" t="s">
        <v>542</v>
      </c>
      <c r="D1161" s="67" t="s">
        <v>824</v>
      </c>
      <c r="E1161" s="22">
        <f t="shared" ca="1" si="112"/>
        <v>40951</v>
      </c>
      <c r="F1161" s="11">
        <f>DATE(2003,5,4)</f>
        <v>37745</v>
      </c>
      <c r="G1161" s="12">
        <f t="shared" ca="1" si="108"/>
        <v>9</v>
      </c>
      <c r="H1161" s="12">
        <f t="shared" ca="1" si="109"/>
        <v>-3</v>
      </c>
      <c r="I1161" s="13">
        <f t="shared" ca="1" si="110"/>
        <v>8</v>
      </c>
      <c r="J1161" s="14">
        <f t="shared" ca="1" si="113"/>
        <v>8</v>
      </c>
      <c r="K1161" s="12" t="s">
        <v>41</v>
      </c>
      <c r="L1161" s="15">
        <v>91</v>
      </c>
      <c r="M1161" s="25" t="s">
        <v>44</v>
      </c>
      <c r="N1161">
        <v>247</v>
      </c>
    </row>
    <row r="1162" spans="1:14">
      <c r="A1162" s="25">
        <f t="shared" si="111"/>
        <v>1159</v>
      </c>
      <c r="B1162" s="67" t="s">
        <v>13</v>
      </c>
      <c r="C1162" s="67" t="s">
        <v>825</v>
      </c>
      <c r="D1162" s="67" t="s">
        <v>521</v>
      </c>
      <c r="E1162" s="22">
        <f t="shared" ca="1" si="112"/>
        <v>40951</v>
      </c>
      <c r="F1162" s="11">
        <f>DATE(73,8,24)</f>
        <v>26900</v>
      </c>
      <c r="G1162" s="12">
        <f t="shared" ca="1" si="108"/>
        <v>39</v>
      </c>
      <c r="H1162" s="12">
        <f t="shared" ca="1" si="109"/>
        <v>-6</v>
      </c>
      <c r="I1162" s="13">
        <f t="shared" ca="1" si="110"/>
        <v>-12</v>
      </c>
      <c r="J1162" s="14">
        <f t="shared" ca="1" si="113"/>
        <v>38</v>
      </c>
      <c r="K1162" s="12" t="s">
        <v>40</v>
      </c>
      <c r="L1162" s="15">
        <v>91</v>
      </c>
      <c r="M1162" s="25" t="s">
        <v>40</v>
      </c>
      <c r="N1162">
        <v>247</v>
      </c>
    </row>
    <row r="1163" spans="1:14">
      <c r="A1163" s="25">
        <f t="shared" si="111"/>
        <v>1160</v>
      </c>
      <c r="B1163" s="67" t="s">
        <v>13</v>
      </c>
      <c r="C1163" s="67" t="s">
        <v>826</v>
      </c>
      <c r="D1163" s="67" t="s">
        <v>825</v>
      </c>
      <c r="E1163" s="22">
        <f t="shared" ca="1" si="112"/>
        <v>40951</v>
      </c>
      <c r="F1163" s="11">
        <f>DATE(76,11,2)</f>
        <v>28066</v>
      </c>
      <c r="G1163" s="12">
        <f t="shared" ca="1" si="108"/>
        <v>36</v>
      </c>
      <c r="H1163" s="12">
        <f t="shared" ca="1" si="109"/>
        <v>-9</v>
      </c>
      <c r="I1163" s="13">
        <f t="shared" ca="1" si="110"/>
        <v>10</v>
      </c>
      <c r="J1163" s="14">
        <f t="shared" ca="1" si="113"/>
        <v>35</v>
      </c>
      <c r="K1163" s="12" t="s">
        <v>41</v>
      </c>
      <c r="L1163" s="15">
        <v>91</v>
      </c>
      <c r="M1163" s="25" t="s">
        <v>40</v>
      </c>
      <c r="N1163">
        <v>247</v>
      </c>
    </row>
    <row r="1164" spans="1:14">
      <c r="A1164" s="25">
        <f t="shared" si="111"/>
        <v>1161</v>
      </c>
      <c r="B1164" s="67" t="s">
        <v>13</v>
      </c>
      <c r="C1164" s="67" t="s">
        <v>101</v>
      </c>
      <c r="D1164" s="67" t="s">
        <v>825</v>
      </c>
      <c r="E1164" s="22">
        <f t="shared" ca="1" si="112"/>
        <v>40951</v>
      </c>
      <c r="F1164" s="11">
        <f>DATE(2005,9,5)</f>
        <v>38600</v>
      </c>
      <c r="G1164" s="12">
        <f t="shared" ca="1" si="108"/>
        <v>7</v>
      </c>
      <c r="H1164" s="12">
        <f t="shared" ca="1" si="109"/>
        <v>-7</v>
      </c>
      <c r="I1164" s="13">
        <f t="shared" ca="1" si="110"/>
        <v>7</v>
      </c>
      <c r="J1164" s="14">
        <f t="shared" ca="1" si="113"/>
        <v>6</v>
      </c>
      <c r="K1164" s="12" t="s">
        <v>40</v>
      </c>
      <c r="L1164" s="15">
        <v>91</v>
      </c>
      <c r="M1164" s="25" t="s">
        <v>44</v>
      </c>
      <c r="N1164">
        <v>247</v>
      </c>
    </row>
    <row r="1165" spans="1:14">
      <c r="A1165" s="25">
        <f t="shared" si="111"/>
        <v>1162</v>
      </c>
      <c r="B1165" s="67" t="s">
        <v>13</v>
      </c>
      <c r="C1165" s="67" t="s">
        <v>827</v>
      </c>
      <c r="D1165" s="67" t="s">
        <v>521</v>
      </c>
      <c r="E1165" s="22">
        <f t="shared" ca="1" si="112"/>
        <v>40951</v>
      </c>
      <c r="F1165" s="11">
        <f>DATE(75,2,23)</f>
        <v>27448</v>
      </c>
      <c r="G1165" s="12">
        <f t="shared" ca="1" si="108"/>
        <v>37</v>
      </c>
      <c r="H1165" s="12">
        <f t="shared" ca="1" si="109"/>
        <v>0</v>
      </c>
      <c r="I1165" s="13">
        <f t="shared" ca="1" si="110"/>
        <v>-11</v>
      </c>
      <c r="J1165" s="14">
        <f t="shared" ca="1" si="113"/>
        <v>36</v>
      </c>
      <c r="K1165" s="12" t="s">
        <v>40</v>
      </c>
      <c r="L1165" s="15">
        <v>91</v>
      </c>
      <c r="M1165" s="25" t="s">
        <v>40</v>
      </c>
      <c r="N1165">
        <v>247</v>
      </c>
    </row>
    <row r="1166" spans="1:14">
      <c r="A1166" s="25">
        <f t="shared" si="111"/>
        <v>1163</v>
      </c>
      <c r="B1166" s="67" t="s">
        <v>13</v>
      </c>
      <c r="C1166" s="67" t="s">
        <v>350</v>
      </c>
      <c r="D1166" s="67" t="s">
        <v>827</v>
      </c>
      <c r="E1166" s="22">
        <f t="shared" ca="1" si="112"/>
        <v>40951</v>
      </c>
      <c r="F1166" s="11">
        <f>DATE(80,12,4)</f>
        <v>29559</v>
      </c>
      <c r="G1166" s="12">
        <f t="shared" ca="1" si="108"/>
        <v>32</v>
      </c>
      <c r="H1166" s="12">
        <f t="shared" ca="1" si="109"/>
        <v>-10</v>
      </c>
      <c r="I1166" s="13">
        <f t="shared" ca="1" si="110"/>
        <v>8</v>
      </c>
      <c r="J1166" s="14">
        <f t="shared" ca="1" si="113"/>
        <v>31</v>
      </c>
      <c r="K1166" s="12" t="s">
        <v>41</v>
      </c>
      <c r="L1166" s="15">
        <v>91</v>
      </c>
      <c r="M1166" s="25" t="s">
        <v>40</v>
      </c>
      <c r="N1166">
        <v>247</v>
      </c>
    </row>
    <row r="1167" spans="1:14" ht="15.75" thickBot="1">
      <c r="A1167" s="26">
        <f t="shared" si="111"/>
        <v>1164</v>
      </c>
      <c r="B1167" s="68" t="s">
        <v>13</v>
      </c>
      <c r="C1167" s="68" t="s">
        <v>828</v>
      </c>
      <c r="D1167" s="68" t="s">
        <v>827</v>
      </c>
      <c r="E1167" s="23">
        <f t="shared" ca="1" si="112"/>
        <v>40951</v>
      </c>
      <c r="F1167" s="16">
        <f>DATE(2006,9,26)</f>
        <v>38986</v>
      </c>
      <c r="G1167" s="17">
        <f t="shared" ca="1" si="108"/>
        <v>6</v>
      </c>
      <c r="H1167" s="17">
        <f t="shared" ca="1" si="109"/>
        <v>-7</v>
      </c>
      <c r="I1167" s="18">
        <f t="shared" ca="1" si="110"/>
        <v>-14</v>
      </c>
      <c r="J1167" s="19">
        <f t="shared" ca="1" si="113"/>
        <v>5</v>
      </c>
      <c r="K1167" s="17" t="s">
        <v>41</v>
      </c>
      <c r="L1167" s="20">
        <v>91</v>
      </c>
      <c r="M1167" s="26" t="s">
        <v>44</v>
      </c>
      <c r="N1167">
        <v>247</v>
      </c>
    </row>
    <row r="1168" spans="1:14">
      <c r="A1168" s="25">
        <f t="shared" si="111"/>
        <v>1165</v>
      </c>
      <c r="B1168" s="67" t="s">
        <v>13</v>
      </c>
      <c r="C1168" s="67" t="s">
        <v>829</v>
      </c>
      <c r="D1168" s="67" t="s">
        <v>830</v>
      </c>
      <c r="E1168" s="22">
        <f t="shared" ca="1" si="112"/>
        <v>40951</v>
      </c>
      <c r="F1168" s="32"/>
      <c r="G1168" s="12">
        <f t="shared" ca="1" si="108"/>
        <v>112</v>
      </c>
      <c r="H1168" s="12">
        <f t="shared" ca="1" si="109"/>
        <v>1</v>
      </c>
      <c r="I1168" s="13">
        <f t="shared" ca="1" si="110"/>
        <v>12</v>
      </c>
      <c r="J1168" s="14">
        <f t="shared" ca="1" si="113"/>
        <v>112</v>
      </c>
      <c r="K1168" s="12" t="s">
        <v>40</v>
      </c>
      <c r="L1168" s="15">
        <v>92</v>
      </c>
      <c r="M1168" s="25" t="s">
        <v>40</v>
      </c>
      <c r="N1168">
        <v>248</v>
      </c>
    </row>
    <row r="1169" spans="1:14">
      <c r="A1169" s="25">
        <f t="shared" si="111"/>
        <v>1166</v>
      </c>
      <c r="B1169" s="67" t="s">
        <v>13</v>
      </c>
      <c r="C1169" s="67" t="s">
        <v>831</v>
      </c>
      <c r="D1169" s="67" t="s">
        <v>832</v>
      </c>
      <c r="E1169" s="22">
        <f t="shared" ca="1" si="112"/>
        <v>40951</v>
      </c>
      <c r="F1169" s="32"/>
      <c r="G1169" s="12">
        <f t="shared" ca="1" si="108"/>
        <v>112</v>
      </c>
      <c r="H1169" s="12">
        <f t="shared" ca="1" si="109"/>
        <v>1</v>
      </c>
      <c r="I1169" s="13">
        <f t="shared" ca="1" si="110"/>
        <v>12</v>
      </c>
      <c r="J1169" s="14">
        <f t="shared" ca="1" si="113"/>
        <v>112</v>
      </c>
      <c r="K1169" s="12" t="s">
        <v>41</v>
      </c>
      <c r="L1169" s="15">
        <v>92</v>
      </c>
      <c r="M1169" s="25" t="s">
        <v>40</v>
      </c>
      <c r="N1169">
        <v>248</v>
      </c>
    </row>
    <row r="1170" spans="1:14">
      <c r="A1170" s="25">
        <f t="shared" si="111"/>
        <v>1167</v>
      </c>
      <c r="B1170" s="67" t="s">
        <v>13</v>
      </c>
      <c r="C1170" s="67" t="s">
        <v>315</v>
      </c>
      <c r="D1170" s="67" t="s">
        <v>832</v>
      </c>
      <c r="E1170" s="22">
        <f t="shared" ca="1" si="112"/>
        <v>40951</v>
      </c>
      <c r="F1170" s="11">
        <f>DATE(54,12,12)</f>
        <v>20070</v>
      </c>
      <c r="G1170" s="12">
        <f t="shared" ca="1" si="108"/>
        <v>58</v>
      </c>
      <c r="H1170" s="12">
        <f t="shared" ca="1" si="109"/>
        <v>-10</v>
      </c>
      <c r="I1170" s="13">
        <f t="shared" ca="1" si="110"/>
        <v>0</v>
      </c>
      <c r="J1170" s="14">
        <f t="shared" ca="1" si="113"/>
        <v>57</v>
      </c>
      <c r="K1170" s="12" t="s">
        <v>40</v>
      </c>
      <c r="L1170" s="15">
        <v>92</v>
      </c>
      <c r="M1170" s="25" t="s">
        <v>40</v>
      </c>
      <c r="N1170">
        <v>248</v>
      </c>
    </row>
    <row r="1171" spans="1:14">
      <c r="A1171" s="25">
        <f t="shared" si="111"/>
        <v>1168</v>
      </c>
      <c r="B1171" s="67" t="s">
        <v>13</v>
      </c>
      <c r="C1171" s="67" t="s">
        <v>400</v>
      </c>
      <c r="D1171" s="67" t="s">
        <v>833</v>
      </c>
      <c r="E1171" s="22">
        <f t="shared" ca="1" si="112"/>
        <v>40951</v>
      </c>
      <c r="F1171" s="11">
        <f>DATE(62,11,22)</f>
        <v>22972</v>
      </c>
      <c r="G1171" s="12">
        <f t="shared" ca="1" si="108"/>
        <v>50</v>
      </c>
      <c r="H1171" s="12">
        <f t="shared" ca="1" si="109"/>
        <v>-9</v>
      </c>
      <c r="I1171" s="13">
        <f t="shared" ca="1" si="110"/>
        <v>-10</v>
      </c>
      <c r="J1171" s="14">
        <f t="shared" ca="1" si="113"/>
        <v>49</v>
      </c>
      <c r="K1171" s="12" t="s">
        <v>41</v>
      </c>
      <c r="L1171" s="15">
        <v>92</v>
      </c>
      <c r="M1171" s="25" t="s">
        <v>40</v>
      </c>
      <c r="N1171">
        <v>248</v>
      </c>
    </row>
    <row r="1172" spans="1:14">
      <c r="A1172" s="25">
        <f t="shared" si="111"/>
        <v>1169</v>
      </c>
      <c r="B1172" s="67" t="s">
        <v>13</v>
      </c>
      <c r="C1172" s="67" t="s">
        <v>422</v>
      </c>
      <c r="D1172" s="67" t="s">
        <v>833</v>
      </c>
      <c r="E1172" s="22">
        <f t="shared" ca="1" si="112"/>
        <v>40951</v>
      </c>
      <c r="F1172" s="11">
        <f>DATE(85,9,19)</f>
        <v>31309</v>
      </c>
      <c r="G1172" s="12">
        <f t="shared" ca="1" si="108"/>
        <v>27</v>
      </c>
      <c r="H1172" s="12">
        <f t="shared" ca="1" si="109"/>
        <v>-7</v>
      </c>
      <c r="I1172" s="13">
        <f t="shared" ca="1" si="110"/>
        <v>-7</v>
      </c>
      <c r="J1172" s="14">
        <f t="shared" ca="1" si="113"/>
        <v>26</v>
      </c>
      <c r="K1172" s="12" t="s">
        <v>41</v>
      </c>
      <c r="L1172" s="15">
        <v>92</v>
      </c>
      <c r="M1172" s="25" t="s">
        <v>44</v>
      </c>
      <c r="N1172">
        <v>248</v>
      </c>
    </row>
    <row r="1173" spans="1:14" ht="15.75" thickBot="1">
      <c r="A1173" s="26">
        <f t="shared" si="111"/>
        <v>1170</v>
      </c>
      <c r="B1173" s="68" t="s">
        <v>13</v>
      </c>
      <c r="C1173" s="68" t="s">
        <v>834</v>
      </c>
      <c r="D1173" s="68" t="s">
        <v>833</v>
      </c>
      <c r="E1173" s="23">
        <f t="shared" ca="1" si="112"/>
        <v>40951</v>
      </c>
      <c r="F1173" s="16">
        <f>DATE(91,4,22)</f>
        <v>33350</v>
      </c>
      <c r="G1173" s="17">
        <f t="shared" ca="1" si="108"/>
        <v>21</v>
      </c>
      <c r="H1173" s="17">
        <f t="shared" ca="1" si="109"/>
        <v>-2</v>
      </c>
      <c r="I1173" s="18">
        <f t="shared" ca="1" si="110"/>
        <v>-10</v>
      </c>
      <c r="J1173" s="19">
        <f t="shared" ca="1" si="113"/>
        <v>20</v>
      </c>
      <c r="K1173" s="17" t="s">
        <v>40</v>
      </c>
      <c r="L1173" s="20">
        <v>92</v>
      </c>
      <c r="M1173" s="26" t="s">
        <v>44</v>
      </c>
      <c r="N1173">
        <v>248</v>
      </c>
    </row>
    <row r="1174" spans="1:14">
      <c r="A1174" s="25">
        <f t="shared" si="111"/>
        <v>1171</v>
      </c>
      <c r="B1174" s="67" t="s">
        <v>13</v>
      </c>
      <c r="C1174" s="67" t="s">
        <v>835</v>
      </c>
      <c r="D1174" s="67" t="s">
        <v>573</v>
      </c>
      <c r="E1174" s="22">
        <f t="shared" ca="1" si="112"/>
        <v>40951</v>
      </c>
      <c r="F1174" s="32"/>
      <c r="G1174" s="12">
        <f t="shared" ca="1" si="108"/>
        <v>112</v>
      </c>
      <c r="H1174" s="12">
        <f t="shared" ca="1" si="109"/>
        <v>1</v>
      </c>
      <c r="I1174" s="13">
        <f t="shared" ca="1" si="110"/>
        <v>12</v>
      </c>
      <c r="J1174" s="14">
        <f t="shared" ca="1" si="113"/>
        <v>112</v>
      </c>
      <c r="K1174" s="12" t="s">
        <v>40</v>
      </c>
      <c r="L1174" s="15">
        <v>92</v>
      </c>
      <c r="M1174" s="25" t="s">
        <v>40</v>
      </c>
      <c r="N1174">
        <v>249</v>
      </c>
    </row>
    <row r="1175" spans="1:14">
      <c r="A1175" s="25">
        <f t="shared" si="111"/>
        <v>1172</v>
      </c>
      <c r="B1175" s="67" t="s">
        <v>13</v>
      </c>
      <c r="C1175" s="67" t="s">
        <v>105</v>
      </c>
      <c r="D1175" s="67" t="s">
        <v>835</v>
      </c>
      <c r="E1175" s="22">
        <f t="shared" ca="1" si="112"/>
        <v>40951</v>
      </c>
      <c r="F1175" s="32"/>
      <c r="G1175" s="12">
        <f t="shared" ca="1" si="108"/>
        <v>112</v>
      </c>
      <c r="H1175" s="12">
        <f t="shared" ca="1" si="109"/>
        <v>1</v>
      </c>
      <c r="I1175" s="13">
        <f t="shared" ca="1" si="110"/>
        <v>12</v>
      </c>
      <c r="J1175" s="14">
        <f t="shared" ca="1" si="113"/>
        <v>112</v>
      </c>
      <c r="K1175" s="12" t="s">
        <v>41</v>
      </c>
      <c r="L1175" s="15">
        <v>92</v>
      </c>
      <c r="M1175" s="25" t="s">
        <v>40</v>
      </c>
      <c r="N1175">
        <v>249</v>
      </c>
    </row>
    <row r="1176" spans="1:14">
      <c r="A1176" s="25">
        <f t="shared" si="111"/>
        <v>1173</v>
      </c>
      <c r="B1176" s="67" t="s">
        <v>13</v>
      </c>
      <c r="C1176" s="67" t="s">
        <v>801</v>
      </c>
      <c r="D1176" s="67" t="s">
        <v>835</v>
      </c>
      <c r="E1176" s="22">
        <f t="shared" ca="1" si="112"/>
        <v>40951</v>
      </c>
      <c r="F1176" s="32"/>
      <c r="G1176" s="12">
        <f t="shared" ca="1" si="108"/>
        <v>112</v>
      </c>
      <c r="H1176" s="12">
        <f t="shared" ca="1" si="109"/>
        <v>1</v>
      </c>
      <c r="I1176" s="13">
        <f t="shared" ca="1" si="110"/>
        <v>12</v>
      </c>
      <c r="J1176" s="14">
        <f t="shared" ca="1" si="113"/>
        <v>112</v>
      </c>
      <c r="K1176" s="12" t="s">
        <v>41</v>
      </c>
      <c r="L1176" s="15">
        <v>92</v>
      </c>
      <c r="M1176" s="25" t="s">
        <v>44</v>
      </c>
      <c r="N1176">
        <v>249</v>
      </c>
    </row>
    <row r="1177" spans="1:14" ht="15.75" thickBot="1">
      <c r="A1177" s="26">
        <f t="shared" si="111"/>
        <v>1174</v>
      </c>
      <c r="B1177" s="68" t="s">
        <v>13</v>
      </c>
      <c r="C1177" s="68" t="s">
        <v>376</v>
      </c>
      <c r="D1177" s="68" t="s">
        <v>835</v>
      </c>
      <c r="E1177" s="23">
        <f t="shared" ca="1" si="112"/>
        <v>40951</v>
      </c>
      <c r="F1177" s="33"/>
      <c r="G1177" s="17">
        <f t="shared" ca="1" si="108"/>
        <v>112</v>
      </c>
      <c r="H1177" s="17">
        <f t="shared" ca="1" si="109"/>
        <v>1</v>
      </c>
      <c r="I1177" s="18">
        <f t="shared" ca="1" si="110"/>
        <v>12</v>
      </c>
      <c r="J1177" s="19">
        <f t="shared" ca="1" si="113"/>
        <v>112</v>
      </c>
      <c r="K1177" s="17" t="s">
        <v>40</v>
      </c>
      <c r="L1177" s="20">
        <v>92</v>
      </c>
      <c r="M1177" s="26" t="s">
        <v>44</v>
      </c>
      <c r="N1177">
        <v>249</v>
      </c>
    </row>
    <row r="1178" spans="1:14">
      <c r="A1178" s="25">
        <f t="shared" si="111"/>
        <v>1175</v>
      </c>
      <c r="B1178" s="67" t="s">
        <v>13</v>
      </c>
      <c r="C1178" s="67" t="s">
        <v>333</v>
      </c>
      <c r="D1178" s="67" t="s">
        <v>832</v>
      </c>
      <c r="E1178" s="22">
        <f t="shared" ca="1" si="112"/>
        <v>40951</v>
      </c>
      <c r="F1178" s="11">
        <f>DATE(52,7,1)</f>
        <v>19176</v>
      </c>
      <c r="G1178" s="12">
        <f t="shared" ref="G1178:G1241" ca="1" si="114">YEAR(E1178)-YEAR(F1178)</f>
        <v>60</v>
      </c>
      <c r="H1178" s="12">
        <f t="shared" ref="H1178:H1241" ca="1" si="115">MONTH(E1178)-MONTH(F1178)</f>
        <v>-5</v>
      </c>
      <c r="I1178" s="13">
        <f t="shared" ref="I1178:I1241" ca="1" si="116">DAY(E1178)-DAY(F1178)</f>
        <v>11</v>
      </c>
      <c r="J1178" s="14">
        <f t="shared" ca="1" si="113"/>
        <v>59</v>
      </c>
      <c r="K1178" s="12" t="s">
        <v>40</v>
      </c>
      <c r="L1178" s="15">
        <v>92</v>
      </c>
      <c r="M1178" s="25" t="s">
        <v>40</v>
      </c>
      <c r="N1178">
        <v>250</v>
      </c>
    </row>
    <row r="1179" spans="1:14">
      <c r="A1179" s="25">
        <f t="shared" si="111"/>
        <v>1176</v>
      </c>
      <c r="B1179" s="67" t="s">
        <v>13</v>
      </c>
      <c r="C1179" s="67" t="s">
        <v>836</v>
      </c>
      <c r="D1179" s="67" t="s">
        <v>333</v>
      </c>
      <c r="E1179" s="22">
        <f t="shared" ca="1" si="112"/>
        <v>40951</v>
      </c>
      <c r="F1179" s="11">
        <f>DATE(57,4,2)</f>
        <v>20912</v>
      </c>
      <c r="G1179" s="12">
        <f t="shared" ca="1" si="114"/>
        <v>55</v>
      </c>
      <c r="H1179" s="12">
        <f t="shared" ca="1" si="115"/>
        <v>-2</v>
      </c>
      <c r="I1179" s="13">
        <f t="shared" ca="1" si="116"/>
        <v>10</v>
      </c>
      <c r="J1179" s="14">
        <f t="shared" ca="1" si="113"/>
        <v>54</v>
      </c>
      <c r="K1179" s="12" t="s">
        <v>41</v>
      </c>
      <c r="L1179" s="15">
        <v>92</v>
      </c>
      <c r="M1179" s="25" t="s">
        <v>40</v>
      </c>
      <c r="N1179">
        <v>250</v>
      </c>
    </row>
    <row r="1180" spans="1:14" ht="15.75" thickBot="1">
      <c r="A1180" s="26">
        <f t="shared" si="111"/>
        <v>1177</v>
      </c>
      <c r="B1180" s="68" t="s">
        <v>13</v>
      </c>
      <c r="C1180" s="68" t="s">
        <v>542</v>
      </c>
      <c r="D1180" s="68" t="s">
        <v>333</v>
      </c>
      <c r="E1180" s="23">
        <f t="shared" ca="1" si="112"/>
        <v>40951</v>
      </c>
      <c r="F1180" s="16">
        <f>DATE(85,1,3)</f>
        <v>31050</v>
      </c>
      <c r="G1180" s="17">
        <f t="shared" ca="1" si="114"/>
        <v>27</v>
      </c>
      <c r="H1180" s="17">
        <f t="shared" ca="1" si="115"/>
        <v>1</v>
      </c>
      <c r="I1180" s="18">
        <f t="shared" ca="1" si="116"/>
        <v>9</v>
      </c>
      <c r="J1180" s="19">
        <f t="shared" ca="1" si="113"/>
        <v>27</v>
      </c>
      <c r="K1180" s="17" t="s">
        <v>40</v>
      </c>
      <c r="L1180" s="20">
        <v>92</v>
      </c>
      <c r="M1180" s="26" t="s">
        <v>44</v>
      </c>
      <c r="N1180">
        <v>250</v>
      </c>
    </row>
    <row r="1181" spans="1:14">
      <c r="A1181" s="25">
        <f t="shared" si="111"/>
        <v>1178</v>
      </c>
      <c r="B1181" s="67" t="s">
        <v>13</v>
      </c>
      <c r="C1181" s="67" t="s">
        <v>647</v>
      </c>
      <c r="D1181" s="67" t="s">
        <v>837</v>
      </c>
      <c r="E1181" s="22">
        <f t="shared" ca="1" si="112"/>
        <v>40951</v>
      </c>
      <c r="F1181" s="32"/>
      <c r="G1181" s="12">
        <f t="shared" ca="1" si="114"/>
        <v>112</v>
      </c>
      <c r="H1181" s="12">
        <f t="shared" ca="1" si="115"/>
        <v>1</v>
      </c>
      <c r="I1181" s="13">
        <f t="shared" ca="1" si="116"/>
        <v>12</v>
      </c>
      <c r="J1181" s="14">
        <f t="shared" ca="1" si="113"/>
        <v>112</v>
      </c>
      <c r="K1181" s="12" t="s">
        <v>41</v>
      </c>
      <c r="L1181" s="15">
        <v>93</v>
      </c>
      <c r="M1181" s="25" t="s">
        <v>40</v>
      </c>
      <c r="N1181">
        <v>251</v>
      </c>
    </row>
    <row r="1182" spans="1:14">
      <c r="A1182" s="25">
        <f t="shared" ref="A1182:A1245" si="117">A1181+1</f>
        <v>1179</v>
      </c>
      <c r="B1182" s="67" t="s">
        <v>13</v>
      </c>
      <c r="C1182" s="67" t="s">
        <v>838</v>
      </c>
      <c r="D1182" s="67" t="s">
        <v>837</v>
      </c>
      <c r="E1182" s="22">
        <f t="shared" ca="1" si="112"/>
        <v>40951</v>
      </c>
      <c r="F1182" s="11">
        <f>DATE(63,4,27)</f>
        <v>23128</v>
      </c>
      <c r="G1182" s="12">
        <f t="shared" ca="1" si="114"/>
        <v>49</v>
      </c>
      <c r="H1182" s="12">
        <f t="shared" ca="1" si="115"/>
        <v>-2</v>
      </c>
      <c r="I1182" s="13">
        <f t="shared" ca="1" si="116"/>
        <v>-15</v>
      </c>
      <c r="J1182" s="14">
        <f t="shared" ca="1" si="113"/>
        <v>48</v>
      </c>
      <c r="K1182" s="12" t="s">
        <v>40</v>
      </c>
      <c r="L1182" s="15">
        <v>93</v>
      </c>
      <c r="M1182" s="25" t="s">
        <v>40</v>
      </c>
      <c r="N1182">
        <v>251</v>
      </c>
    </row>
    <row r="1183" spans="1:14">
      <c r="A1183" s="25">
        <f t="shared" si="117"/>
        <v>1180</v>
      </c>
      <c r="B1183" s="67" t="s">
        <v>13</v>
      </c>
      <c r="C1183" s="67" t="s">
        <v>73</v>
      </c>
      <c r="D1183" s="67" t="s">
        <v>838</v>
      </c>
      <c r="E1183" s="22">
        <f t="shared" ca="1" si="112"/>
        <v>40951</v>
      </c>
      <c r="F1183" s="11">
        <f>DATE(69,3,19)</f>
        <v>25281</v>
      </c>
      <c r="G1183" s="12">
        <f t="shared" ca="1" si="114"/>
        <v>43</v>
      </c>
      <c r="H1183" s="12">
        <f t="shared" ca="1" si="115"/>
        <v>-1</v>
      </c>
      <c r="I1183" s="13">
        <f t="shared" ca="1" si="116"/>
        <v>-7</v>
      </c>
      <c r="J1183" s="14">
        <f t="shared" ca="1" si="113"/>
        <v>42</v>
      </c>
      <c r="K1183" s="12" t="s">
        <v>41</v>
      </c>
      <c r="L1183" s="15">
        <v>93</v>
      </c>
      <c r="M1183" s="25" t="s">
        <v>40</v>
      </c>
      <c r="N1183">
        <v>251</v>
      </c>
    </row>
    <row r="1184" spans="1:14">
      <c r="A1184" s="25">
        <f t="shared" si="117"/>
        <v>1181</v>
      </c>
      <c r="B1184" s="67" t="s">
        <v>13</v>
      </c>
      <c r="C1184" s="67" t="s">
        <v>344</v>
      </c>
      <c r="D1184" s="67" t="s">
        <v>838</v>
      </c>
      <c r="E1184" s="22">
        <f t="shared" ca="1" si="112"/>
        <v>40951</v>
      </c>
      <c r="F1184" s="11">
        <f>DATE(91,4,12)</f>
        <v>33340</v>
      </c>
      <c r="G1184" s="12">
        <f t="shared" ca="1" si="114"/>
        <v>21</v>
      </c>
      <c r="H1184" s="12">
        <f t="shared" ca="1" si="115"/>
        <v>-2</v>
      </c>
      <c r="I1184" s="13">
        <f t="shared" ca="1" si="116"/>
        <v>0</v>
      </c>
      <c r="J1184" s="14">
        <f t="shared" ca="1" si="113"/>
        <v>20</v>
      </c>
      <c r="K1184" s="12" t="s">
        <v>41</v>
      </c>
      <c r="L1184" s="15">
        <v>93</v>
      </c>
      <c r="M1184" s="25" t="s">
        <v>44</v>
      </c>
      <c r="N1184">
        <v>251</v>
      </c>
    </row>
    <row r="1185" spans="1:14" ht="15.75" thickBot="1">
      <c r="A1185" s="26">
        <f t="shared" si="117"/>
        <v>1182</v>
      </c>
      <c r="B1185" s="68" t="s">
        <v>13</v>
      </c>
      <c r="C1185" s="68" t="s">
        <v>839</v>
      </c>
      <c r="D1185" s="68" t="s">
        <v>838</v>
      </c>
      <c r="E1185" s="23">
        <f t="shared" ca="1" si="112"/>
        <v>40951</v>
      </c>
      <c r="F1185" s="16">
        <f>DATE(92,6,17)</f>
        <v>33772</v>
      </c>
      <c r="G1185" s="17">
        <f t="shared" ca="1" si="114"/>
        <v>20</v>
      </c>
      <c r="H1185" s="17">
        <f t="shared" ca="1" si="115"/>
        <v>-4</v>
      </c>
      <c r="I1185" s="18">
        <f t="shared" ca="1" si="116"/>
        <v>-5</v>
      </c>
      <c r="J1185" s="19">
        <f t="shared" ca="1" si="113"/>
        <v>19</v>
      </c>
      <c r="K1185" s="17" t="s">
        <v>40</v>
      </c>
      <c r="L1185" s="20">
        <v>93</v>
      </c>
      <c r="M1185" s="26" t="s">
        <v>44</v>
      </c>
      <c r="N1185">
        <v>251</v>
      </c>
    </row>
    <row r="1186" spans="1:14">
      <c r="A1186" s="25">
        <f t="shared" si="117"/>
        <v>1183</v>
      </c>
      <c r="B1186" s="67" t="s">
        <v>13</v>
      </c>
      <c r="C1186" s="67" t="s">
        <v>840</v>
      </c>
      <c r="D1186" s="67" t="s">
        <v>573</v>
      </c>
      <c r="E1186" s="22">
        <f t="shared" ca="1" si="112"/>
        <v>40951</v>
      </c>
      <c r="F1186" s="11">
        <f>DATE(55,9,28)</f>
        <v>20360</v>
      </c>
      <c r="G1186" s="12">
        <f t="shared" ca="1" si="114"/>
        <v>57</v>
      </c>
      <c r="H1186" s="12">
        <f t="shared" ca="1" si="115"/>
        <v>-7</v>
      </c>
      <c r="I1186" s="13">
        <f t="shared" ca="1" si="116"/>
        <v>-16</v>
      </c>
      <c r="J1186" s="14">
        <f t="shared" ca="1" si="113"/>
        <v>56</v>
      </c>
      <c r="K1186" s="12" t="s">
        <v>40</v>
      </c>
      <c r="L1186" s="15">
        <v>93</v>
      </c>
      <c r="M1186" s="25" t="s">
        <v>40</v>
      </c>
      <c r="N1186">
        <v>252</v>
      </c>
    </row>
    <row r="1187" spans="1:14">
      <c r="A1187" s="25">
        <f t="shared" si="117"/>
        <v>1184</v>
      </c>
      <c r="B1187" s="67" t="s">
        <v>13</v>
      </c>
      <c r="C1187" s="67" t="s">
        <v>841</v>
      </c>
      <c r="D1187" s="67" t="s">
        <v>840</v>
      </c>
      <c r="E1187" s="22">
        <f t="shared" ca="1" si="112"/>
        <v>40951</v>
      </c>
      <c r="F1187" s="32"/>
      <c r="G1187" s="12">
        <f t="shared" ca="1" si="114"/>
        <v>112</v>
      </c>
      <c r="H1187" s="12">
        <f t="shared" ca="1" si="115"/>
        <v>1</v>
      </c>
      <c r="I1187" s="13">
        <f t="shared" ca="1" si="116"/>
        <v>12</v>
      </c>
      <c r="J1187" s="14">
        <f t="shared" ca="1" si="113"/>
        <v>112</v>
      </c>
      <c r="K1187" s="12" t="s">
        <v>41</v>
      </c>
      <c r="L1187" s="15">
        <v>93</v>
      </c>
      <c r="M1187" s="25" t="s">
        <v>40</v>
      </c>
      <c r="N1187">
        <v>252</v>
      </c>
    </row>
    <row r="1188" spans="1:14">
      <c r="A1188" s="25">
        <f t="shared" si="117"/>
        <v>1185</v>
      </c>
      <c r="B1188" s="67" t="s">
        <v>13</v>
      </c>
      <c r="C1188" s="67" t="s">
        <v>183</v>
      </c>
      <c r="D1188" s="67" t="s">
        <v>840</v>
      </c>
      <c r="E1188" s="22">
        <f t="shared" ref="E1188:E1251" ca="1" si="118">TODAY()</f>
        <v>40951</v>
      </c>
      <c r="F1188" s="11">
        <f>DATE(87,4,18)</f>
        <v>31885</v>
      </c>
      <c r="G1188" s="12">
        <f t="shared" ca="1" si="114"/>
        <v>25</v>
      </c>
      <c r="H1188" s="12">
        <f t="shared" ca="1" si="115"/>
        <v>-2</v>
      </c>
      <c r="I1188" s="13">
        <f t="shared" ca="1" si="116"/>
        <v>-6</v>
      </c>
      <c r="J1188" s="14">
        <f t="shared" ca="1" si="113"/>
        <v>24</v>
      </c>
      <c r="K1188" s="12" t="s">
        <v>40</v>
      </c>
      <c r="L1188" s="15">
        <v>93</v>
      </c>
      <c r="M1188" s="25" t="s">
        <v>44</v>
      </c>
      <c r="N1188">
        <v>252</v>
      </c>
    </row>
    <row r="1189" spans="1:14">
      <c r="A1189" s="25">
        <f t="shared" si="117"/>
        <v>1186</v>
      </c>
      <c r="B1189" s="67" t="s">
        <v>13</v>
      </c>
      <c r="C1189" s="67" t="s">
        <v>430</v>
      </c>
      <c r="D1189" s="67" t="s">
        <v>840</v>
      </c>
      <c r="E1189" s="22">
        <f t="shared" ca="1" si="118"/>
        <v>40951</v>
      </c>
      <c r="F1189" s="11">
        <f>DATE(91,12,20)</f>
        <v>33592</v>
      </c>
      <c r="G1189" s="12">
        <f t="shared" ca="1" si="114"/>
        <v>21</v>
      </c>
      <c r="H1189" s="12">
        <f t="shared" ca="1" si="115"/>
        <v>-10</v>
      </c>
      <c r="I1189" s="13">
        <f t="shared" ca="1" si="116"/>
        <v>-8</v>
      </c>
      <c r="J1189" s="14">
        <f t="shared" ca="1" si="113"/>
        <v>20</v>
      </c>
      <c r="K1189" s="12" t="s">
        <v>41</v>
      </c>
      <c r="L1189" s="15">
        <v>93</v>
      </c>
      <c r="M1189" s="25" t="s">
        <v>44</v>
      </c>
      <c r="N1189">
        <v>252</v>
      </c>
    </row>
    <row r="1190" spans="1:14" ht="15.75" thickBot="1">
      <c r="A1190" s="26">
        <f t="shared" si="117"/>
        <v>1187</v>
      </c>
      <c r="B1190" s="68" t="s">
        <v>13</v>
      </c>
      <c r="C1190" s="68" t="s">
        <v>842</v>
      </c>
      <c r="D1190" s="68" t="s">
        <v>573</v>
      </c>
      <c r="E1190" s="23">
        <f t="shared" ca="1" si="118"/>
        <v>40951</v>
      </c>
      <c r="F1190" s="33"/>
      <c r="G1190" s="17">
        <f t="shared" ca="1" si="114"/>
        <v>112</v>
      </c>
      <c r="H1190" s="17">
        <f t="shared" ca="1" si="115"/>
        <v>1</v>
      </c>
      <c r="I1190" s="18">
        <f t="shared" ca="1" si="116"/>
        <v>12</v>
      </c>
      <c r="J1190" s="19">
        <f t="shared" ca="1" si="113"/>
        <v>112</v>
      </c>
      <c r="K1190" s="17" t="s">
        <v>41</v>
      </c>
      <c r="L1190" s="20">
        <v>93</v>
      </c>
      <c r="M1190" s="26" t="s">
        <v>40</v>
      </c>
      <c r="N1190">
        <v>252</v>
      </c>
    </row>
    <row r="1191" spans="1:14" ht="15.75" thickBot="1">
      <c r="A1191" s="43">
        <f t="shared" si="117"/>
        <v>1188</v>
      </c>
      <c r="B1191" s="69" t="s">
        <v>13</v>
      </c>
      <c r="C1191" s="69" t="s">
        <v>843</v>
      </c>
      <c r="D1191" s="69" t="s">
        <v>573</v>
      </c>
      <c r="E1191" s="37">
        <f t="shared" ca="1" si="118"/>
        <v>40951</v>
      </c>
      <c r="F1191" s="47"/>
      <c r="G1191" s="39">
        <f t="shared" ca="1" si="114"/>
        <v>112</v>
      </c>
      <c r="H1191" s="39">
        <f t="shared" ca="1" si="115"/>
        <v>1</v>
      </c>
      <c r="I1191" s="40">
        <f t="shared" ca="1" si="116"/>
        <v>12</v>
      </c>
      <c r="J1191" s="41">
        <f t="shared" ca="1" si="113"/>
        <v>112</v>
      </c>
      <c r="K1191" s="39" t="s">
        <v>41</v>
      </c>
      <c r="L1191" s="42">
        <v>93</v>
      </c>
      <c r="M1191" s="43" t="s">
        <v>40</v>
      </c>
      <c r="N1191">
        <v>253</v>
      </c>
    </row>
    <row r="1192" spans="1:14">
      <c r="A1192" s="25">
        <f t="shared" si="117"/>
        <v>1189</v>
      </c>
      <c r="B1192" s="67" t="s">
        <v>13</v>
      </c>
      <c r="C1192" s="67" t="s">
        <v>844</v>
      </c>
      <c r="D1192" s="67" t="s">
        <v>573</v>
      </c>
      <c r="E1192" s="22">
        <f t="shared" ca="1" si="118"/>
        <v>40951</v>
      </c>
      <c r="F1192" s="11">
        <f>DATE(46,6,9)</f>
        <v>16962</v>
      </c>
      <c r="G1192" s="12">
        <f t="shared" ca="1" si="114"/>
        <v>66</v>
      </c>
      <c r="H1192" s="12">
        <f t="shared" ca="1" si="115"/>
        <v>-4</v>
      </c>
      <c r="I1192" s="13">
        <f t="shared" ca="1" si="116"/>
        <v>3</v>
      </c>
      <c r="J1192" s="14">
        <f t="shared" ca="1" si="113"/>
        <v>65</v>
      </c>
      <c r="K1192" s="12" t="s">
        <v>40</v>
      </c>
      <c r="L1192" s="15">
        <v>94</v>
      </c>
      <c r="M1192" s="25" t="s">
        <v>40</v>
      </c>
      <c r="N1192">
        <v>254</v>
      </c>
    </row>
    <row r="1193" spans="1:14">
      <c r="A1193" s="25">
        <f t="shared" si="117"/>
        <v>1190</v>
      </c>
      <c r="B1193" s="67" t="s">
        <v>13</v>
      </c>
      <c r="C1193" s="67" t="s">
        <v>732</v>
      </c>
      <c r="D1193" s="67" t="s">
        <v>844</v>
      </c>
      <c r="E1193" s="22">
        <f t="shared" ca="1" si="118"/>
        <v>40951</v>
      </c>
      <c r="F1193" s="11">
        <f>DATE(52,99,9)</f>
        <v>21984</v>
      </c>
      <c r="G1193" s="12">
        <f t="shared" ca="1" si="114"/>
        <v>52</v>
      </c>
      <c r="H1193" s="12">
        <f t="shared" ca="1" si="115"/>
        <v>-1</v>
      </c>
      <c r="I1193" s="13">
        <f t="shared" ca="1" si="116"/>
        <v>3</v>
      </c>
      <c r="J1193" s="14">
        <f t="shared" ca="1" si="113"/>
        <v>51</v>
      </c>
      <c r="K1193" s="12" t="s">
        <v>41</v>
      </c>
      <c r="L1193" s="15">
        <v>94</v>
      </c>
      <c r="M1193" s="25" t="s">
        <v>40</v>
      </c>
      <c r="N1193">
        <v>254</v>
      </c>
    </row>
    <row r="1194" spans="1:14">
      <c r="A1194" s="25">
        <f t="shared" si="117"/>
        <v>1191</v>
      </c>
      <c r="B1194" s="67" t="s">
        <v>13</v>
      </c>
      <c r="C1194" s="67" t="s">
        <v>845</v>
      </c>
      <c r="D1194" s="67" t="s">
        <v>844</v>
      </c>
      <c r="E1194" s="22">
        <f t="shared" ca="1" si="118"/>
        <v>40951</v>
      </c>
      <c r="F1194" s="11">
        <f>DATE(76,4,2)</f>
        <v>27852</v>
      </c>
      <c r="G1194" s="12">
        <f t="shared" ca="1" si="114"/>
        <v>36</v>
      </c>
      <c r="H1194" s="12">
        <f t="shared" ca="1" si="115"/>
        <v>-2</v>
      </c>
      <c r="I1194" s="13">
        <f t="shared" ca="1" si="116"/>
        <v>10</v>
      </c>
      <c r="J1194" s="14">
        <f t="shared" ca="1" si="113"/>
        <v>35</v>
      </c>
      <c r="K1194" s="12" t="s">
        <v>40</v>
      </c>
      <c r="L1194" s="15">
        <v>94</v>
      </c>
      <c r="M1194" s="25" t="s">
        <v>40</v>
      </c>
      <c r="N1194">
        <v>254</v>
      </c>
    </row>
    <row r="1195" spans="1:14">
      <c r="A1195" s="25">
        <f t="shared" si="117"/>
        <v>1192</v>
      </c>
      <c r="B1195" s="67" t="s">
        <v>13</v>
      </c>
      <c r="C1195" s="67" t="s">
        <v>122</v>
      </c>
      <c r="D1195" s="67" t="s">
        <v>844</v>
      </c>
      <c r="E1195" s="22">
        <f t="shared" ca="1" si="118"/>
        <v>40951</v>
      </c>
      <c r="F1195" s="11">
        <f>DATE(78,11,18)</f>
        <v>28812</v>
      </c>
      <c r="G1195" s="12">
        <f t="shared" ca="1" si="114"/>
        <v>34</v>
      </c>
      <c r="H1195" s="12">
        <f t="shared" ca="1" si="115"/>
        <v>-9</v>
      </c>
      <c r="I1195" s="13">
        <f t="shared" ca="1" si="116"/>
        <v>-6</v>
      </c>
      <c r="J1195" s="14">
        <f t="shared" ca="1" si="113"/>
        <v>33</v>
      </c>
      <c r="K1195" s="12" t="s">
        <v>41</v>
      </c>
      <c r="L1195" s="15">
        <v>94</v>
      </c>
      <c r="M1195" s="25" t="s">
        <v>40</v>
      </c>
      <c r="N1195">
        <v>254</v>
      </c>
    </row>
    <row r="1196" spans="1:14">
      <c r="A1196" s="25">
        <f t="shared" si="117"/>
        <v>1193</v>
      </c>
      <c r="B1196" s="67" t="s">
        <v>13</v>
      </c>
      <c r="C1196" s="67" t="s">
        <v>846</v>
      </c>
      <c r="D1196" s="67" t="s">
        <v>844</v>
      </c>
      <c r="E1196" s="22">
        <f t="shared" ca="1" si="118"/>
        <v>40951</v>
      </c>
      <c r="F1196" s="11">
        <f>DATE(2002,10,31)</f>
        <v>37560</v>
      </c>
      <c r="G1196" s="12">
        <f t="shared" ca="1" si="114"/>
        <v>10</v>
      </c>
      <c r="H1196" s="12">
        <f t="shared" ca="1" si="115"/>
        <v>-8</v>
      </c>
      <c r="I1196" s="13">
        <f t="shared" ca="1" si="116"/>
        <v>-19</v>
      </c>
      <c r="J1196" s="14">
        <f t="shared" ca="1" si="113"/>
        <v>9</v>
      </c>
      <c r="K1196" s="12" t="s">
        <v>40</v>
      </c>
      <c r="L1196" s="15">
        <v>94</v>
      </c>
      <c r="M1196" s="25" t="s">
        <v>44</v>
      </c>
      <c r="N1196">
        <v>254</v>
      </c>
    </row>
    <row r="1197" spans="1:14" ht="15.75" thickBot="1">
      <c r="A1197" s="26">
        <f t="shared" si="117"/>
        <v>1194</v>
      </c>
      <c r="B1197" s="68" t="s">
        <v>13</v>
      </c>
      <c r="C1197" s="68" t="s">
        <v>847</v>
      </c>
      <c r="D1197" s="68" t="s">
        <v>844</v>
      </c>
      <c r="E1197" s="23">
        <f t="shared" ca="1" si="118"/>
        <v>40951</v>
      </c>
      <c r="F1197" s="16">
        <f>DATE(2004,9,25)</f>
        <v>38255</v>
      </c>
      <c r="G1197" s="17">
        <f t="shared" ca="1" si="114"/>
        <v>8</v>
      </c>
      <c r="H1197" s="17">
        <f t="shared" ca="1" si="115"/>
        <v>-7</v>
      </c>
      <c r="I1197" s="18">
        <f t="shared" ca="1" si="116"/>
        <v>-13</v>
      </c>
      <c r="J1197" s="19">
        <f t="shared" ca="1" si="113"/>
        <v>7</v>
      </c>
      <c r="K1197" s="17" t="s">
        <v>41</v>
      </c>
      <c r="L1197" s="20">
        <v>94</v>
      </c>
      <c r="M1197" s="26" t="s">
        <v>44</v>
      </c>
      <c r="N1197">
        <v>254</v>
      </c>
    </row>
    <row r="1198" spans="1:14">
      <c r="A1198" s="25">
        <f t="shared" si="117"/>
        <v>1195</v>
      </c>
      <c r="B1198" s="67" t="s">
        <v>13</v>
      </c>
      <c r="C1198" s="67" t="s">
        <v>96</v>
      </c>
      <c r="D1198" s="67" t="s">
        <v>521</v>
      </c>
      <c r="E1198" s="22">
        <f t="shared" ca="1" si="118"/>
        <v>40951</v>
      </c>
      <c r="F1198" s="11">
        <f>DATE(73,12,15)</f>
        <v>27013</v>
      </c>
      <c r="G1198" s="12">
        <f t="shared" ca="1" si="114"/>
        <v>39</v>
      </c>
      <c r="H1198" s="12">
        <f t="shared" ca="1" si="115"/>
        <v>-10</v>
      </c>
      <c r="I1198" s="13">
        <f t="shared" ca="1" si="116"/>
        <v>-3</v>
      </c>
      <c r="J1198" s="14">
        <f t="shared" ca="1" si="113"/>
        <v>38</v>
      </c>
      <c r="K1198" s="12" t="s">
        <v>40</v>
      </c>
      <c r="L1198" s="15">
        <v>94</v>
      </c>
      <c r="M1198" s="25" t="s">
        <v>40</v>
      </c>
      <c r="N1198">
        <v>255</v>
      </c>
    </row>
    <row r="1199" spans="1:14">
      <c r="A1199" s="25">
        <f t="shared" si="117"/>
        <v>1196</v>
      </c>
      <c r="B1199" s="67" t="s">
        <v>13</v>
      </c>
      <c r="C1199" s="67" t="s">
        <v>848</v>
      </c>
      <c r="D1199" s="67" t="s">
        <v>96</v>
      </c>
      <c r="E1199" s="22">
        <f t="shared" ca="1" si="118"/>
        <v>40951</v>
      </c>
      <c r="F1199" s="11">
        <f>DATE(76,11,2)</f>
        <v>28066</v>
      </c>
      <c r="G1199" s="12">
        <f t="shared" ca="1" si="114"/>
        <v>36</v>
      </c>
      <c r="H1199" s="12">
        <f t="shared" ca="1" si="115"/>
        <v>-9</v>
      </c>
      <c r="I1199" s="13">
        <f t="shared" ca="1" si="116"/>
        <v>10</v>
      </c>
      <c r="J1199" s="14">
        <f t="shared" ca="1" si="113"/>
        <v>35</v>
      </c>
      <c r="K1199" s="12" t="s">
        <v>41</v>
      </c>
      <c r="L1199" s="15">
        <v>94</v>
      </c>
      <c r="M1199" s="25" t="s">
        <v>40</v>
      </c>
      <c r="N1199">
        <v>255</v>
      </c>
    </row>
    <row r="1200" spans="1:14">
      <c r="A1200" s="25">
        <f t="shared" si="117"/>
        <v>1197</v>
      </c>
      <c r="B1200" s="67" t="s">
        <v>13</v>
      </c>
      <c r="C1200" s="67" t="s">
        <v>590</v>
      </c>
      <c r="D1200" s="67" t="s">
        <v>96</v>
      </c>
      <c r="E1200" s="22">
        <f t="shared" ca="1" si="118"/>
        <v>40951</v>
      </c>
      <c r="F1200" s="11">
        <f>DATE(2001,7,5)</f>
        <v>37077</v>
      </c>
      <c r="G1200" s="12">
        <f t="shared" ca="1" si="114"/>
        <v>11</v>
      </c>
      <c r="H1200" s="12">
        <f t="shared" ca="1" si="115"/>
        <v>-5</v>
      </c>
      <c r="I1200" s="13">
        <f t="shared" ca="1" si="116"/>
        <v>7</v>
      </c>
      <c r="J1200" s="14">
        <f t="shared" ca="1" si="113"/>
        <v>10</v>
      </c>
      <c r="K1200" s="12" t="s">
        <v>41</v>
      </c>
      <c r="L1200" s="15">
        <v>94</v>
      </c>
      <c r="M1200" s="25" t="s">
        <v>44</v>
      </c>
      <c r="N1200">
        <v>255</v>
      </c>
    </row>
    <row r="1201" spans="1:14" ht="15.75" thickBot="1">
      <c r="A1201" s="26">
        <f t="shared" si="117"/>
        <v>1198</v>
      </c>
      <c r="B1201" s="68" t="s">
        <v>13</v>
      </c>
      <c r="C1201" s="68" t="s">
        <v>802</v>
      </c>
      <c r="D1201" s="68" t="s">
        <v>96</v>
      </c>
      <c r="E1201" s="23">
        <f t="shared" ca="1" si="118"/>
        <v>40951</v>
      </c>
      <c r="F1201" s="16">
        <f>DATE(2006,7,7)</f>
        <v>38905</v>
      </c>
      <c r="G1201" s="17">
        <f t="shared" ca="1" si="114"/>
        <v>6</v>
      </c>
      <c r="H1201" s="17">
        <f t="shared" ca="1" si="115"/>
        <v>-5</v>
      </c>
      <c r="I1201" s="18">
        <f t="shared" ca="1" si="116"/>
        <v>5</v>
      </c>
      <c r="J1201" s="19">
        <f t="shared" ca="1" si="113"/>
        <v>5</v>
      </c>
      <c r="K1201" s="17" t="s">
        <v>40</v>
      </c>
      <c r="L1201" s="20">
        <v>94</v>
      </c>
      <c r="M1201" s="26" t="s">
        <v>44</v>
      </c>
      <c r="N1201">
        <v>255</v>
      </c>
    </row>
    <row r="1202" spans="1:14">
      <c r="A1202" s="25">
        <f t="shared" si="117"/>
        <v>1199</v>
      </c>
      <c r="B1202" s="67" t="s">
        <v>13</v>
      </c>
      <c r="C1202" s="67" t="s">
        <v>123</v>
      </c>
      <c r="D1202" s="67" t="s">
        <v>849</v>
      </c>
      <c r="E1202" s="22">
        <f t="shared" ca="1" si="118"/>
        <v>40951</v>
      </c>
      <c r="F1202" s="11">
        <f>DATE(67,88,15)</f>
        <v>27134</v>
      </c>
      <c r="G1202" s="12">
        <f t="shared" ca="1" si="114"/>
        <v>38</v>
      </c>
      <c r="H1202" s="12">
        <f t="shared" ca="1" si="115"/>
        <v>-2</v>
      </c>
      <c r="I1202" s="13">
        <f t="shared" ca="1" si="116"/>
        <v>-3</v>
      </c>
      <c r="J1202" s="14">
        <f t="shared" ca="1" si="113"/>
        <v>37</v>
      </c>
      <c r="K1202" s="12" t="s">
        <v>40</v>
      </c>
      <c r="L1202" s="15">
        <v>94</v>
      </c>
      <c r="M1202" s="25" t="s">
        <v>40</v>
      </c>
      <c r="N1202">
        <v>256</v>
      </c>
    </row>
    <row r="1203" spans="1:14">
      <c r="A1203" s="25">
        <f t="shared" si="117"/>
        <v>1200</v>
      </c>
      <c r="B1203" s="67" t="s">
        <v>13</v>
      </c>
      <c r="C1203" s="67" t="s">
        <v>238</v>
      </c>
      <c r="D1203" s="67" t="s">
        <v>123</v>
      </c>
      <c r="E1203" s="22">
        <f t="shared" ca="1" si="118"/>
        <v>40951</v>
      </c>
      <c r="F1203" s="11">
        <f>DATE(72,3,10)</f>
        <v>26368</v>
      </c>
      <c r="G1203" s="12">
        <f t="shared" ca="1" si="114"/>
        <v>40</v>
      </c>
      <c r="H1203" s="12">
        <f t="shared" ca="1" si="115"/>
        <v>-1</v>
      </c>
      <c r="I1203" s="13">
        <f t="shared" ca="1" si="116"/>
        <v>2</v>
      </c>
      <c r="J1203" s="14">
        <f t="shared" ca="1" si="113"/>
        <v>39</v>
      </c>
      <c r="K1203" s="12" t="s">
        <v>41</v>
      </c>
      <c r="L1203" s="15">
        <v>94</v>
      </c>
      <c r="M1203" s="25" t="s">
        <v>40</v>
      </c>
      <c r="N1203">
        <v>256</v>
      </c>
    </row>
    <row r="1204" spans="1:14" ht="15.75" thickBot="1">
      <c r="A1204" s="26">
        <f t="shared" si="117"/>
        <v>1201</v>
      </c>
      <c r="B1204" s="68" t="s">
        <v>13</v>
      </c>
      <c r="C1204" s="68" t="s">
        <v>850</v>
      </c>
      <c r="D1204" s="68" t="s">
        <v>123</v>
      </c>
      <c r="E1204" s="23">
        <f t="shared" ca="1" si="118"/>
        <v>40951</v>
      </c>
      <c r="F1204" s="16">
        <f>DATE(97,7,23)</f>
        <v>35634</v>
      </c>
      <c r="G1204" s="17">
        <f t="shared" ca="1" si="114"/>
        <v>15</v>
      </c>
      <c r="H1204" s="17">
        <f t="shared" ca="1" si="115"/>
        <v>-5</v>
      </c>
      <c r="I1204" s="18">
        <f t="shared" ca="1" si="116"/>
        <v>-11</v>
      </c>
      <c r="J1204" s="19">
        <f t="shared" ca="1" si="113"/>
        <v>14</v>
      </c>
      <c r="K1204" s="17" t="s">
        <v>40</v>
      </c>
      <c r="L1204" s="20">
        <v>94</v>
      </c>
      <c r="M1204" s="26" t="s">
        <v>44</v>
      </c>
      <c r="N1204">
        <v>256</v>
      </c>
    </row>
    <row r="1205" spans="1:14">
      <c r="A1205" s="25">
        <f t="shared" si="117"/>
        <v>1202</v>
      </c>
      <c r="B1205" s="67" t="s">
        <v>13</v>
      </c>
      <c r="C1205" s="67" t="s">
        <v>851</v>
      </c>
      <c r="D1205" s="67" t="s">
        <v>837</v>
      </c>
      <c r="E1205" s="22">
        <f t="shared" ca="1" si="118"/>
        <v>40951</v>
      </c>
      <c r="F1205" s="32"/>
      <c r="G1205" s="12">
        <f t="shared" ca="1" si="114"/>
        <v>112</v>
      </c>
      <c r="H1205" s="12">
        <f t="shared" ca="1" si="115"/>
        <v>1</v>
      </c>
      <c r="I1205" s="13">
        <f t="shared" ca="1" si="116"/>
        <v>12</v>
      </c>
      <c r="J1205" s="14">
        <f t="shared" ca="1" si="113"/>
        <v>112</v>
      </c>
      <c r="K1205" s="12" t="s">
        <v>41</v>
      </c>
      <c r="L1205" s="15">
        <v>95</v>
      </c>
      <c r="M1205" s="25" t="s">
        <v>40</v>
      </c>
      <c r="N1205">
        <v>257</v>
      </c>
    </row>
    <row r="1206" spans="1:14">
      <c r="A1206" s="25">
        <f t="shared" si="117"/>
        <v>1203</v>
      </c>
      <c r="B1206" s="67" t="s">
        <v>13</v>
      </c>
      <c r="C1206" s="67" t="s">
        <v>852</v>
      </c>
      <c r="D1206" s="67" t="s">
        <v>837</v>
      </c>
      <c r="E1206" s="22">
        <f t="shared" ca="1" si="118"/>
        <v>40951</v>
      </c>
      <c r="F1206" s="11">
        <f>DATE(72,3,9)</f>
        <v>26367</v>
      </c>
      <c r="G1206" s="12">
        <f t="shared" ca="1" si="114"/>
        <v>40</v>
      </c>
      <c r="H1206" s="12">
        <f t="shared" ca="1" si="115"/>
        <v>-1</v>
      </c>
      <c r="I1206" s="13">
        <f t="shared" ca="1" si="116"/>
        <v>3</v>
      </c>
      <c r="J1206" s="14">
        <f t="shared" ca="1" si="113"/>
        <v>39</v>
      </c>
      <c r="K1206" s="12" t="s">
        <v>40</v>
      </c>
      <c r="L1206" s="15">
        <v>95</v>
      </c>
      <c r="M1206" s="25" t="s">
        <v>40</v>
      </c>
      <c r="N1206">
        <v>257</v>
      </c>
    </row>
    <row r="1207" spans="1:14">
      <c r="A1207" s="25">
        <f t="shared" si="117"/>
        <v>1204</v>
      </c>
      <c r="B1207" s="67" t="s">
        <v>13</v>
      </c>
      <c r="C1207" s="67" t="s">
        <v>288</v>
      </c>
      <c r="D1207" s="67" t="s">
        <v>852</v>
      </c>
      <c r="E1207" s="22">
        <f t="shared" ca="1" si="118"/>
        <v>40951</v>
      </c>
      <c r="F1207" s="11">
        <f>DATE(75,7,14)</f>
        <v>27589</v>
      </c>
      <c r="G1207" s="12">
        <f t="shared" ca="1" si="114"/>
        <v>37</v>
      </c>
      <c r="H1207" s="12">
        <f t="shared" ca="1" si="115"/>
        <v>-5</v>
      </c>
      <c r="I1207" s="13">
        <f t="shared" ca="1" si="116"/>
        <v>-2</v>
      </c>
      <c r="J1207" s="14">
        <f t="shared" ca="1" si="113"/>
        <v>36</v>
      </c>
      <c r="K1207" s="12" t="s">
        <v>41</v>
      </c>
      <c r="L1207" s="15">
        <v>95</v>
      </c>
      <c r="M1207" s="25" t="s">
        <v>40</v>
      </c>
      <c r="N1207">
        <v>257</v>
      </c>
    </row>
    <row r="1208" spans="1:14">
      <c r="A1208" s="25">
        <f t="shared" si="117"/>
        <v>1205</v>
      </c>
      <c r="B1208" s="67" t="s">
        <v>13</v>
      </c>
      <c r="C1208" s="67" t="s">
        <v>853</v>
      </c>
      <c r="D1208" s="67" t="s">
        <v>852</v>
      </c>
      <c r="E1208" s="22">
        <f t="shared" ca="1" si="118"/>
        <v>40951</v>
      </c>
      <c r="F1208" s="11">
        <f>DATE(2000,7,24)</f>
        <v>36731</v>
      </c>
      <c r="G1208" s="12">
        <f t="shared" ca="1" si="114"/>
        <v>12</v>
      </c>
      <c r="H1208" s="12">
        <f t="shared" ca="1" si="115"/>
        <v>-5</v>
      </c>
      <c r="I1208" s="13">
        <f t="shared" ca="1" si="116"/>
        <v>-12</v>
      </c>
      <c r="J1208" s="14">
        <f t="shared" ca="1" si="113"/>
        <v>11</v>
      </c>
      <c r="K1208" s="12" t="s">
        <v>40</v>
      </c>
      <c r="L1208" s="15">
        <v>95</v>
      </c>
      <c r="M1208" s="25" t="s">
        <v>44</v>
      </c>
      <c r="N1208">
        <v>257</v>
      </c>
    </row>
    <row r="1209" spans="1:14" ht="15.75" thickBot="1">
      <c r="A1209" s="26">
        <f t="shared" si="117"/>
        <v>1206</v>
      </c>
      <c r="B1209" s="68" t="s">
        <v>13</v>
      </c>
      <c r="C1209" s="68" t="s">
        <v>854</v>
      </c>
      <c r="D1209" s="68" t="s">
        <v>852</v>
      </c>
      <c r="E1209" s="23">
        <f t="shared" ca="1" si="118"/>
        <v>40951</v>
      </c>
      <c r="F1209" s="16">
        <f>DATE(2003,10,5)</f>
        <v>37899</v>
      </c>
      <c r="G1209" s="17">
        <f t="shared" ca="1" si="114"/>
        <v>9</v>
      </c>
      <c r="H1209" s="17">
        <f t="shared" ca="1" si="115"/>
        <v>-8</v>
      </c>
      <c r="I1209" s="18">
        <f t="shared" ca="1" si="116"/>
        <v>7</v>
      </c>
      <c r="J1209" s="19">
        <f t="shared" ca="1" si="113"/>
        <v>8</v>
      </c>
      <c r="K1209" s="17" t="s">
        <v>40</v>
      </c>
      <c r="L1209" s="20">
        <v>95</v>
      </c>
      <c r="M1209" s="26" t="s">
        <v>44</v>
      </c>
      <c r="N1209">
        <v>257</v>
      </c>
    </row>
    <row r="1210" spans="1:14">
      <c r="A1210" s="25">
        <f t="shared" si="117"/>
        <v>1207</v>
      </c>
      <c r="B1210" s="67" t="s">
        <v>13</v>
      </c>
      <c r="C1210" s="67" t="s">
        <v>855</v>
      </c>
      <c r="D1210" s="67" t="s">
        <v>832</v>
      </c>
      <c r="E1210" s="22">
        <f t="shared" ca="1" si="118"/>
        <v>40951</v>
      </c>
      <c r="F1210" s="11">
        <f>DATE(64,7,3)</f>
        <v>23561</v>
      </c>
      <c r="G1210" s="12">
        <f t="shared" ca="1" si="114"/>
        <v>48</v>
      </c>
      <c r="H1210" s="12">
        <f t="shared" ca="1" si="115"/>
        <v>-5</v>
      </c>
      <c r="I1210" s="13">
        <f t="shared" ca="1" si="116"/>
        <v>9</v>
      </c>
      <c r="J1210" s="14">
        <f t="shared" ca="1" si="113"/>
        <v>47</v>
      </c>
      <c r="K1210" s="12" t="s">
        <v>40</v>
      </c>
      <c r="L1210" s="15">
        <v>95</v>
      </c>
      <c r="M1210" s="25" t="s">
        <v>40</v>
      </c>
      <c r="N1210">
        <v>258</v>
      </c>
    </row>
    <row r="1211" spans="1:14">
      <c r="A1211" s="25">
        <f t="shared" si="117"/>
        <v>1208</v>
      </c>
      <c r="B1211" s="67" t="s">
        <v>13</v>
      </c>
      <c r="C1211" s="67" t="s">
        <v>662</v>
      </c>
      <c r="D1211" s="67" t="s">
        <v>855</v>
      </c>
      <c r="E1211" s="22">
        <f t="shared" ca="1" si="118"/>
        <v>40951</v>
      </c>
      <c r="F1211" s="11">
        <f>DATE(71,6,23)</f>
        <v>26107</v>
      </c>
      <c r="G1211" s="12">
        <f t="shared" ca="1" si="114"/>
        <v>41</v>
      </c>
      <c r="H1211" s="12">
        <f t="shared" ca="1" si="115"/>
        <v>-4</v>
      </c>
      <c r="I1211" s="13">
        <f t="shared" ca="1" si="116"/>
        <v>-11</v>
      </c>
      <c r="J1211" s="14">
        <f t="shared" ca="1" si="113"/>
        <v>40</v>
      </c>
      <c r="K1211" s="12" t="s">
        <v>41</v>
      </c>
      <c r="L1211" s="15">
        <v>95</v>
      </c>
      <c r="M1211" s="25" t="s">
        <v>40</v>
      </c>
      <c r="N1211">
        <v>258</v>
      </c>
    </row>
    <row r="1212" spans="1:14">
      <c r="A1212" s="25">
        <f t="shared" si="117"/>
        <v>1209</v>
      </c>
      <c r="B1212" s="67" t="s">
        <v>13</v>
      </c>
      <c r="C1212" s="67" t="s">
        <v>856</v>
      </c>
      <c r="D1212" s="67" t="s">
        <v>855</v>
      </c>
      <c r="E1212" s="22">
        <f t="shared" ca="1" si="118"/>
        <v>40951</v>
      </c>
      <c r="F1212" s="11">
        <f>DATE(92,7,10)</f>
        <v>33795</v>
      </c>
      <c r="G1212" s="12">
        <f t="shared" ca="1" si="114"/>
        <v>20</v>
      </c>
      <c r="H1212" s="12">
        <f t="shared" ca="1" si="115"/>
        <v>-5</v>
      </c>
      <c r="I1212" s="13">
        <f t="shared" ca="1" si="116"/>
        <v>2</v>
      </c>
      <c r="J1212" s="14">
        <f t="shared" ca="1" si="113"/>
        <v>19</v>
      </c>
      <c r="K1212" s="12" t="s">
        <v>41</v>
      </c>
      <c r="L1212" s="15">
        <v>95</v>
      </c>
      <c r="M1212" s="25" t="s">
        <v>44</v>
      </c>
      <c r="N1212">
        <v>258</v>
      </c>
    </row>
    <row r="1213" spans="1:14" ht="15.75" thickBot="1">
      <c r="A1213" s="26">
        <f t="shared" si="117"/>
        <v>1210</v>
      </c>
      <c r="B1213" s="68" t="s">
        <v>13</v>
      </c>
      <c r="C1213" s="68" t="s">
        <v>857</v>
      </c>
      <c r="D1213" s="68" t="s">
        <v>855</v>
      </c>
      <c r="E1213" s="23">
        <f t="shared" ca="1" si="118"/>
        <v>40951</v>
      </c>
      <c r="F1213" s="16">
        <f>DATE(98,9,13)</f>
        <v>36051</v>
      </c>
      <c r="G1213" s="17">
        <f t="shared" ca="1" si="114"/>
        <v>14</v>
      </c>
      <c r="H1213" s="17">
        <f t="shared" ca="1" si="115"/>
        <v>-7</v>
      </c>
      <c r="I1213" s="18">
        <f t="shared" ca="1" si="116"/>
        <v>-1</v>
      </c>
      <c r="J1213" s="19">
        <f t="shared" ca="1" si="113"/>
        <v>13</v>
      </c>
      <c r="K1213" s="17" t="s">
        <v>40</v>
      </c>
      <c r="L1213" s="20">
        <v>95</v>
      </c>
      <c r="M1213" s="26" t="s">
        <v>44</v>
      </c>
      <c r="N1213">
        <v>258</v>
      </c>
    </row>
    <row r="1214" spans="1:14">
      <c r="A1214" s="25">
        <f t="shared" si="117"/>
        <v>1211</v>
      </c>
      <c r="B1214" s="67" t="s">
        <v>13</v>
      </c>
      <c r="C1214" s="67" t="s">
        <v>665</v>
      </c>
      <c r="D1214" s="67" t="s">
        <v>832</v>
      </c>
      <c r="E1214" s="22">
        <f t="shared" ca="1" si="118"/>
        <v>40951</v>
      </c>
      <c r="F1214" s="11">
        <f>DATE(68,9,3)</f>
        <v>25084</v>
      </c>
      <c r="G1214" s="12">
        <f t="shared" ca="1" si="114"/>
        <v>44</v>
      </c>
      <c r="H1214" s="12">
        <f t="shared" ca="1" si="115"/>
        <v>-7</v>
      </c>
      <c r="I1214" s="13">
        <f t="shared" ca="1" si="116"/>
        <v>9</v>
      </c>
      <c r="J1214" s="14">
        <f t="shared" ca="1" si="113"/>
        <v>43</v>
      </c>
      <c r="K1214" s="12" t="s">
        <v>40</v>
      </c>
      <c r="L1214" s="15">
        <v>95</v>
      </c>
      <c r="M1214" s="25" t="s">
        <v>40</v>
      </c>
      <c r="N1214">
        <v>259</v>
      </c>
    </row>
    <row r="1215" spans="1:14">
      <c r="A1215" s="25">
        <f t="shared" si="117"/>
        <v>1212</v>
      </c>
      <c r="B1215" s="67" t="s">
        <v>13</v>
      </c>
      <c r="C1215" s="67" t="s">
        <v>858</v>
      </c>
      <c r="D1215" s="67" t="s">
        <v>665</v>
      </c>
      <c r="E1215" s="22">
        <f t="shared" ca="1" si="118"/>
        <v>40951</v>
      </c>
      <c r="F1215" s="11">
        <f>DATE(73,6,18)</f>
        <v>26833</v>
      </c>
      <c r="G1215" s="12">
        <f t="shared" ca="1" si="114"/>
        <v>39</v>
      </c>
      <c r="H1215" s="12">
        <f t="shared" ca="1" si="115"/>
        <v>-4</v>
      </c>
      <c r="I1215" s="13">
        <f t="shared" ca="1" si="116"/>
        <v>-6</v>
      </c>
      <c r="J1215" s="14">
        <f t="shared" ca="1" si="113"/>
        <v>38</v>
      </c>
      <c r="K1215" s="12" t="s">
        <v>41</v>
      </c>
      <c r="L1215" s="15">
        <v>95</v>
      </c>
      <c r="M1215" s="25" t="s">
        <v>40</v>
      </c>
      <c r="N1215">
        <v>259</v>
      </c>
    </row>
    <row r="1216" spans="1:14" ht="15.75" thickBot="1">
      <c r="A1216" s="26">
        <f t="shared" si="117"/>
        <v>1213</v>
      </c>
      <c r="B1216" s="68" t="s">
        <v>13</v>
      </c>
      <c r="C1216" s="68" t="s">
        <v>859</v>
      </c>
      <c r="D1216" s="68" t="s">
        <v>665</v>
      </c>
      <c r="E1216" s="23">
        <f t="shared" ca="1" si="118"/>
        <v>40951</v>
      </c>
      <c r="F1216" s="16">
        <f>DATE(97,1,30)</f>
        <v>35460</v>
      </c>
      <c r="G1216" s="17">
        <f t="shared" ca="1" si="114"/>
        <v>15</v>
      </c>
      <c r="H1216" s="17">
        <f t="shared" ca="1" si="115"/>
        <v>1</v>
      </c>
      <c r="I1216" s="18">
        <f t="shared" ca="1" si="116"/>
        <v>-18</v>
      </c>
      <c r="J1216" s="19">
        <f t="shared" ca="1" si="113"/>
        <v>15</v>
      </c>
      <c r="K1216" s="17" t="s">
        <v>40</v>
      </c>
      <c r="L1216" s="20">
        <v>95</v>
      </c>
      <c r="M1216" s="26" t="s">
        <v>44</v>
      </c>
      <c r="N1216">
        <v>259</v>
      </c>
    </row>
    <row r="1217" spans="1:14">
      <c r="A1217" s="25">
        <f t="shared" si="117"/>
        <v>1214</v>
      </c>
      <c r="B1217" s="67" t="s">
        <v>13</v>
      </c>
      <c r="C1217" s="67" t="s">
        <v>851</v>
      </c>
      <c r="D1217" s="67" t="s">
        <v>837</v>
      </c>
      <c r="E1217" s="22">
        <f t="shared" ca="1" si="118"/>
        <v>40951</v>
      </c>
      <c r="F1217" s="32"/>
      <c r="G1217" s="12">
        <f t="shared" ca="1" si="114"/>
        <v>112</v>
      </c>
      <c r="H1217" s="12">
        <f t="shared" ca="1" si="115"/>
        <v>1</v>
      </c>
      <c r="I1217" s="13">
        <f t="shared" ca="1" si="116"/>
        <v>12</v>
      </c>
      <c r="J1217" s="14">
        <f t="shared" ca="1" si="113"/>
        <v>112</v>
      </c>
      <c r="K1217" s="12" t="s">
        <v>41</v>
      </c>
      <c r="L1217" s="15">
        <v>96</v>
      </c>
      <c r="M1217" s="25" t="s">
        <v>40</v>
      </c>
      <c r="N1217">
        <v>260</v>
      </c>
    </row>
    <row r="1218" spans="1:14">
      <c r="A1218" s="25">
        <f t="shared" si="117"/>
        <v>1215</v>
      </c>
      <c r="B1218" s="67" t="s">
        <v>13</v>
      </c>
      <c r="C1218" s="67" t="s">
        <v>860</v>
      </c>
      <c r="D1218" s="67" t="s">
        <v>837</v>
      </c>
      <c r="E1218" s="22">
        <f t="shared" ca="1" si="118"/>
        <v>40951</v>
      </c>
      <c r="F1218" s="11">
        <f>DATE(66,4,25)</f>
        <v>24222</v>
      </c>
      <c r="G1218" s="12">
        <f t="shared" ca="1" si="114"/>
        <v>46</v>
      </c>
      <c r="H1218" s="12">
        <f t="shared" ca="1" si="115"/>
        <v>-2</v>
      </c>
      <c r="I1218" s="13">
        <f t="shared" ca="1" si="116"/>
        <v>-13</v>
      </c>
      <c r="J1218" s="14">
        <f t="shared" ca="1" si="113"/>
        <v>45</v>
      </c>
      <c r="K1218" s="12" t="s">
        <v>40</v>
      </c>
      <c r="L1218" s="15">
        <v>96</v>
      </c>
      <c r="M1218" s="25" t="s">
        <v>40</v>
      </c>
      <c r="N1218">
        <v>260</v>
      </c>
    </row>
    <row r="1219" spans="1:14">
      <c r="A1219" s="25">
        <f t="shared" si="117"/>
        <v>1216</v>
      </c>
      <c r="B1219" s="67" t="s">
        <v>13</v>
      </c>
      <c r="C1219" s="67" t="s">
        <v>129</v>
      </c>
      <c r="D1219" s="67" t="s">
        <v>860</v>
      </c>
      <c r="E1219" s="22">
        <f t="shared" ca="1" si="118"/>
        <v>40951</v>
      </c>
      <c r="F1219" s="11">
        <f>DATE(71,2,18)</f>
        <v>25982</v>
      </c>
      <c r="G1219" s="12">
        <f t="shared" ca="1" si="114"/>
        <v>41</v>
      </c>
      <c r="H1219" s="12">
        <f t="shared" ca="1" si="115"/>
        <v>0</v>
      </c>
      <c r="I1219" s="13">
        <f t="shared" ca="1" si="116"/>
        <v>-6</v>
      </c>
      <c r="J1219" s="14">
        <f t="shared" ca="1" si="113"/>
        <v>40</v>
      </c>
      <c r="K1219" s="12" t="s">
        <v>41</v>
      </c>
      <c r="L1219" s="15">
        <v>96</v>
      </c>
      <c r="M1219" s="25" t="s">
        <v>40</v>
      </c>
      <c r="N1219">
        <v>260</v>
      </c>
    </row>
    <row r="1220" spans="1:14">
      <c r="A1220" s="25">
        <f t="shared" si="117"/>
        <v>1217</v>
      </c>
      <c r="B1220" s="67" t="s">
        <v>13</v>
      </c>
      <c r="C1220" s="67" t="s">
        <v>776</v>
      </c>
      <c r="D1220" s="67" t="s">
        <v>860</v>
      </c>
      <c r="E1220" s="22">
        <f t="shared" ca="1" si="118"/>
        <v>40951</v>
      </c>
      <c r="F1220" s="11">
        <f>DATE(92,10,28)</f>
        <v>33905</v>
      </c>
      <c r="G1220" s="12">
        <f t="shared" ca="1" si="114"/>
        <v>20</v>
      </c>
      <c r="H1220" s="12">
        <f t="shared" ca="1" si="115"/>
        <v>-8</v>
      </c>
      <c r="I1220" s="13">
        <f t="shared" ca="1" si="116"/>
        <v>-16</v>
      </c>
      <c r="J1220" s="14">
        <f t="shared" ref="J1220:J1283" ca="1" si="119">IF(H1220&lt;0,G1220-1,IF(H1220&gt;0,G1220,IF(I1220&lt;0,G1220-1,G1220)))</f>
        <v>19</v>
      </c>
      <c r="K1220" s="12" t="s">
        <v>41</v>
      </c>
      <c r="L1220" s="15">
        <v>96</v>
      </c>
      <c r="M1220" s="25" t="s">
        <v>44</v>
      </c>
      <c r="N1220">
        <v>260</v>
      </c>
    </row>
    <row r="1221" spans="1:14">
      <c r="A1221" s="25">
        <f t="shared" si="117"/>
        <v>1218</v>
      </c>
      <c r="B1221" s="67" t="s">
        <v>13</v>
      </c>
      <c r="C1221" s="67" t="s">
        <v>861</v>
      </c>
      <c r="D1221" s="67" t="s">
        <v>860</v>
      </c>
      <c r="E1221" s="22">
        <f t="shared" ca="1" si="118"/>
        <v>40951</v>
      </c>
      <c r="F1221" s="11">
        <f>DATE(96,1,11)</f>
        <v>35075</v>
      </c>
      <c r="G1221" s="12">
        <f t="shared" ca="1" si="114"/>
        <v>16</v>
      </c>
      <c r="H1221" s="12">
        <f t="shared" ca="1" si="115"/>
        <v>1</v>
      </c>
      <c r="I1221" s="13">
        <f t="shared" ca="1" si="116"/>
        <v>1</v>
      </c>
      <c r="J1221" s="14">
        <f t="shared" ca="1" si="119"/>
        <v>16</v>
      </c>
      <c r="K1221" s="12" t="s">
        <v>41</v>
      </c>
      <c r="L1221" s="15">
        <v>96</v>
      </c>
      <c r="M1221" s="25" t="s">
        <v>44</v>
      </c>
      <c r="N1221">
        <v>260</v>
      </c>
    </row>
    <row r="1222" spans="1:14" ht="15.75" thickBot="1">
      <c r="A1222" s="26">
        <f t="shared" si="117"/>
        <v>1219</v>
      </c>
      <c r="B1222" s="68" t="s">
        <v>13</v>
      </c>
      <c r="C1222" s="68" t="s">
        <v>862</v>
      </c>
      <c r="D1222" s="68" t="s">
        <v>860</v>
      </c>
      <c r="E1222" s="23">
        <f t="shared" ca="1" si="118"/>
        <v>40951</v>
      </c>
      <c r="F1222" s="16">
        <f>DATE(2002,5,28)</f>
        <v>37404</v>
      </c>
      <c r="G1222" s="17">
        <f t="shared" ca="1" si="114"/>
        <v>10</v>
      </c>
      <c r="H1222" s="17">
        <f t="shared" ca="1" si="115"/>
        <v>-3</v>
      </c>
      <c r="I1222" s="18">
        <f t="shared" ca="1" si="116"/>
        <v>-16</v>
      </c>
      <c r="J1222" s="19">
        <f t="shared" ca="1" si="119"/>
        <v>9</v>
      </c>
      <c r="K1222" s="17" t="s">
        <v>40</v>
      </c>
      <c r="L1222" s="20">
        <v>96</v>
      </c>
      <c r="M1222" s="26" t="s">
        <v>44</v>
      </c>
      <c r="N1222">
        <v>260</v>
      </c>
    </row>
    <row r="1223" spans="1:14">
      <c r="A1223" s="25">
        <f t="shared" si="117"/>
        <v>1220</v>
      </c>
      <c r="B1223" s="67" t="s">
        <v>13</v>
      </c>
      <c r="C1223" s="67" t="s">
        <v>863</v>
      </c>
      <c r="D1223" s="67" t="s">
        <v>423</v>
      </c>
      <c r="E1223" s="22">
        <f t="shared" ca="1" si="118"/>
        <v>40951</v>
      </c>
      <c r="F1223" s="11">
        <f>DATE(73,5,1)</f>
        <v>26785</v>
      </c>
      <c r="G1223" s="12">
        <f t="shared" ca="1" si="114"/>
        <v>39</v>
      </c>
      <c r="H1223" s="12">
        <f t="shared" ca="1" si="115"/>
        <v>-3</v>
      </c>
      <c r="I1223" s="13">
        <f t="shared" ca="1" si="116"/>
        <v>11</v>
      </c>
      <c r="J1223" s="14">
        <f t="shared" ca="1" si="119"/>
        <v>38</v>
      </c>
      <c r="K1223" s="12" t="s">
        <v>40</v>
      </c>
      <c r="L1223" s="15">
        <v>96</v>
      </c>
      <c r="M1223" s="25" t="s">
        <v>40</v>
      </c>
      <c r="N1223">
        <v>261</v>
      </c>
    </row>
    <row r="1224" spans="1:14">
      <c r="A1224" s="25">
        <f t="shared" si="117"/>
        <v>1221</v>
      </c>
      <c r="B1224" s="67" t="s">
        <v>13</v>
      </c>
      <c r="C1224" s="67" t="s">
        <v>231</v>
      </c>
      <c r="D1224" s="67" t="s">
        <v>863</v>
      </c>
      <c r="E1224" s="22">
        <f t="shared" ca="1" si="118"/>
        <v>40951</v>
      </c>
      <c r="F1224" s="11">
        <f>DATE(79,12,29)</f>
        <v>29218</v>
      </c>
      <c r="G1224" s="12">
        <f t="shared" ca="1" si="114"/>
        <v>33</v>
      </c>
      <c r="H1224" s="12">
        <f t="shared" ca="1" si="115"/>
        <v>-10</v>
      </c>
      <c r="I1224" s="13">
        <f t="shared" ca="1" si="116"/>
        <v>-17</v>
      </c>
      <c r="J1224" s="14">
        <f t="shared" ca="1" si="119"/>
        <v>32</v>
      </c>
      <c r="K1224" s="12" t="s">
        <v>41</v>
      </c>
      <c r="L1224" s="15">
        <v>96</v>
      </c>
      <c r="M1224" s="25" t="s">
        <v>40</v>
      </c>
      <c r="N1224">
        <v>261</v>
      </c>
    </row>
    <row r="1225" spans="1:14">
      <c r="A1225" s="25">
        <f t="shared" si="117"/>
        <v>1222</v>
      </c>
      <c r="B1225" s="67" t="s">
        <v>13</v>
      </c>
      <c r="C1225" s="67" t="s">
        <v>97</v>
      </c>
      <c r="D1225" s="67" t="s">
        <v>863</v>
      </c>
      <c r="E1225" s="22">
        <f t="shared" ca="1" si="118"/>
        <v>40951</v>
      </c>
      <c r="F1225" s="11">
        <f>DATE(2000,9,3)</f>
        <v>36772</v>
      </c>
      <c r="G1225" s="12">
        <f t="shared" ca="1" si="114"/>
        <v>12</v>
      </c>
      <c r="H1225" s="12">
        <f t="shared" ca="1" si="115"/>
        <v>-7</v>
      </c>
      <c r="I1225" s="13">
        <f t="shared" ca="1" si="116"/>
        <v>9</v>
      </c>
      <c r="J1225" s="14">
        <f t="shared" ca="1" si="119"/>
        <v>11</v>
      </c>
      <c r="K1225" s="12" t="s">
        <v>41</v>
      </c>
      <c r="L1225" s="15">
        <v>96</v>
      </c>
      <c r="M1225" s="25" t="s">
        <v>44</v>
      </c>
      <c r="N1225">
        <v>261</v>
      </c>
    </row>
    <row r="1226" spans="1:14" ht="15.75" thickBot="1">
      <c r="A1226" s="26">
        <f t="shared" si="117"/>
        <v>1223</v>
      </c>
      <c r="B1226" s="68" t="s">
        <v>13</v>
      </c>
      <c r="C1226" s="68" t="s">
        <v>864</v>
      </c>
      <c r="D1226" s="68" t="s">
        <v>863</v>
      </c>
      <c r="E1226" s="23">
        <f t="shared" ca="1" si="118"/>
        <v>40951</v>
      </c>
      <c r="F1226" s="16">
        <f>DATE(2002,8,2)</f>
        <v>37470</v>
      </c>
      <c r="G1226" s="17">
        <f t="shared" ca="1" si="114"/>
        <v>10</v>
      </c>
      <c r="H1226" s="17">
        <f t="shared" ca="1" si="115"/>
        <v>-6</v>
      </c>
      <c r="I1226" s="18">
        <f t="shared" ca="1" si="116"/>
        <v>10</v>
      </c>
      <c r="J1226" s="19">
        <f t="shared" ca="1" si="119"/>
        <v>9</v>
      </c>
      <c r="K1226" s="17" t="s">
        <v>41</v>
      </c>
      <c r="L1226" s="20">
        <v>96</v>
      </c>
      <c r="M1226" s="26" t="s">
        <v>44</v>
      </c>
      <c r="N1226">
        <v>261</v>
      </c>
    </row>
    <row r="1227" spans="1:14">
      <c r="A1227" s="25">
        <f t="shared" si="117"/>
        <v>1224</v>
      </c>
      <c r="B1227" s="67" t="s">
        <v>13</v>
      </c>
      <c r="C1227" s="67" t="s">
        <v>266</v>
      </c>
      <c r="D1227" s="67" t="s">
        <v>94</v>
      </c>
      <c r="E1227" s="22">
        <f t="shared" ca="1" si="118"/>
        <v>40951</v>
      </c>
      <c r="F1227" s="11">
        <f>DATE(47,7,15)</f>
        <v>17363</v>
      </c>
      <c r="G1227" s="12">
        <f t="shared" ca="1" si="114"/>
        <v>65</v>
      </c>
      <c r="H1227" s="12">
        <f t="shared" ca="1" si="115"/>
        <v>-5</v>
      </c>
      <c r="I1227" s="13">
        <f t="shared" ca="1" si="116"/>
        <v>-3</v>
      </c>
      <c r="J1227" s="14">
        <f t="shared" ca="1" si="119"/>
        <v>64</v>
      </c>
      <c r="K1227" s="12" t="s">
        <v>40</v>
      </c>
      <c r="L1227" s="15">
        <v>96</v>
      </c>
      <c r="M1227" s="25" t="s">
        <v>40</v>
      </c>
      <c r="N1227">
        <v>262</v>
      </c>
    </row>
    <row r="1228" spans="1:14">
      <c r="A1228" s="25">
        <f t="shared" si="117"/>
        <v>1225</v>
      </c>
      <c r="B1228" s="67" t="s">
        <v>13</v>
      </c>
      <c r="C1228" s="67" t="s">
        <v>865</v>
      </c>
      <c r="D1228" s="67" t="s">
        <v>266</v>
      </c>
      <c r="E1228" s="22">
        <f t="shared" ca="1" si="118"/>
        <v>40951</v>
      </c>
      <c r="F1228" s="11">
        <f>DATE(54,10,16)</f>
        <v>20013</v>
      </c>
      <c r="G1228" s="12">
        <f t="shared" ca="1" si="114"/>
        <v>58</v>
      </c>
      <c r="H1228" s="12">
        <f t="shared" ca="1" si="115"/>
        <v>-8</v>
      </c>
      <c r="I1228" s="13">
        <f t="shared" ca="1" si="116"/>
        <v>-4</v>
      </c>
      <c r="J1228" s="14">
        <f t="shared" ca="1" si="119"/>
        <v>57</v>
      </c>
      <c r="K1228" s="12" t="s">
        <v>41</v>
      </c>
      <c r="L1228" s="15">
        <v>96</v>
      </c>
      <c r="M1228" s="25" t="s">
        <v>40</v>
      </c>
      <c r="N1228">
        <v>262</v>
      </c>
    </row>
    <row r="1229" spans="1:14">
      <c r="A1229" s="25">
        <f t="shared" si="117"/>
        <v>1226</v>
      </c>
      <c r="B1229" s="67" t="s">
        <v>13</v>
      </c>
      <c r="C1229" s="67" t="s">
        <v>866</v>
      </c>
      <c r="D1229" s="67" t="s">
        <v>94</v>
      </c>
      <c r="E1229" s="22">
        <f t="shared" ca="1" si="118"/>
        <v>40951</v>
      </c>
      <c r="F1229" s="32"/>
      <c r="G1229" s="12">
        <f t="shared" ca="1" si="114"/>
        <v>112</v>
      </c>
      <c r="H1229" s="12">
        <f t="shared" ca="1" si="115"/>
        <v>1</v>
      </c>
      <c r="I1229" s="13">
        <f t="shared" ca="1" si="116"/>
        <v>12</v>
      </c>
      <c r="J1229" s="14">
        <f t="shared" ca="1" si="119"/>
        <v>112</v>
      </c>
      <c r="K1229" s="12" t="s">
        <v>41</v>
      </c>
      <c r="L1229" s="15">
        <v>96</v>
      </c>
      <c r="M1229" s="25" t="s">
        <v>40</v>
      </c>
      <c r="N1229">
        <v>262</v>
      </c>
    </row>
    <row r="1230" spans="1:14">
      <c r="A1230" s="25">
        <f t="shared" si="117"/>
        <v>1227</v>
      </c>
      <c r="B1230" s="67" t="s">
        <v>13</v>
      </c>
      <c r="C1230" s="67" t="s">
        <v>867</v>
      </c>
      <c r="D1230" s="67" t="s">
        <v>266</v>
      </c>
      <c r="E1230" s="22">
        <f t="shared" ca="1" si="118"/>
        <v>40951</v>
      </c>
      <c r="F1230" s="11">
        <f>DATE(82,7,26)</f>
        <v>30158</v>
      </c>
      <c r="G1230" s="12">
        <f t="shared" ca="1" si="114"/>
        <v>30</v>
      </c>
      <c r="H1230" s="12">
        <f t="shared" ca="1" si="115"/>
        <v>-5</v>
      </c>
      <c r="I1230" s="13">
        <f t="shared" ca="1" si="116"/>
        <v>-14</v>
      </c>
      <c r="J1230" s="14">
        <f t="shared" ca="1" si="119"/>
        <v>29</v>
      </c>
      <c r="K1230" s="12" t="s">
        <v>41</v>
      </c>
      <c r="L1230" s="15">
        <v>96</v>
      </c>
      <c r="M1230" s="25" t="s">
        <v>44</v>
      </c>
      <c r="N1230">
        <v>262</v>
      </c>
    </row>
    <row r="1231" spans="1:14">
      <c r="A1231" s="25">
        <f t="shared" si="117"/>
        <v>1228</v>
      </c>
      <c r="B1231" s="67" t="s">
        <v>13</v>
      </c>
      <c r="C1231" s="67" t="s">
        <v>474</v>
      </c>
      <c r="D1231" s="67" t="s">
        <v>266</v>
      </c>
      <c r="E1231" s="22">
        <f t="shared" ca="1" si="118"/>
        <v>40951</v>
      </c>
      <c r="F1231" s="11">
        <f>DATE(85,7,5)</f>
        <v>31233</v>
      </c>
      <c r="G1231" s="12">
        <f t="shared" ca="1" si="114"/>
        <v>27</v>
      </c>
      <c r="H1231" s="12">
        <f t="shared" ca="1" si="115"/>
        <v>-5</v>
      </c>
      <c r="I1231" s="13">
        <f t="shared" ca="1" si="116"/>
        <v>7</v>
      </c>
      <c r="J1231" s="14">
        <f t="shared" ca="1" si="119"/>
        <v>26</v>
      </c>
      <c r="K1231" s="12" t="s">
        <v>41</v>
      </c>
      <c r="L1231" s="15">
        <v>96</v>
      </c>
      <c r="M1231" s="25" t="s">
        <v>44</v>
      </c>
      <c r="N1231">
        <v>262</v>
      </c>
    </row>
    <row r="1232" spans="1:14" ht="15.75" thickBot="1">
      <c r="A1232" s="26">
        <f t="shared" si="117"/>
        <v>1229</v>
      </c>
      <c r="B1232" s="68" t="s">
        <v>13</v>
      </c>
      <c r="C1232" s="68" t="s">
        <v>463</v>
      </c>
      <c r="D1232" s="68" t="s">
        <v>94</v>
      </c>
      <c r="E1232" s="23">
        <f t="shared" ca="1" si="118"/>
        <v>40951</v>
      </c>
      <c r="F1232" s="16">
        <f>DATE(55,8,4)</f>
        <v>20305</v>
      </c>
      <c r="G1232" s="17">
        <f t="shared" ca="1" si="114"/>
        <v>57</v>
      </c>
      <c r="H1232" s="17">
        <f t="shared" ca="1" si="115"/>
        <v>-6</v>
      </c>
      <c r="I1232" s="18">
        <f t="shared" ca="1" si="116"/>
        <v>8</v>
      </c>
      <c r="J1232" s="19">
        <f t="shared" ca="1" si="119"/>
        <v>56</v>
      </c>
      <c r="K1232" s="17" t="s">
        <v>40</v>
      </c>
      <c r="L1232" s="20">
        <v>96</v>
      </c>
      <c r="M1232" s="26" t="s">
        <v>40</v>
      </c>
      <c r="N1232">
        <v>262</v>
      </c>
    </row>
    <row r="1233" spans="1:14">
      <c r="A1233" s="25">
        <f t="shared" si="117"/>
        <v>1230</v>
      </c>
      <c r="B1233" s="67" t="s">
        <v>14</v>
      </c>
      <c r="C1233" s="67" t="s">
        <v>868</v>
      </c>
      <c r="D1233" s="67" t="s">
        <v>298</v>
      </c>
      <c r="E1233" s="22">
        <f t="shared" ca="1" si="118"/>
        <v>40951</v>
      </c>
      <c r="F1233" s="11">
        <f>DATE(52,10,3)</f>
        <v>19270</v>
      </c>
      <c r="G1233" s="12">
        <f t="shared" ca="1" si="114"/>
        <v>60</v>
      </c>
      <c r="H1233" s="12">
        <f t="shared" ca="1" si="115"/>
        <v>-8</v>
      </c>
      <c r="I1233" s="13">
        <f t="shared" ca="1" si="116"/>
        <v>9</v>
      </c>
      <c r="J1233" s="14">
        <f t="shared" ca="1" si="119"/>
        <v>59</v>
      </c>
      <c r="K1233" s="12" t="s">
        <v>41</v>
      </c>
      <c r="L1233" s="15">
        <v>97</v>
      </c>
      <c r="M1233" s="25" t="s">
        <v>40</v>
      </c>
      <c r="N1233">
        <v>263</v>
      </c>
    </row>
    <row r="1234" spans="1:14">
      <c r="A1234" s="25">
        <f t="shared" si="117"/>
        <v>1231</v>
      </c>
      <c r="B1234" s="67" t="s">
        <v>14</v>
      </c>
      <c r="C1234" s="67" t="s">
        <v>308</v>
      </c>
      <c r="D1234" s="67" t="s">
        <v>298</v>
      </c>
      <c r="E1234" s="22">
        <f t="shared" ca="1" si="118"/>
        <v>40951</v>
      </c>
      <c r="F1234" s="11">
        <f>DATE(73,1,60)</f>
        <v>26724</v>
      </c>
      <c r="G1234" s="12">
        <f t="shared" ca="1" si="114"/>
        <v>39</v>
      </c>
      <c r="H1234" s="12">
        <f t="shared" ca="1" si="115"/>
        <v>-1</v>
      </c>
      <c r="I1234" s="13">
        <f t="shared" ca="1" si="116"/>
        <v>11</v>
      </c>
      <c r="J1234" s="14">
        <f t="shared" ca="1" si="119"/>
        <v>38</v>
      </c>
      <c r="K1234" s="12" t="s">
        <v>40</v>
      </c>
      <c r="L1234" s="15">
        <v>97</v>
      </c>
      <c r="M1234" s="25" t="s">
        <v>40</v>
      </c>
      <c r="N1234">
        <v>263</v>
      </c>
    </row>
    <row r="1235" spans="1:14">
      <c r="A1235" s="25">
        <f t="shared" si="117"/>
        <v>1232</v>
      </c>
      <c r="B1235" s="67" t="s">
        <v>14</v>
      </c>
      <c r="C1235" s="67" t="s">
        <v>105</v>
      </c>
      <c r="D1235" s="67" t="s">
        <v>308</v>
      </c>
      <c r="E1235" s="22">
        <f t="shared" ca="1" si="118"/>
        <v>40951</v>
      </c>
      <c r="F1235" s="11">
        <f>DATE(75,11,26)</f>
        <v>27724</v>
      </c>
      <c r="G1235" s="12">
        <f t="shared" ca="1" si="114"/>
        <v>37</v>
      </c>
      <c r="H1235" s="12">
        <f t="shared" ca="1" si="115"/>
        <v>-9</v>
      </c>
      <c r="I1235" s="13">
        <f t="shared" ca="1" si="116"/>
        <v>-14</v>
      </c>
      <c r="J1235" s="14">
        <f t="shared" ca="1" si="119"/>
        <v>36</v>
      </c>
      <c r="K1235" s="12" t="s">
        <v>41</v>
      </c>
      <c r="L1235" s="15">
        <v>97</v>
      </c>
      <c r="M1235" s="25" t="s">
        <v>40</v>
      </c>
      <c r="N1235">
        <v>263</v>
      </c>
    </row>
    <row r="1236" spans="1:14">
      <c r="A1236" s="25">
        <f t="shared" si="117"/>
        <v>1233</v>
      </c>
      <c r="B1236" s="67" t="s">
        <v>14</v>
      </c>
      <c r="C1236" s="67" t="s">
        <v>736</v>
      </c>
      <c r="D1236" s="67" t="s">
        <v>308</v>
      </c>
      <c r="E1236" s="22">
        <f t="shared" ca="1" si="118"/>
        <v>40951</v>
      </c>
      <c r="F1236" s="11">
        <f>DATE(2003,4,21)</f>
        <v>37732</v>
      </c>
      <c r="G1236" s="12">
        <f t="shared" ca="1" si="114"/>
        <v>9</v>
      </c>
      <c r="H1236" s="12">
        <f t="shared" ca="1" si="115"/>
        <v>-2</v>
      </c>
      <c r="I1236" s="13">
        <f t="shared" ca="1" si="116"/>
        <v>-9</v>
      </c>
      <c r="J1236" s="14">
        <f t="shared" ca="1" si="119"/>
        <v>8</v>
      </c>
      <c r="K1236" s="12" t="s">
        <v>41</v>
      </c>
      <c r="L1236" s="15">
        <v>97</v>
      </c>
      <c r="M1236" s="25" t="s">
        <v>44</v>
      </c>
      <c r="N1236">
        <v>263</v>
      </c>
    </row>
    <row r="1237" spans="1:14" ht="15.75" thickBot="1">
      <c r="A1237" s="26">
        <f t="shared" si="117"/>
        <v>1234</v>
      </c>
      <c r="B1237" s="68" t="s">
        <v>14</v>
      </c>
      <c r="C1237" s="68" t="s">
        <v>869</v>
      </c>
      <c r="D1237" s="68" t="s">
        <v>308</v>
      </c>
      <c r="E1237" s="23">
        <f t="shared" ca="1" si="118"/>
        <v>40951</v>
      </c>
      <c r="F1237" s="16">
        <f>DATE(2005,9,21)</f>
        <v>38616</v>
      </c>
      <c r="G1237" s="17">
        <f t="shared" ca="1" si="114"/>
        <v>7</v>
      </c>
      <c r="H1237" s="17">
        <f t="shared" ca="1" si="115"/>
        <v>-7</v>
      </c>
      <c r="I1237" s="18">
        <f t="shared" ca="1" si="116"/>
        <v>-9</v>
      </c>
      <c r="J1237" s="19">
        <f t="shared" ca="1" si="119"/>
        <v>6</v>
      </c>
      <c r="K1237" s="17" t="s">
        <v>40</v>
      </c>
      <c r="L1237" s="20">
        <v>97</v>
      </c>
      <c r="M1237" s="26" t="s">
        <v>44</v>
      </c>
      <c r="N1237">
        <v>263</v>
      </c>
    </row>
    <row r="1238" spans="1:14">
      <c r="A1238" s="25">
        <f t="shared" si="117"/>
        <v>1235</v>
      </c>
      <c r="B1238" s="67" t="s">
        <v>14</v>
      </c>
      <c r="C1238" s="67"/>
      <c r="D1238" s="67"/>
      <c r="E1238" s="22"/>
      <c r="F1238" s="11"/>
      <c r="G1238" s="12"/>
      <c r="H1238" s="12"/>
      <c r="I1238" s="13"/>
      <c r="J1238" s="14"/>
      <c r="K1238" s="12"/>
      <c r="L1238" s="15"/>
      <c r="M1238" s="25"/>
      <c r="N1238">
        <v>264</v>
      </c>
    </row>
    <row r="1239" spans="1:14">
      <c r="A1239" s="25">
        <f t="shared" si="117"/>
        <v>1236</v>
      </c>
      <c r="B1239" s="67" t="s">
        <v>14</v>
      </c>
      <c r="C1239" s="67" t="s">
        <v>181</v>
      </c>
      <c r="D1239" s="67" t="s">
        <v>870</v>
      </c>
      <c r="E1239" s="22">
        <f t="shared" ca="1" si="118"/>
        <v>40951</v>
      </c>
      <c r="F1239" s="11">
        <f>DATE(65,3,15)</f>
        <v>23816</v>
      </c>
      <c r="G1239" s="12">
        <f t="shared" ca="1" si="114"/>
        <v>47</v>
      </c>
      <c r="H1239" s="12">
        <f t="shared" ca="1" si="115"/>
        <v>-1</v>
      </c>
      <c r="I1239" s="13">
        <f t="shared" ca="1" si="116"/>
        <v>-3</v>
      </c>
      <c r="J1239" s="14">
        <f t="shared" ca="1" si="119"/>
        <v>46</v>
      </c>
      <c r="K1239" s="12" t="s">
        <v>40</v>
      </c>
      <c r="L1239" s="15">
        <v>97</v>
      </c>
      <c r="M1239" s="25" t="s">
        <v>40</v>
      </c>
      <c r="N1239">
        <v>264</v>
      </c>
    </row>
    <row r="1240" spans="1:14">
      <c r="A1240" s="25">
        <f t="shared" si="117"/>
        <v>1237</v>
      </c>
      <c r="B1240" s="67" t="s">
        <v>14</v>
      </c>
      <c r="C1240" s="67" t="s">
        <v>265</v>
      </c>
      <c r="D1240" s="67" t="s">
        <v>181</v>
      </c>
      <c r="E1240" s="22">
        <f t="shared" ca="1" si="118"/>
        <v>40951</v>
      </c>
      <c r="F1240" s="11">
        <f>DATE(70,6,17)</f>
        <v>25736</v>
      </c>
      <c r="G1240" s="12">
        <f t="shared" ca="1" si="114"/>
        <v>42</v>
      </c>
      <c r="H1240" s="12">
        <f t="shared" ca="1" si="115"/>
        <v>-4</v>
      </c>
      <c r="I1240" s="13">
        <f t="shared" ca="1" si="116"/>
        <v>-5</v>
      </c>
      <c r="J1240" s="14">
        <f t="shared" ca="1" si="119"/>
        <v>41</v>
      </c>
      <c r="K1240" s="12" t="s">
        <v>41</v>
      </c>
      <c r="L1240" s="15">
        <v>97</v>
      </c>
      <c r="M1240" s="25" t="s">
        <v>40</v>
      </c>
      <c r="N1240">
        <v>264</v>
      </c>
    </row>
    <row r="1241" spans="1:14">
      <c r="A1241" s="25">
        <f t="shared" si="117"/>
        <v>1238</v>
      </c>
      <c r="B1241" s="67" t="s">
        <v>14</v>
      </c>
      <c r="C1241" s="67" t="s">
        <v>590</v>
      </c>
      <c r="D1241" s="67" t="s">
        <v>181</v>
      </c>
      <c r="E1241" s="22">
        <f t="shared" ca="1" si="118"/>
        <v>40951</v>
      </c>
      <c r="F1241" s="11">
        <f>DATE(94,11,20)</f>
        <v>34658</v>
      </c>
      <c r="G1241" s="12">
        <f t="shared" ca="1" si="114"/>
        <v>18</v>
      </c>
      <c r="H1241" s="12">
        <f t="shared" ca="1" si="115"/>
        <v>-9</v>
      </c>
      <c r="I1241" s="13">
        <f t="shared" ca="1" si="116"/>
        <v>-8</v>
      </c>
      <c r="J1241" s="14">
        <f t="shared" ca="1" si="119"/>
        <v>17</v>
      </c>
      <c r="K1241" s="12" t="s">
        <v>41</v>
      </c>
      <c r="L1241" s="15">
        <v>97</v>
      </c>
      <c r="M1241" s="25" t="s">
        <v>44</v>
      </c>
      <c r="N1241">
        <v>264</v>
      </c>
    </row>
    <row r="1242" spans="1:14" ht="15.75" thickBot="1">
      <c r="A1242" s="26">
        <f t="shared" si="117"/>
        <v>1239</v>
      </c>
      <c r="B1242" s="68" t="s">
        <v>14</v>
      </c>
      <c r="C1242" s="68" t="s">
        <v>871</v>
      </c>
      <c r="D1242" s="68" t="s">
        <v>181</v>
      </c>
      <c r="E1242" s="23">
        <f t="shared" ca="1" si="118"/>
        <v>40951</v>
      </c>
      <c r="F1242" s="16">
        <f>DATE(98,8,4)</f>
        <v>36011</v>
      </c>
      <c r="G1242" s="17">
        <f t="shared" ref="G1242:G1305" ca="1" si="120">YEAR(E1242)-YEAR(F1242)</f>
        <v>14</v>
      </c>
      <c r="H1242" s="17">
        <f t="shared" ref="H1242:H1305" ca="1" si="121">MONTH(E1242)-MONTH(F1242)</f>
        <v>-6</v>
      </c>
      <c r="I1242" s="18">
        <f t="shared" ref="I1242:I1305" ca="1" si="122">DAY(E1242)-DAY(F1242)</f>
        <v>8</v>
      </c>
      <c r="J1242" s="19">
        <f t="shared" ca="1" si="119"/>
        <v>13</v>
      </c>
      <c r="K1242" s="17" t="s">
        <v>41</v>
      </c>
      <c r="L1242" s="20">
        <v>97</v>
      </c>
      <c r="M1242" s="26" t="s">
        <v>44</v>
      </c>
      <c r="N1242">
        <v>264</v>
      </c>
    </row>
    <row r="1243" spans="1:14">
      <c r="A1243" s="25">
        <f t="shared" si="117"/>
        <v>1240</v>
      </c>
      <c r="B1243" s="67" t="s">
        <v>14</v>
      </c>
      <c r="C1243" s="67" t="s">
        <v>537</v>
      </c>
      <c r="D1243" s="67" t="s">
        <v>519</v>
      </c>
      <c r="E1243" s="22">
        <f t="shared" ca="1" si="118"/>
        <v>40951</v>
      </c>
      <c r="F1243" s="11">
        <f>DATE(60,3,2)</f>
        <v>21977</v>
      </c>
      <c r="G1243" s="12">
        <f t="shared" ca="1" si="120"/>
        <v>52</v>
      </c>
      <c r="H1243" s="12">
        <f t="shared" ca="1" si="121"/>
        <v>-1</v>
      </c>
      <c r="I1243" s="13">
        <f t="shared" ca="1" si="122"/>
        <v>10</v>
      </c>
      <c r="J1243" s="14">
        <f t="shared" ca="1" si="119"/>
        <v>51</v>
      </c>
      <c r="K1243" s="12" t="s">
        <v>40</v>
      </c>
      <c r="L1243" s="15">
        <v>97</v>
      </c>
      <c r="M1243" s="25" t="s">
        <v>40</v>
      </c>
      <c r="N1243">
        <v>265</v>
      </c>
    </row>
    <row r="1244" spans="1:14">
      <c r="A1244" s="25">
        <f t="shared" si="117"/>
        <v>1241</v>
      </c>
      <c r="B1244" s="67" t="s">
        <v>14</v>
      </c>
      <c r="C1244" s="67" t="s">
        <v>872</v>
      </c>
      <c r="D1244" s="67" t="s">
        <v>537</v>
      </c>
      <c r="E1244" s="22">
        <f t="shared" ca="1" si="118"/>
        <v>40951</v>
      </c>
      <c r="F1244" s="11">
        <f>DATE(68,7,9)</f>
        <v>25028</v>
      </c>
      <c r="G1244" s="12">
        <f t="shared" ca="1" si="120"/>
        <v>44</v>
      </c>
      <c r="H1244" s="12">
        <f t="shared" ca="1" si="121"/>
        <v>-5</v>
      </c>
      <c r="I1244" s="13">
        <f t="shared" ca="1" si="122"/>
        <v>3</v>
      </c>
      <c r="J1244" s="14">
        <f t="shared" ca="1" si="119"/>
        <v>43</v>
      </c>
      <c r="K1244" s="12" t="s">
        <v>41</v>
      </c>
      <c r="L1244" s="15">
        <v>97</v>
      </c>
      <c r="M1244" s="25" t="s">
        <v>40</v>
      </c>
      <c r="N1244">
        <v>265</v>
      </c>
    </row>
    <row r="1245" spans="1:14">
      <c r="A1245" s="25">
        <f t="shared" si="117"/>
        <v>1242</v>
      </c>
      <c r="B1245" s="67" t="s">
        <v>14</v>
      </c>
      <c r="C1245" s="67" t="s">
        <v>653</v>
      </c>
      <c r="D1245" s="67" t="s">
        <v>537</v>
      </c>
      <c r="E1245" s="22">
        <f t="shared" ca="1" si="118"/>
        <v>40951</v>
      </c>
      <c r="F1245" s="11">
        <f>DATE(90,8,26)</f>
        <v>33111</v>
      </c>
      <c r="G1245" s="12">
        <f t="shared" ca="1" si="120"/>
        <v>22</v>
      </c>
      <c r="H1245" s="12">
        <f t="shared" ca="1" si="121"/>
        <v>-6</v>
      </c>
      <c r="I1245" s="13">
        <f t="shared" ca="1" si="122"/>
        <v>-14</v>
      </c>
      <c r="J1245" s="14">
        <f t="shared" ca="1" si="119"/>
        <v>21</v>
      </c>
      <c r="K1245" s="12" t="s">
        <v>41</v>
      </c>
      <c r="L1245" s="15">
        <v>97</v>
      </c>
      <c r="M1245" s="25" t="s">
        <v>44</v>
      </c>
      <c r="N1245">
        <v>265</v>
      </c>
    </row>
    <row r="1246" spans="1:14" ht="15.75" thickBot="1">
      <c r="A1246" s="26">
        <f t="shared" ref="A1246:A1309" si="123">A1245+1</f>
        <v>1243</v>
      </c>
      <c r="B1246" s="68" t="s">
        <v>14</v>
      </c>
      <c r="C1246" s="68" t="s">
        <v>873</v>
      </c>
      <c r="D1246" s="68" t="s">
        <v>537</v>
      </c>
      <c r="E1246" s="23">
        <f t="shared" ca="1" si="118"/>
        <v>40951</v>
      </c>
      <c r="F1246" s="16">
        <f>DATE(92,2,10)</f>
        <v>33644</v>
      </c>
      <c r="G1246" s="17">
        <f t="shared" ca="1" si="120"/>
        <v>20</v>
      </c>
      <c r="H1246" s="17">
        <f t="shared" ca="1" si="121"/>
        <v>0</v>
      </c>
      <c r="I1246" s="18">
        <f t="shared" ca="1" si="122"/>
        <v>2</v>
      </c>
      <c r="J1246" s="19">
        <f t="shared" ca="1" si="119"/>
        <v>20</v>
      </c>
      <c r="K1246" s="17" t="s">
        <v>40</v>
      </c>
      <c r="L1246" s="20">
        <v>97</v>
      </c>
      <c r="M1246" s="26" t="s">
        <v>44</v>
      </c>
      <c r="N1246">
        <v>265</v>
      </c>
    </row>
    <row r="1247" spans="1:14">
      <c r="A1247" s="24">
        <f t="shared" si="123"/>
        <v>1244</v>
      </c>
      <c r="B1247" s="66" t="s">
        <v>14</v>
      </c>
      <c r="C1247" s="66" t="s">
        <v>199</v>
      </c>
      <c r="D1247" s="66" t="s">
        <v>624</v>
      </c>
      <c r="E1247" s="21">
        <f t="shared" ca="1" si="118"/>
        <v>40951</v>
      </c>
      <c r="F1247" s="6">
        <f>DATE(44,11,21)</f>
        <v>16397</v>
      </c>
      <c r="G1247" s="7">
        <f t="shared" ca="1" si="120"/>
        <v>68</v>
      </c>
      <c r="H1247" s="7">
        <f t="shared" ca="1" si="121"/>
        <v>-9</v>
      </c>
      <c r="I1247" s="8">
        <f t="shared" ca="1" si="122"/>
        <v>-9</v>
      </c>
      <c r="J1247" s="9">
        <f t="shared" ca="1" si="119"/>
        <v>67</v>
      </c>
      <c r="K1247" s="7" t="s">
        <v>40</v>
      </c>
      <c r="L1247" s="10">
        <v>98</v>
      </c>
      <c r="M1247" s="24" t="s">
        <v>40</v>
      </c>
      <c r="N1247">
        <v>266</v>
      </c>
    </row>
    <row r="1248" spans="1:14">
      <c r="A1248" s="25">
        <f t="shared" si="123"/>
        <v>1245</v>
      </c>
      <c r="B1248" s="67" t="s">
        <v>14</v>
      </c>
      <c r="C1248" s="67" t="s">
        <v>548</v>
      </c>
      <c r="D1248" s="67" t="s">
        <v>199</v>
      </c>
      <c r="E1248" s="22">
        <f t="shared" ca="1" si="118"/>
        <v>40951</v>
      </c>
      <c r="F1248" s="11">
        <f>DATE(50,9,27)</f>
        <v>18533</v>
      </c>
      <c r="G1248" s="12">
        <f t="shared" ca="1" si="120"/>
        <v>62</v>
      </c>
      <c r="H1248" s="12">
        <f t="shared" ca="1" si="121"/>
        <v>-7</v>
      </c>
      <c r="I1248" s="13">
        <f t="shared" ca="1" si="122"/>
        <v>-15</v>
      </c>
      <c r="J1248" s="14">
        <f t="shared" ca="1" si="119"/>
        <v>61</v>
      </c>
      <c r="K1248" s="12" t="s">
        <v>41</v>
      </c>
      <c r="L1248" s="15">
        <v>98</v>
      </c>
      <c r="M1248" s="25" t="s">
        <v>40</v>
      </c>
      <c r="N1248">
        <v>266</v>
      </c>
    </row>
    <row r="1249" spans="1:14" ht="15.75" thickBot="1">
      <c r="A1249" s="26">
        <f t="shared" si="123"/>
        <v>1246</v>
      </c>
      <c r="B1249" s="68" t="s">
        <v>14</v>
      </c>
      <c r="C1249" s="68" t="s">
        <v>874</v>
      </c>
      <c r="D1249" s="68" t="s">
        <v>199</v>
      </c>
      <c r="E1249" s="23">
        <f t="shared" ca="1" si="118"/>
        <v>40951</v>
      </c>
      <c r="F1249" s="16">
        <f>DATE(81,4,11)</f>
        <v>29687</v>
      </c>
      <c r="G1249" s="17">
        <f t="shared" ca="1" si="120"/>
        <v>31</v>
      </c>
      <c r="H1249" s="17">
        <f t="shared" ca="1" si="121"/>
        <v>-2</v>
      </c>
      <c r="I1249" s="18">
        <f t="shared" ca="1" si="122"/>
        <v>1</v>
      </c>
      <c r="J1249" s="19">
        <f t="shared" ca="1" si="119"/>
        <v>30</v>
      </c>
      <c r="K1249" s="17" t="s">
        <v>40</v>
      </c>
      <c r="L1249" s="20">
        <v>98</v>
      </c>
      <c r="M1249" s="26" t="s">
        <v>44</v>
      </c>
      <c r="N1249">
        <v>266</v>
      </c>
    </row>
    <row r="1250" spans="1:14">
      <c r="A1250" s="25">
        <f t="shared" si="123"/>
        <v>1247</v>
      </c>
      <c r="B1250" s="67" t="s">
        <v>14</v>
      </c>
      <c r="C1250" s="67" t="s">
        <v>49</v>
      </c>
      <c r="D1250" s="67" t="s">
        <v>519</v>
      </c>
      <c r="E1250" s="22">
        <f t="shared" ca="1" si="118"/>
        <v>40951</v>
      </c>
      <c r="F1250" s="32"/>
      <c r="G1250" s="12">
        <f t="shared" ca="1" si="120"/>
        <v>112</v>
      </c>
      <c r="H1250" s="12">
        <f t="shared" ca="1" si="121"/>
        <v>1</v>
      </c>
      <c r="I1250" s="13">
        <f t="shared" ca="1" si="122"/>
        <v>12</v>
      </c>
      <c r="J1250" s="14">
        <f t="shared" ca="1" si="119"/>
        <v>112</v>
      </c>
      <c r="K1250" s="12" t="s">
        <v>40</v>
      </c>
      <c r="L1250" s="15">
        <v>98</v>
      </c>
      <c r="M1250" s="25" t="s">
        <v>40</v>
      </c>
      <c r="N1250">
        <v>267</v>
      </c>
    </row>
    <row r="1251" spans="1:14">
      <c r="A1251" s="25">
        <f t="shared" si="123"/>
        <v>1248</v>
      </c>
      <c r="B1251" s="67" t="s">
        <v>14</v>
      </c>
      <c r="C1251" s="67" t="s">
        <v>115</v>
      </c>
      <c r="D1251" s="67" t="s">
        <v>49</v>
      </c>
      <c r="E1251" s="22">
        <f t="shared" ca="1" si="118"/>
        <v>40951</v>
      </c>
      <c r="F1251" s="32"/>
      <c r="G1251" s="12">
        <f t="shared" ca="1" si="120"/>
        <v>112</v>
      </c>
      <c r="H1251" s="12">
        <f t="shared" ca="1" si="121"/>
        <v>1</v>
      </c>
      <c r="I1251" s="13">
        <f t="shared" ca="1" si="122"/>
        <v>12</v>
      </c>
      <c r="J1251" s="14">
        <f t="shared" ca="1" si="119"/>
        <v>112</v>
      </c>
      <c r="K1251" s="12" t="s">
        <v>41</v>
      </c>
      <c r="L1251" s="15">
        <v>98</v>
      </c>
      <c r="M1251" s="25" t="s">
        <v>40</v>
      </c>
      <c r="N1251">
        <v>267</v>
      </c>
    </row>
    <row r="1252" spans="1:14">
      <c r="A1252" s="25">
        <f t="shared" si="123"/>
        <v>1249</v>
      </c>
      <c r="B1252" s="67" t="s">
        <v>14</v>
      </c>
      <c r="C1252" s="67" t="s">
        <v>641</v>
      </c>
      <c r="D1252" s="67" t="s">
        <v>49</v>
      </c>
      <c r="E1252" s="22">
        <f t="shared" ref="E1252:E1315" ca="1" si="124">TODAY()</f>
        <v>40951</v>
      </c>
      <c r="F1252" s="11">
        <f>DATE(79,11,27)</f>
        <v>29186</v>
      </c>
      <c r="G1252" s="12">
        <f t="shared" ca="1" si="120"/>
        <v>33</v>
      </c>
      <c r="H1252" s="12">
        <f t="shared" ca="1" si="121"/>
        <v>-9</v>
      </c>
      <c r="I1252" s="13">
        <f t="shared" ca="1" si="122"/>
        <v>-15</v>
      </c>
      <c r="J1252" s="14">
        <f t="shared" ca="1" si="119"/>
        <v>32</v>
      </c>
      <c r="K1252" s="12" t="s">
        <v>40</v>
      </c>
      <c r="L1252" s="15">
        <v>98</v>
      </c>
      <c r="M1252" s="25" t="s">
        <v>40</v>
      </c>
      <c r="N1252">
        <v>267</v>
      </c>
    </row>
    <row r="1253" spans="1:14">
      <c r="A1253" s="25">
        <f t="shared" si="123"/>
        <v>1250</v>
      </c>
      <c r="B1253" s="67" t="s">
        <v>14</v>
      </c>
      <c r="C1253" s="67" t="s">
        <v>256</v>
      </c>
      <c r="D1253" s="67" t="s">
        <v>641</v>
      </c>
      <c r="E1253" s="22">
        <f t="shared" ca="1" si="124"/>
        <v>40951</v>
      </c>
      <c r="F1253" s="11">
        <f>DATE(79,10,29)</f>
        <v>29157</v>
      </c>
      <c r="G1253" s="12">
        <f t="shared" ca="1" si="120"/>
        <v>33</v>
      </c>
      <c r="H1253" s="12">
        <f t="shared" ca="1" si="121"/>
        <v>-8</v>
      </c>
      <c r="I1253" s="13">
        <f t="shared" ca="1" si="122"/>
        <v>-17</v>
      </c>
      <c r="J1253" s="14">
        <f t="shared" ca="1" si="119"/>
        <v>32</v>
      </c>
      <c r="K1253" s="12" t="s">
        <v>41</v>
      </c>
      <c r="L1253" s="15">
        <v>98</v>
      </c>
      <c r="M1253" s="25" t="s">
        <v>40</v>
      </c>
      <c r="N1253">
        <v>267</v>
      </c>
    </row>
    <row r="1254" spans="1:14">
      <c r="A1254" s="25">
        <f t="shared" si="123"/>
        <v>1251</v>
      </c>
      <c r="B1254" s="67" t="s">
        <v>14</v>
      </c>
      <c r="C1254" s="67" t="s">
        <v>875</v>
      </c>
      <c r="D1254" s="67" t="s">
        <v>641</v>
      </c>
      <c r="E1254" s="22">
        <f t="shared" ca="1" si="124"/>
        <v>40951</v>
      </c>
      <c r="F1254" s="11">
        <f>DATE(2005,7,11)</f>
        <v>38544</v>
      </c>
      <c r="G1254" s="12">
        <f t="shared" ca="1" si="120"/>
        <v>7</v>
      </c>
      <c r="H1254" s="12">
        <f t="shared" ca="1" si="121"/>
        <v>-5</v>
      </c>
      <c r="I1254" s="13">
        <f t="shared" ca="1" si="122"/>
        <v>1</v>
      </c>
      <c r="J1254" s="14">
        <f t="shared" ca="1" si="119"/>
        <v>6</v>
      </c>
      <c r="K1254" s="12" t="s">
        <v>41</v>
      </c>
      <c r="L1254" s="15">
        <v>98</v>
      </c>
      <c r="M1254" s="25" t="s">
        <v>44</v>
      </c>
      <c r="N1254">
        <v>267</v>
      </c>
    </row>
    <row r="1255" spans="1:14">
      <c r="A1255" s="25">
        <f t="shared" si="123"/>
        <v>1252</v>
      </c>
      <c r="B1255" s="67" t="s">
        <v>14</v>
      </c>
      <c r="C1255" s="67" t="s">
        <v>183</v>
      </c>
      <c r="D1255" s="67" t="s">
        <v>641</v>
      </c>
      <c r="E1255" s="22">
        <f t="shared" ca="1" si="124"/>
        <v>40951</v>
      </c>
      <c r="F1255" s="11">
        <f>DATE(85,10,16)</f>
        <v>31336</v>
      </c>
      <c r="G1255" s="12">
        <f t="shared" ca="1" si="120"/>
        <v>27</v>
      </c>
      <c r="H1255" s="12">
        <f t="shared" ca="1" si="121"/>
        <v>-8</v>
      </c>
      <c r="I1255" s="13">
        <f t="shared" ca="1" si="122"/>
        <v>-4</v>
      </c>
      <c r="J1255" s="14">
        <f t="shared" ca="1" si="119"/>
        <v>26</v>
      </c>
      <c r="K1255" s="12" t="s">
        <v>40</v>
      </c>
      <c r="L1255" s="15">
        <v>98</v>
      </c>
      <c r="M1255" s="25" t="s">
        <v>44</v>
      </c>
      <c r="N1255">
        <v>267</v>
      </c>
    </row>
    <row r="1256" spans="1:14" ht="15.75" thickBot="1">
      <c r="A1256" s="26">
        <f t="shared" si="123"/>
        <v>1253</v>
      </c>
      <c r="B1256" s="68" t="s">
        <v>14</v>
      </c>
      <c r="C1256" s="68" t="s">
        <v>876</v>
      </c>
      <c r="D1256" s="68" t="s">
        <v>519</v>
      </c>
      <c r="E1256" s="23">
        <f t="shared" ca="1" si="124"/>
        <v>40951</v>
      </c>
      <c r="F1256" s="33"/>
      <c r="G1256" s="17">
        <f t="shared" ca="1" si="120"/>
        <v>112</v>
      </c>
      <c r="H1256" s="17">
        <f t="shared" ca="1" si="121"/>
        <v>1</v>
      </c>
      <c r="I1256" s="18">
        <f t="shared" ca="1" si="122"/>
        <v>12</v>
      </c>
      <c r="J1256" s="19">
        <f t="shared" ca="1" si="119"/>
        <v>112</v>
      </c>
      <c r="K1256" s="17" t="s">
        <v>41</v>
      </c>
      <c r="L1256" s="20">
        <v>98</v>
      </c>
      <c r="M1256" s="26" t="s">
        <v>40</v>
      </c>
      <c r="N1256">
        <v>267</v>
      </c>
    </row>
    <row r="1257" spans="1:14">
      <c r="A1257" s="25">
        <f t="shared" si="123"/>
        <v>1254</v>
      </c>
      <c r="B1257" s="67" t="s">
        <v>14</v>
      </c>
      <c r="C1257" s="67" t="s">
        <v>463</v>
      </c>
      <c r="D1257" s="67" t="s">
        <v>429</v>
      </c>
      <c r="E1257" s="22">
        <f t="shared" ca="1" si="124"/>
        <v>40951</v>
      </c>
      <c r="F1257" s="11">
        <f>DATE(50,7,1)</f>
        <v>18445</v>
      </c>
      <c r="G1257" s="12">
        <f t="shared" ca="1" si="120"/>
        <v>62</v>
      </c>
      <c r="H1257" s="12">
        <f t="shared" ca="1" si="121"/>
        <v>-5</v>
      </c>
      <c r="I1257" s="13">
        <f t="shared" ca="1" si="122"/>
        <v>11</v>
      </c>
      <c r="J1257" s="14">
        <f t="shared" ca="1" si="119"/>
        <v>61</v>
      </c>
      <c r="K1257" s="12" t="s">
        <v>40</v>
      </c>
      <c r="L1257" s="15">
        <v>98</v>
      </c>
      <c r="M1257" s="25" t="s">
        <v>40</v>
      </c>
      <c r="N1257">
        <v>268</v>
      </c>
    </row>
    <row r="1258" spans="1:14">
      <c r="A1258" s="25">
        <f t="shared" si="123"/>
        <v>1255</v>
      </c>
      <c r="B1258" s="67" t="s">
        <v>14</v>
      </c>
      <c r="C1258" s="67" t="s">
        <v>877</v>
      </c>
      <c r="D1258" s="67" t="s">
        <v>429</v>
      </c>
      <c r="E1258" s="22">
        <f t="shared" ca="1" si="124"/>
        <v>40951</v>
      </c>
      <c r="F1258" s="32"/>
      <c r="G1258" s="12">
        <f t="shared" ca="1" si="120"/>
        <v>112</v>
      </c>
      <c r="H1258" s="12">
        <f t="shared" ca="1" si="121"/>
        <v>1</v>
      </c>
      <c r="I1258" s="13">
        <f t="shared" ca="1" si="122"/>
        <v>12</v>
      </c>
      <c r="J1258" s="14">
        <f t="shared" ca="1" si="119"/>
        <v>112</v>
      </c>
      <c r="K1258" s="12" t="s">
        <v>41</v>
      </c>
      <c r="L1258" s="15">
        <v>98</v>
      </c>
      <c r="M1258" s="25" t="s">
        <v>40</v>
      </c>
      <c r="N1258">
        <v>268</v>
      </c>
    </row>
    <row r="1259" spans="1:14">
      <c r="A1259" s="25">
        <f t="shared" si="123"/>
        <v>1256</v>
      </c>
      <c r="B1259" s="67" t="s">
        <v>14</v>
      </c>
      <c r="C1259" s="67" t="s">
        <v>762</v>
      </c>
      <c r="D1259" s="67" t="s">
        <v>463</v>
      </c>
      <c r="E1259" s="22">
        <f t="shared" ca="1" si="124"/>
        <v>40951</v>
      </c>
      <c r="F1259" s="11">
        <f>DATE(57,12,8)</f>
        <v>21162</v>
      </c>
      <c r="G1259" s="12">
        <f t="shared" ca="1" si="120"/>
        <v>55</v>
      </c>
      <c r="H1259" s="12">
        <f t="shared" ca="1" si="121"/>
        <v>-10</v>
      </c>
      <c r="I1259" s="13">
        <f t="shared" ca="1" si="122"/>
        <v>4</v>
      </c>
      <c r="J1259" s="14">
        <f t="shared" ca="1" si="119"/>
        <v>54</v>
      </c>
      <c r="K1259" s="12" t="s">
        <v>41</v>
      </c>
      <c r="L1259" s="15">
        <v>98</v>
      </c>
      <c r="M1259" s="25" t="s">
        <v>40</v>
      </c>
      <c r="N1259">
        <v>268</v>
      </c>
    </row>
    <row r="1260" spans="1:14">
      <c r="A1260" s="25">
        <f t="shared" si="123"/>
        <v>1257</v>
      </c>
      <c r="B1260" s="67" t="s">
        <v>14</v>
      </c>
      <c r="C1260" s="67" t="s">
        <v>126</v>
      </c>
      <c r="D1260" s="67" t="s">
        <v>463</v>
      </c>
      <c r="E1260" s="22">
        <f t="shared" ca="1" si="124"/>
        <v>40951</v>
      </c>
      <c r="F1260" s="11">
        <f>DATE(84,10,13)</f>
        <v>30968</v>
      </c>
      <c r="G1260" s="12">
        <f t="shared" ca="1" si="120"/>
        <v>28</v>
      </c>
      <c r="H1260" s="12">
        <f t="shared" ca="1" si="121"/>
        <v>-8</v>
      </c>
      <c r="I1260" s="13">
        <f t="shared" ca="1" si="122"/>
        <v>-1</v>
      </c>
      <c r="J1260" s="14">
        <f t="shared" ca="1" si="119"/>
        <v>27</v>
      </c>
      <c r="K1260" s="12" t="s">
        <v>40</v>
      </c>
      <c r="L1260" s="15">
        <v>98</v>
      </c>
      <c r="M1260" s="25" t="s">
        <v>44</v>
      </c>
      <c r="N1260">
        <v>268</v>
      </c>
    </row>
    <row r="1261" spans="1:14" ht="15.75" thickBot="1">
      <c r="A1261" s="26">
        <f t="shared" si="123"/>
        <v>1258</v>
      </c>
      <c r="B1261" s="68" t="s">
        <v>14</v>
      </c>
      <c r="C1261" s="68" t="s">
        <v>397</v>
      </c>
      <c r="D1261" s="68" t="s">
        <v>463</v>
      </c>
      <c r="E1261" s="23">
        <f t="shared" ca="1" si="124"/>
        <v>40951</v>
      </c>
      <c r="F1261" s="16">
        <f>DATE(87,6,17)</f>
        <v>31945</v>
      </c>
      <c r="G1261" s="17">
        <f t="shared" ca="1" si="120"/>
        <v>25</v>
      </c>
      <c r="H1261" s="17">
        <f t="shared" ca="1" si="121"/>
        <v>-4</v>
      </c>
      <c r="I1261" s="18">
        <f t="shared" ca="1" si="122"/>
        <v>-5</v>
      </c>
      <c r="J1261" s="19">
        <f t="shared" ca="1" si="119"/>
        <v>24</v>
      </c>
      <c r="K1261" s="17" t="s">
        <v>41</v>
      </c>
      <c r="L1261" s="20">
        <v>98</v>
      </c>
      <c r="M1261" s="26" t="s">
        <v>44</v>
      </c>
      <c r="N1261">
        <v>268</v>
      </c>
    </row>
    <row r="1262" spans="1:14">
      <c r="A1262" s="25">
        <f t="shared" si="123"/>
        <v>1259</v>
      </c>
      <c r="B1262" s="67" t="s">
        <v>14</v>
      </c>
      <c r="C1262" s="67" t="s">
        <v>463</v>
      </c>
      <c r="D1262" s="67" t="s">
        <v>56</v>
      </c>
      <c r="E1262" s="22">
        <f t="shared" ca="1" si="124"/>
        <v>40951</v>
      </c>
      <c r="F1262" s="11">
        <f>DATE(40,1,14)</f>
        <v>14624</v>
      </c>
      <c r="G1262" s="12">
        <f t="shared" ca="1" si="120"/>
        <v>72</v>
      </c>
      <c r="H1262" s="12">
        <f t="shared" ca="1" si="121"/>
        <v>1</v>
      </c>
      <c r="I1262" s="13">
        <f t="shared" ca="1" si="122"/>
        <v>-2</v>
      </c>
      <c r="J1262" s="14">
        <f t="shared" ca="1" si="119"/>
        <v>72</v>
      </c>
      <c r="K1262" s="12" t="s">
        <v>40</v>
      </c>
      <c r="L1262" s="15">
        <v>99</v>
      </c>
      <c r="M1262" s="25" t="s">
        <v>40</v>
      </c>
      <c r="N1262">
        <v>269</v>
      </c>
    </row>
    <row r="1263" spans="1:14">
      <c r="A1263" s="25">
        <f t="shared" si="123"/>
        <v>1260</v>
      </c>
      <c r="B1263" s="67" t="s">
        <v>14</v>
      </c>
      <c r="C1263" s="67" t="s">
        <v>878</v>
      </c>
      <c r="D1263" s="67" t="s">
        <v>463</v>
      </c>
      <c r="E1263" s="22">
        <f t="shared" ca="1" si="124"/>
        <v>40951</v>
      </c>
      <c r="F1263" s="11">
        <f>DATE(44,2,14)</f>
        <v>16116</v>
      </c>
      <c r="G1263" s="12">
        <f t="shared" ca="1" si="120"/>
        <v>68</v>
      </c>
      <c r="H1263" s="12">
        <f t="shared" ca="1" si="121"/>
        <v>0</v>
      </c>
      <c r="I1263" s="13">
        <f t="shared" ca="1" si="122"/>
        <v>-2</v>
      </c>
      <c r="J1263" s="14">
        <f t="shared" ca="1" si="119"/>
        <v>67</v>
      </c>
      <c r="K1263" s="12" t="s">
        <v>41</v>
      </c>
      <c r="L1263" s="15">
        <v>99</v>
      </c>
      <c r="M1263" s="25" t="s">
        <v>40</v>
      </c>
      <c r="N1263">
        <v>269</v>
      </c>
    </row>
    <row r="1264" spans="1:14" ht="15.75" thickBot="1">
      <c r="A1264" s="26">
        <f t="shared" si="123"/>
        <v>1261</v>
      </c>
      <c r="B1264" s="68" t="s">
        <v>14</v>
      </c>
      <c r="C1264" s="68" t="s">
        <v>689</v>
      </c>
      <c r="D1264" s="68" t="s">
        <v>463</v>
      </c>
      <c r="E1264" s="23">
        <f t="shared" ca="1" si="124"/>
        <v>40951</v>
      </c>
      <c r="F1264" s="16">
        <f>DATE(77,11,3)</f>
        <v>28432</v>
      </c>
      <c r="G1264" s="17">
        <f t="shared" ca="1" si="120"/>
        <v>35</v>
      </c>
      <c r="H1264" s="17">
        <f t="shared" ca="1" si="121"/>
        <v>-9</v>
      </c>
      <c r="I1264" s="18">
        <f t="shared" ca="1" si="122"/>
        <v>9</v>
      </c>
      <c r="J1264" s="19">
        <f t="shared" ca="1" si="119"/>
        <v>34</v>
      </c>
      <c r="K1264" s="17" t="s">
        <v>41</v>
      </c>
      <c r="L1264" s="20">
        <v>99</v>
      </c>
      <c r="M1264" s="26" t="s">
        <v>40</v>
      </c>
      <c r="N1264">
        <v>269</v>
      </c>
    </row>
    <row r="1265" spans="1:14">
      <c r="A1265" s="25">
        <f t="shared" si="123"/>
        <v>1262</v>
      </c>
      <c r="B1265" s="67" t="s">
        <v>14</v>
      </c>
      <c r="C1265" s="67" t="s">
        <v>879</v>
      </c>
      <c r="D1265" s="67" t="s">
        <v>56</v>
      </c>
      <c r="E1265" s="22">
        <f t="shared" ca="1" si="124"/>
        <v>40951</v>
      </c>
      <c r="F1265" s="11">
        <f>DATE(32,7,17)</f>
        <v>11887</v>
      </c>
      <c r="G1265" s="12">
        <f t="shared" ca="1" si="120"/>
        <v>80</v>
      </c>
      <c r="H1265" s="12">
        <f t="shared" ca="1" si="121"/>
        <v>-5</v>
      </c>
      <c r="I1265" s="13">
        <f t="shared" ca="1" si="122"/>
        <v>-5</v>
      </c>
      <c r="J1265" s="14">
        <f t="shared" ca="1" si="119"/>
        <v>79</v>
      </c>
      <c r="K1265" s="12" t="s">
        <v>40</v>
      </c>
      <c r="L1265" s="15">
        <v>99</v>
      </c>
      <c r="M1265" s="25" t="s">
        <v>40</v>
      </c>
      <c r="N1265">
        <v>270</v>
      </c>
    </row>
    <row r="1266" spans="1:14">
      <c r="A1266" s="25">
        <f t="shared" si="123"/>
        <v>1263</v>
      </c>
      <c r="B1266" s="67" t="s">
        <v>14</v>
      </c>
      <c r="C1266" s="67" t="s">
        <v>880</v>
      </c>
      <c r="D1266" s="67" t="s">
        <v>879</v>
      </c>
      <c r="E1266" s="22">
        <f t="shared" ca="1" si="124"/>
        <v>40951</v>
      </c>
      <c r="F1266" s="32"/>
      <c r="G1266" s="12">
        <f t="shared" ca="1" si="120"/>
        <v>112</v>
      </c>
      <c r="H1266" s="12">
        <f t="shared" ca="1" si="121"/>
        <v>1</v>
      </c>
      <c r="I1266" s="13">
        <f t="shared" ca="1" si="122"/>
        <v>12</v>
      </c>
      <c r="J1266" s="14">
        <f t="shared" ca="1" si="119"/>
        <v>112</v>
      </c>
      <c r="K1266" s="12" t="s">
        <v>41</v>
      </c>
      <c r="L1266" s="15">
        <v>99</v>
      </c>
      <c r="M1266" s="25" t="s">
        <v>40</v>
      </c>
      <c r="N1266">
        <v>270</v>
      </c>
    </row>
    <row r="1267" spans="1:14">
      <c r="A1267" s="25">
        <f t="shared" si="123"/>
        <v>1264</v>
      </c>
      <c r="B1267" s="67" t="s">
        <v>14</v>
      </c>
      <c r="C1267" s="67" t="s">
        <v>208</v>
      </c>
      <c r="D1267" s="67" t="s">
        <v>879</v>
      </c>
      <c r="E1267" s="22">
        <f t="shared" ca="1" si="124"/>
        <v>40951</v>
      </c>
      <c r="F1267" s="32"/>
      <c r="G1267" s="12">
        <f t="shared" ca="1" si="120"/>
        <v>112</v>
      </c>
      <c r="H1267" s="12">
        <f t="shared" ca="1" si="121"/>
        <v>1</v>
      </c>
      <c r="I1267" s="13">
        <f t="shared" ca="1" si="122"/>
        <v>12</v>
      </c>
      <c r="J1267" s="14">
        <f t="shared" ca="1" si="119"/>
        <v>112</v>
      </c>
      <c r="K1267" s="12" t="s">
        <v>40</v>
      </c>
      <c r="L1267" s="15">
        <v>99</v>
      </c>
      <c r="M1267" s="25" t="s">
        <v>40</v>
      </c>
      <c r="N1267">
        <v>270</v>
      </c>
    </row>
    <row r="1268" spans="1:14">
      <c r="A1268" s="25">
        <f t="shared" si="123"/>
        <v>1265</v>
      </c>
      <c r="B1268" s="67" t="s">
        <v>14</v>
      </c>
      <c r="C1268" s="67" t="s">
        <v>673</v>
      </c>
      <c r="D1268" s="67" t="s">
        <v>208</v>
      </c>
      <c r="E1268" s="22">
        <f t="shared" ca="1" si="124"/>
        <v>40951</v>
      </c>
      <c r="F1268" s="32"/>
      <c r="G1268" s="12">
        <f t="shared" ca="1" si="120"/>
        <v>112</v>
      </c>
      <c r="H1268" s="12">
        <f t="shared" ca="1" si="121"/>
        <v>1</v>
      </c>
      <c r="I1268" s="13">
        <f t="shared" ca="1" si="122"/>
        <v>12</v>
      </c>
      <c r="J1268" s="14">
        <f t="shared" ca="1" si="119"/>
        <v>112</v>
      </c>
      <c r="K1268" s="12" t="s">
        <v>41</v>
      </c>
      <c r="L1268" s="15">
        <v>99</v>
      </c>
      <c r="M1268" s="25" t="s">
        <v>40</v>
      </c>
      <c r="N1268">
        <v>270</v>
      </c>
    </row>
    <row r="1269" spans="1:14">
      <c r="A1269" s="25">
        <f t="shared" si="123"/>
        <v>1266</v>
      </c>
      <c r="B1269" s="67" t="s">
        <v>14</v>
      </c>
      <c r="C1269" s="67" t="s">
        <v>873</v>
      </c>
      <c r="D1269" s="67" t="s">
        <v>208</v>
      </c>
      <c r="E1269" s="22">
        <f t="shared" ca="1" si="124"/>
        <v>40951</v>
      </c>
      <c r="F1269" s="32"/>
      <c r="G1269" s="12">
        <f t="shared" ca="1" si="120"/>
        <v>112</v>
      </c>
      <c r="H1269" s="12">
        <f t="shared" ca="1" si="121"/>
        <v>1</v>
      </c>
      <c r="I1269" s="13">
        <f t="shared" ca="1" si="122"/>
        <v>12</v>
      </c>
      <c r="J1269" s="14">
        <f t="shared" ca="1" si="119"/>
        <v>112</v>
      </c>
      <c r="K1269" s="12" t="s">
        <v>40</v>
      </c>
      <c r="L1269" s="15">
        <v>99</v>
      </c>
      <c r="M1269" s="25" t="s">
        <v>44</v>
      </c>
      <c r="N1269">
        <v>270</v>
      </c>
    </row>
    <row r="1270" spans="1:14">
      <c r="A1270" s="25">
        <f t="shared" si="123"/>
        <v>1267</v>
      </c>
      <c r="B1270" s="67" t="s">
        <v>14</v>
      </c>
      <c r="C1270" s="67" t="s">
        <v>881</v>
      </c>
      <c r="D1270" s="67" t="s">
        <v>208</v>
      </c>
      <c r="E1270" s="22">
        <f t="shared" ca="1" si="124"/>
        <v>40951</v>
      </c>
      <c r="F1270" s="32"/>
      <c r="G1270" s="12">
        <f t="shared" ca="1" si="120"/>
        <v>112</v>
      </c>
      <c r="H1270" s="12">
        <f t="shared" ca="1" si="121"/>
        <v>1</v>
      </c>
      <c r="I1270" s="13">
        <f t="shared" ca="1" si="122"/>
        <v>12</v>
      </c>
      <c r="J1270" s="14">
        <f t="shared" ca="1" si="119"/>
        <v>112</v>
      </c>
      <c r="K1270" s="12" t="s">
        <v>40</v>
      </c>
      <c r="L1270" s="15">
        <v>99</v>
      </c>
      <c r="M1270" s="25" t="s">
        <v>44</v>
      </c>
      <c r="N1270">
        <v>270</v>
      </c>
    </row>
    <row r="1271" spans="1:14" ht="15.75" thickBot="1">
      <c r="A1271" s="26">
        <f t="shared" si="123"/>
        <v>1268</v>
      </c>
      <c r="B1271" s="68" t="s">
        <v>14</v>
      </c>
      <c r="C1271" s="68" t="s">
        <v>882</v>
      </c>
      <c r="D1271" s="68" t="s">
        <v>208</v>
      </c>
      <c r="E1271" s="23">
        <f t="shared" ca="1" si="124"/>
        <v>40951</v>
      </c>
      <c r="F1271" s="33"/>
      <c r="G1271" s="17">
        <f t="shared" ca="1" si="120"/>
        <v>112</v>
      </c>
      <c r="H1271" s="17">
        <f t="shared" ca="1" si="121"/>
        <v>1</v>
      </c>
      <c r="I1271" s="18">
        <f t="shared" ca="1" si="122"/>
        <v>12</v>
      </c>
      <c r="J1271" s="19">
        <f t="shared" ca="1" si="119"/>
        <v>112</v>
      </c>
      <c r="K1271" s="17" t="s">
        <v>40</v>
      </c>
      <c r="L1271" s="20">
        <v>99</v>
      </c>
      <c r="M1271" s="26" t="s">
        <v>44</v>
      </c>
      <c r="N1271">
        <v>270</v>
      </c>
    </row>
    <row r="1272" spans="1:14">
      <c r="A1272" s="25">
        <f t="shared" si="123"/>
        <v>1269</v>
      </c>
      <c r="B1272" s="67" t="s">
        <v>14</v>
      </c>
      <c r="C1272" s="67" t="s">
        <v>623</v>
      </c>
      <c r="D1272" s="67" t="s">
        <v>56</v>
      </c>
      <c r="E1272" s="22">
        <f t="shared" ca="1" si="124"/>
        <v>40951</v>
      </c>
      <c r="F1272" s="32"/>
      <c r="G1272" s="12">
        <f t="shared" ca="1" si="120"/>
        <v>112</v>
      </c>
      <c r="H1272" s="12">
        <f t="shared" ca="1" si="121"/>
        <v>1</v>
      </c>
      <c r="I1272" s="13">
        <f t="shared" ca="1" si="122"/>
        <v>12</v>
      </c>
      <c r="J1272" s="14">
        <f t="shared" ca="1" si="119"/>
        <v>112</v>
      </c>
      <c r="K1272" s="12" t="s">
        <v>40</v>
      </c>
      <c r="L1272" s="15">
        <v>99</v>
      </c>
      <c r="M1272" s="25" t="s">
        <v>40</v>
      </c>
      <c r="N1272">
        <v>271</v>
      </c>
    </row>
    <row r="1273" spans="1:14">
      <c r="A1273" s="25">
        <f t="shared" si="123"/>
        <v>1270</v>
      </c>
      <c r="B1273" s="67" t="s">
        <v>14</v>
      </c>
      <c r="C1273" s="67" t="s">
        <v>883</v>
      </c>
      <c r="D1273" s="67" t="s">
        <v>623</v>
      </c>
      <c r="E1273" s="22">
        <f t="shared" ca="1" si="124"/>
        <v>40951</v>
      </c>
      <c r="F1273" s="32"/>
      <c r="G1273" s="12">
        <f t="shared" ca="1" si="120"/>
        <v>112</v>
      </c>
      <c r="H1273" s="12">
        <f t="shared" ca="1" si="121"/>
        <v>1</v>
      </c>
      <c r="I1273" s="13">
        <f t="shared" ca="1" si="122"/>
        <v>12</v>
      </c>
      <c r="J1273" s="14">
        <f t="shared" ca="1" si="119"/>
        <v>112</v>
      </c>
      <c r="K1273" s="12" t="s">
        <v>41</v>
      </c>
      <c r="L1273" s="15">
        <v>99</v>
      </c>
      <c r="M1273" s="25" t="s">
        <v>40</v>
      </c>
      <c r="N1273">
        <v>271</v>
      </c>
    </row>
    <row r="1274" spans="1:14">
      <c r="A1274" s="25">
        <f t="shared" si="123"/>
        <v>1271</v>
      </c>
      <c r="B1274" s="67" t="s">
        <v>14</v>
      </c>
      <c r="C1274" s="67" t="s">
        <v>884</v>
      </c>
      <c r="D1274" s="67" t="s">
        <v>623</v>
      </c>
      <c r="E1274" s="22">
        <f t="shared" ca="1" si="124"/>
        <v>40951</v>
      </c>
      <c r="F1274" s="11">
        <f>DATE(84,1,26)</f>
        <v>30707</v>
      </c>
      <c r="G1274" s="12">
        <f t="shared" ca="1" si="120"/>
        <v>28</v>
      </c>
      <c r="H1274" s="12">
        <f t="shared" ca="1" si="121"/>
        <v>1</v>
      </c>
      <c r="I1274" s="13">
        <f t="shared" ca="1" si="122"/>
        <v>-14</v>
      </c>
      <c r="J1274" s="14">
        <f t="shared" ca="1" si="119"/>
        <v>28</v>
      </c>
      <c r="K1274" s="12" t="s">
        <v>41</v>
      </c>
      <c r="L1274" s="15">
        <v>99</v>
      </c>
      <c r="M1274" s="25" t="s">
        <v>44</v>
      </c>
      <c r="N1274">
        <v>271</v>
      </c>
    </row>
    <row r="1275" spans="1:14" ht="15.75" thickBot="1">
      <c r="A1275" s="26">
        <f t="shared" si="123"/>
        <v>1272</v>
      </c>
      <c r="B1275" s="68" t="s">
        <v>14</v>
      </c>
      <c r="C1275" s="68" t="s">
        <v>403</v>
      </c>
      <c r="D1275" s="68" t="s">
        <v>623</v>
      </c>
      <c r="E1275" s="23">
        <f t="shared" ca="1" si="124"/>
        <v>40951</v>
      </c>
      <c r="F1275" s="16">
        <f>DATE(89,4,22)</f>
        <v>32620</v>
      </c>
      <c r="G1275" s="17">
        <f t="shared" ca="1" si="120"/>
        <v>23</v>
      </c>
      <c r="H1275" s="17">
        <f t="shared" ca="1" si="121"/>
        <v>-2</v>
      </c>
      <c r="I1275" s="18">
        <f t="shared" ca="1" si="122"/>
        <v>-10</v>
      </c>
      <c r="J1275" s="19">
        <f t="shared" ca="1" si="119"/>
        <v>22</v>
      </c>
      <c r="K1275" s="17" t="s">
        <v>41</v>
      </c>
      <c r="L1275" s="20">
        <v>99</v>
      </c>
      <c r="M1275" s="26" t="s">
        <v>44</v>
      </c>
      <c r="N1275">
        <v>271</v>
      </c>
    </row>
    <row r="1276" spans="1:14">
      <c r="A1276" s="25">
        <f t="shared" si="123"/>
        <v>1273</v>
      </c>
      <c r="B1276" s="67" t="s">
        <v>14</v>
      </c>
      <c r="C1276" s="67" t="s">
        <v>90</v>
      </c>
      <c r="D1276" s="67" t="s">
        <v>429</v>
      </c>
      <c r="E1276" s="22">
        <f t="shared" ca="1" si="124"/>
        <v>40951</v>
      </c>
      <c r="F1276" s="11">
        <f>DATE(54,3,15)</f>
        <v>19798</v>
      </c>
      <c r="G1276" s="12">
        <f t="shared" ca="1" si="120"/>
        <v>58</v>
      </c>
      <c r="H1276" s="12">
        <f t="shared" ca="1" si="121"/>
        <v>-1</v>
      </c>
      <c r="I1276" s="13">
        <f t="shared" ca="1" si="122"/>
        <v>-3</v>
      </c>
      <c r="J1276" s="14">
        <f t="shared" ca="1" si="119"/>
        <v>57</v>
      </c>
      <c r="K1276" s="12" t="s">
        <v>40</v>
      </c>
      <c r="L1276" s="15">
        <v>100</v>
      </c>
      <c r="M1276" s="25" t="s">
        <v>40</v>
      </c>
      <c r="N1276">
        <v>272</v>
      </c>
    </row>
    <row r="1277" spans="1:14">
      <c r="A1277" s="25">
        <f t="shared" si="123"/>
        <v>1274</v>
      </c>
      <c r="B1277" s="67" t="s">
        <v>14</v>
      </c>
      <c r="C1277" s="67" t="s">
        <v>877</v>
      </c>
      <c r="D1277" s="67" t="s">
        <v>885</v>
      </c>
      <c r="E1277" s="22">
        <f t="shared" ca="1" si="124"/>
        <v>40951</v>
      </c>
      <c r="F1277" s="32"/>
      <c r="G1277" s="12">
        <f t="shared" ca="1" si="120"/>
        <v>112</v>
      </c>
      <c r="H1277" s="12">
        <f t="shared" ca="1" si="121"/>
        <v>1</v>
      </c>
      <c r="I1277" s="13">
        <f t="shared" ca="1" si="122"/>
        <v>12</v>
      </c>
      <c r="J1277" s="14">
        <f t="shared" ca="1" si="119"/>
        <v>112</v>
      </c>
      <c r="K1277" s="12" t="s">
        <v>41</v>
      </c>
      <c r="L1277" s="15">
        <v>100</v>
      </c>
      <c r="M1277" s="25" t="s">
        <v>40</v>
      </c>
      <c r="N1277">
        <v>272</v>
      </c>
    </row>
    <row r="1278" spans="1:14">
      <c r="A1278" s="25">
        <f t="shared" si="123"/>
        <v>1275</v>
      </c>
      <c r="B1278" s="67" t="s">
        <v>14</v>
      </c>
      <c r="C1278" s="67" t="s">
        <v>886</v>
      </c>
      <c r="D1278" s="67" t="s">
        <v>90</v>
      </c>
      <c r="E1278" s="22">
        <f t="shared" ca="1" si="124"/>
        <v>40951</v>
      </c>
      <c r="F1278" s="11">
        <f>DATE(62,7,9)</f>
        <v>22836</v>
      </c>
      <c r="G1278" s="12">
        <f t="shared" ca="1" si="120"/>
        <v>50</v>
      </c>
      <c r="H1278" s="12">
        <f t="shared" ca="1" si="121"/>
        <v>-5</v>
      </c>
      <c r="I1278" s="13">
        <f t="shared" ca="1" si="122"/>
        <v>3</v>
      </c>
      <c r="J1278" s="14">
        <f t="shared" ca="1" si="119"/>
        <v>49</v>
      </c>
      <c r="K1278" s="12" t="s">
        <v>41</v>
      </c>
      <c r="L1278" s="15">
        <v>100</v>
      </c>
      <c r="M1278" s="25" t="s">
        <v>40</v>
      </c>
      <c r="N1278">
        <v>272</v>
      </c>
    </row>
    <row r="1279" spans="1:14">
      <c r="A1279" s="25">
        <f t="shared" si="123"/>
        <v>1276</v>
      </c>
      <c r="B1279" s="67" t="s">
        <v>14</v>
      </c>
      <c r="C1279" s="67" t="s">
        <v>433</v>
      </c>
      <c r="D1279" s="67" t="s">
        <v>90</v>
      </c>
      <c r="E1279" s="22">
        <f t="shared" ca="1" si="124"/>
        <v>40951</v>
      </c>
      <c r="F1279" s="11">
        <f>DATE(86,12,31)</f>
        <v>31777</v>
      </c>
      <c r="G1279" s="12">
        <f t="shared" ca="1" si="120"/>
        <v>26</v>
      </c>
      <c r="H1279" s="12">
        <f t="shared" ca="1" si="121"/>
        <v>-10</v>
      </c>
      <c r="I1279" s="13">
        <f t="shared" ca="1" si="122"/>
        <v>-19</v>
      </c>
      <c r="J1279" s="14">
        <f t="shared" ca="1" si="119"/>
        <v>25</v>
      </c>
      <c r="K1279" s="12" t="s">
        <v>41</v>
      </c>
      <c r="L1279" s="15">
        <v>100</v>
      </c>
      <c r="M1279" s="25" t="s">
        <v>44</v>
      </c>
      <c r="N1279">
        <v>272</v>
      </c>
    </row>
    <row r="1280" spans="1:14" ht="15.75" thickBot="1">
      <c r="A1280" s="26">
        <f t="shared" si="123"/>
        <v>1277</v>
      </c>
      <c r="B1280" s="68" t="s">
        <v>14</v>
      </c>
      <c r="C1280" s="68" t="s">
        <v>887</v>
      </c>
      <c r="D1280" s="68" t="s">
        <v>90</v>
      </c>
      <c r="E1280" s="23">
        <f t="shared" ca="1" si="124"/>
        <v>40951</v>
      </c>
      <c r="F1280" s="16">
        <f>DATE(90,12,30)</f>
        <v>33237</v>
      </c>
      <c r="G1280" s="17">
        <f t="shared" ca="1" si="120"/>
        <v>22</v>
      </c>
      <c r="H1280" s="17">
        <f t="shared" ca="1" si="121"/>
        <v>-10</v>
      </c>
      <c r="I1280" s="18">
        <f t="shared" ca="1" si="122"/>
        <v>-18</v>
      </c>
      <c r="J1280" s="19">
        <f t="shared" ca="1" si="119"/>
        <v>21</v>
      </c>
      <c r="K1280" s="17" t="s">
        <v>40</v>
      </c>
      <c r="L1280" s="20">
        <v>100</v>
      </c>
      <c r="M1280" s="26" t="s">
        <v>44</v>
      </c>
      <c r="N1280">
        <v>272</v>
      </c>
    </row>
    <row r="1281" spans="1:14">
      <c r="A1281" s="25">
        <f t="shared" si="123"/>
        <v>1278</v>
      </c>
      <c r="B1281" s="67" t="s">
        <v>14</v>
      </c>
      <c r="C1281" s="67" t="s">
        <v>237</v>
      </c>
      <c r="D1281" s="67" t="s">
        <v>519</v>
      </c>
      <c r="E1281" s="22">
        <f t="shared" ca="1" si="124"/>
        <v>40951</v>
      </c>
      <c r="F1281" s="32"/>
      <c r="G1281" s="12">
        <f t="shared" ca="1" si="120"/>
        <v>112</v>
      </c>
      <c r="H1281" s="12">
        <f t="shared" ca="1" si="121"/>
        <v>1</v>
      </c>
      <c r="I1281" s="13">
        <f t="shared" ca="1" si="122"/>
        <v>12</v>
      </c>
      <c r="J1281" s="14">
        <f t="shared" ca="1" si="119"/>
        <v>112</v>
      </c>
      <c r="K1281" s="12" t="s">
        <v>40</v>
      </c>
      <c r="L1281" s="15">
        <v>100</v>
      </c>
      <c r="M1281" s="25" t="s">
        <v>40</v>
      </c>
      <c r="N1281">
        <v>273</v>
      </c>
    </row>
    <row r="1282" spans="1:14">
      <c r="A1282" s="25">
        <f t="shared" si="123"/>
        <v>1279</v>
      </c>
      <c r="B1282" s="67" t="s">
        <v>14</v>
      </c>
      <c r="C1282" s="67" t="s">
        <v>884</v>
      </c>
      <c r="D1282" s="67" t="s">
        <v>237</v>
      </c>
      <c r="E1282" s="22">
        <f t="shared" ca="1" si="124"/>
        <v>40951</v>
      </c>
      <c r="F1282" s="32"/>
      <c r="G1282" s="12">
        <f t="shared" ca="1" si="120"/>
        <v>112</v>
      </c>
      <c r="H1282" s="12">
        <f t="shared" ca="1" si="121"/>
        <v>1</v>
      </c>
      <c r="I1282" s="13">
        <f t="shared" ca="1" si="122"/>
        <v>12</v>
      </c>
      <c r="J1282" s="14">
        <f t="shared" ca="1" si="119"/>
        <v>112</v>
      </c>
      <c r="K1282" s="12" t="s">
        <v>41</v>
      </c>
      <c r="L1282" s="15">
        <v>100</v>
      </c>
      <c r="M1282" s="25" t="s">
        <v>40</v>
      </c>
      <c r="N1282">
        <v>273</v>
      </c>
    </row>
    <row r="1283" spans="1:14">
      <c r="A1283" s="25">
        <f t="shared" si="123"/>
        <v>1280</v>
      </c>
      <c r="B1283" s="67" t="s">
        <v>14</v>
      </c>
      <c r="C1283" s="67" t="s">
        <v>888</v>
      </c>
      <c r="D1283" s="67" t="s">
        <v>237</v>
      </c>
      <c r="E1283" s="22">
        <f t="shared" ca="1" si="124"/>
        <v>40951</v>
      </c>
      <c r="F1283" s="32"/>
      <c r="G1283" s="12">
        <f t="shared" ca="1" si="120"/>
        <v>112</v>
      </c>
      <c r="H1283" s="12">
        <f t="shared" ca="1" si="121"/>
        <v>1</v>
      </c>
      <c r="I1283" s="13">
        <f t="shared" ca="1" si="122"/>
        <v>12</v>
      </c>
      <c r="J1283" s="14">
        <f t="shared" ca="1" si="119"/>
        <v>112</v>
      </c>
      <c r="K1283" s="12" t="s">
        <v>40</v>
      </c>
      <c r="L1283" s="15">
        <v>100</v>
      </c>
      <c r="M1283" s="25" t="s">
        <v>44</v>
      </c>
      <c r="N1283">
        <v>273</v>
      </c>
    </row>
    <row r="1284" spans="1:14" ht="15.75" thickBot="1">
      <c r="A1284" s="26">
        <f t="shared" si="123"/>
        <v>1281</v>
      </c>
      <c r="B1284" s="68" t="s">
        <v>14</v>
      </c>
      <c r="C1284" s="68" t="s">
        <v>339</v>
      </c>
      <c r="D1284" s="68" t="s">
        <v>237</v>
      </c>
      <c r="E1284" s="23">
        <f t="shared" ca="1" si="124"/>
        <v>40951</v>
      </c>
      <c r="F1284" s="33"/>
      <c r="G1284" s="17">
        <f t="shared" ca="1" si="120"/>
        <v>112</v>
      </c>
      <c r="H1284" s="17">
        <f t="shared" ca="1" si="121"/>
        <v>1</v>
      </c>
      <c r="I1284" s="18">
        <f t="shared" ca="1" si="122"/>
        <v>12</v>
      </c>
      <c r="J1284" s="19">
        <f t="shared" ref="J1284:J1347" ca="1" si="125">IF(H1284&lt;0,G1284-1,IF(H1284&gt;0,G1284,IF(I1284&lt;0,G1284-1,G1284)))</f>
        <v>112</v>
      </c>
      <c r="K1284" s="17" t="s">
        <v>40</v>
      </c>
      <c r="L1284" s="20">
        <v>100</v>
      </c>
      <c r="M1284" s="26" t="s">
        <v>44</v>
      </c>
      <c r="N1284">
        <v>273</v>
      </c>
    </row>
    <row r="1285" spans="1:14">
      <c r="A1285" s="25">
        <f t="shared" si="123"/>
        <v>1282</v>
      </c>
      <c r="B1285" s="67" t="s">
        <v>14</v>
      </c>
      <c r="C1285" s="67" t="s">
        <v>648</v>
      </c>
      <c r="D1285" s="67" t="s">
        <v>429</v>
      </c>
      <c r="E1285" s="22">
        <f t="shared" ca="1" si="124"/>
        <v>40951</v>
      </c>
      <c r="F1285" s="32"/>
      <c r="G1285" s="12">
        <f t="shared" ca="1" si="120"/>
        <v>112</v>
      </c>
      <c r="H1285" s="12">
        <f t="shared" ca="1" si="121"/>
        <v>1</v>
      </c>
      <c r="I1285" s="13">
        <f t="shared" ca="1" si="122"/>
        <v>12</v>
      </c>
      <c r="J1285" s="14">
        <f t="shared" ca="1" si="125"/>
        <v>112</v>
      </c>
      <c r="K1285" s="12" t="s">
        <v>40</v>
      </c>
      <c r="L1285" s="15">
        <v>100</v>
      </c>
      <c r="M1285" s="25" t="s">
        <v>40</v>
      </c>
      <c r="N1285">
        <v>274</v>
      </c>
    </row>
    <row r="1286" spans="1:14" ht="15.75" thickBot="1">
      <c r="A1286" s="26">
        <f t="shared" si="123"/>
        <v>1283</v>
      </c>
      <c r="B1286" s="68" t="s">
        <v>14</v>
      </c>
      <c r="C1286" s="68" t="s">
        <v>626</v>
      </c>
      <c r="D1286" s="68" t="s">
        <v>429</v>
      </c>
      <c r="E1286" s="23">
        <f t="shared" ca="1" si="124"/>
        <v>40951</v>
      </c>
      <c r="F1286" s="33"/>
      <c r="G1286" s="17">
        <f t="shared" ca="1" si="120"/>
        <v>112</v>
      </c>
      <c r="H1286" s="17">
        <f t="shared" ca="1" si="121"/>
        <v>1</v>
      </c>
      <c r="I1286" s="18">
        <f t="shared" ca="1" si="122"/>
        <v>12</v>
      </c>
      <c r="J1286" s="19">
        <f t="shared" ca="1" si="125"/>
        <v>112</v>
      </c>
      <c r="K1286" s="17" t="s">
        <v>41</v>
      </c>
      <c r="L1286" s="20">
        <v>100</v>
      </c>
      <c r="M1286" s="26" t="s">
        <v>40</v>
      </c>
      <c r="N1286">
        <v>274</v>
      </c>
    </row>
    <row r="1287" spans="1:14">
      <c r="A1287" s="25">
        <f t="shared" si="123"/>
        <v>1284</v>
      </c>
      <c r="B1287" s="67" t="s">
        <v>16</v>
      </c>
      <c r="C1287" s="67" t="s">
        <v>889</v>
      </c>
      <c r="D1287" s="67" t="s">
        <v>890</v>
      </c>
      <c r="E1287" s="22">
        <f t="shared" ca="1" si="124"/>
        <v>40951</v>
      </c>
      <c r="F1287" s="11">
        <f>DATE(26,4,16)</f>
        <v>9603</v>
      </c>
      <c r="G1287" s="12">
        <f t="shared" ca="1" si="120"/>
        <v>86</v>
      </c>
      <c r="H1287" s="12">
        <f t="shared" ca="1" si="121"/>
        <v>-2</v>
      </c>
      <c r="I1287" s="13">
        <f t="shared" ca="1" si="122"/>
        <v>-4</v>
      </c>
      <c r="J1287" s="14">
        <f t="shared" ca="1" si="125"/>
        <v>85</v>
      </c>
      <c r="K1287" s="12" t="s">
        <v>40</v>
      </c>
      <c r="L1287" s="15">
        <v>101</v>
      </c>
      <c r="M1287" s="25" t="s">
        <v>40</v>
      </c>
      <c r="N1287">
        <v>275</v>
      </c>
    </row>
    <row r="1288" spans="1:14">
      <c r="A1288" s="25">
        <f t="shared" si="123"/>
        <v>1285</v>
      </c>
      <c r="B1288" s="67" t="s">
        <v>16</v>
      </c>
      <c r="C1288" s="67" t="s">
        <v>891</v>
      </c>
      <c r="D1288" s="67" t="s">
        <v>889</v>
      </c>
      <c r="E1288" s="22">
        <f t="shared" ca="1" si="124"/>
        <v>40951</v>
      </c>
      <c r="F1288" s="11">
        <f>DATE(34,12,27)</f>
        <v>12780</v>
      </c>
      <c r="G1288" s="12">
        <f t="shared" ca="1" si="120"/>
        <v>78</v>
      </c>
      <c r="H1288" s="12">
        <f t="shared" ca="1" si="121"/>
        <v>-10</v>
      </c>
      <c r="I1288" s="13">
        <f t="shared" ca="1" si="122"/>
        <v>-15</v>
      </c>
      <c r="J1288" s="14">
        <f t="shared" ca="1" si="125"/>
        <v>77</v>
      </c>
      <c r="K1288" s="12" t="s">
        <v>41</v>
      </c>
      <c r="L1288" s="15">
        <v>101</v>
      </c>
      <c r="M1288" s="25" t="s">
        <v>40</v>
      </c>
      <c r="N1288">
        <v>275</v>
      </c>
    </row>
    <row r="1289" spans="1:14">
      <c r="A1289" s="25">
        <f t="shared" si="123"/>
        <v>1286</v>
      </c>
      <c r="B1289" s="67" t="s">
        <v>16</v>
      </c>
      <c r="C1289" s="67" t="s">
        <v>892</v>
      </c>
      <c r="D1289" s="67" t="s">
        <v>889</v>
      </c>
      <c r="E1289" s="22">
        <f t="shared" ca="1" si="124"/>
        <v>40951</v>
      </c>
      <c r="F1289" s="11">
        <f>DATE(55,2,25)</f>
        <v>20145</v>
      </c>
      <c r="G1289" s="12">
        <f t="shared" ca="1" si="120"/>
        <v>57</v>
      </c>
      <c r="H1289" s="12">
        <f t="shared" ca="1" si="121"/>
        <v>0</v>
      </c>
      <c r="I1289" s="13">
        <f t="shared" ca="1" si="122"/>
        <v>-13</v>
      </c>
      <c r="J1289" s="14">
        <f t="shared" ca="1" si="125"/>
        <v>56</v>
      </c>
      <c r="K1289" s="12" t="s">
        <v>40</v>
      </c>
      <c r="L1289" s="15">
        <v>101</v>
      </c>
      <c r="M1289" s="25" t="s">
        <v>40</v>
      </c>
      <c r="N1289">
        <v>275</v>
      </c>
    </row>
    <row r="1290" spans="1:14">
      <c r="A1290" s="25">
        <f t="shared" si="123"/>
        <v>1287</v>
      </c>
      <c r="B1290" s="67" t="s">
        <v>16</v>
      </c>
      <c r="C1290" s="67" t="s">
        <v>464</v>
      </c>
      <c r="D1290" s="67" t="s">
        <v>892</v>
      </c>
      <c r="E1290" s="22">
        <f t="shared" ca="1" si="124"/>
        <v>40951</v>
      </c>
      <c r="F1290" s="11">
        <f>DATE(60,12,7)</f>
        <v>22257</v>
      </c>
      <c r="G1290" s="12">
        <f t="shared" ca="1" si="120"/>
        <v>52</v>
      </c>
      <c r="H1290" s="12">
        <f t="shared" ca="1" si="121"/>
        <v>-10</v>
      </c>
      <c r="I1290" s="13">
        <f t="shared" ca="1" si="122"/>
        <v>5</v>
      </c>
      <c r="J1290" s="14">
        <f t="shared" ca="1" si="125"/>
        <v>51</v>
      </c>
      <c r="K1290" s="12" t="s">
        <v>41</v>
      </c>
      <c r="L1290" s="15">
        <v>101</v>
      </c>
      <c r="M1290" s="25" t="s">
        <v>40</v>
      </c>
      <c r="N1290">
        <v>275</v>
      </c>
    </row>
    <row r="1291" spans="1:14">
      <c r="A1291" s="25">
        <f t="shared" si="123"/>
        <v>1288</v>
      </c>
      <c r="B1291" s="67" t="s">
        <v>16</v>
      </c>
      <c r="C1291" s="67" t="s">
        <v>183</v>
      </c>
      <c r="D1291" s="67" t="s">
        <v>892</v>
      </c>
      <c r="E1291" s="22">
        <f t="shared" ca="1" si="124"/>
        <v>40951</v>
      </c>
      <c r="F1291" s="11">
        <f>DATE(83,4,22)</f>
        <v>30428</v>
      </c>
      <c r="G1291" s="12">
        <f t="shared" ca="1" si="120"/>
        <v>29</v>
      </c>
      <c r="H1291" s="12">
        <f t="shared" ca="1" si="121"/>
        <v>-2</v>
      </c>
      <c r="I1291" s="13">
        <f t="shared" ca="1" si="122"/>
        <v>-10</v>
      </c>
      <c r="J1291" s="14">
        <f t="shared" ca="1" si="125"/>
        <v>28</v>
      </c>
      <c r="K1291" s="12" t="s">
        <v>40</v>
      </c>
      <c r="L1291" s="15">
        <v>101</v>
      </c>
      <c r="M1291" s="25" t="s">
        <v>44</v>
      </c>
      <c r="N1291">
        <v>275</v>
      </c>
    </row>
    <row r="1292" spans="1:14" ht="15.75" thickBot="1">
      <c r="A1292" s="26">
        <f t="shared" si="123"/>
        <v>1289</v>
      </c>
      <c r="B1292" s="68" t="s">
        <v>16</v>
      </c>
      <c r="C1292" s="68" t="s">
        <v>774</v>
      </c>
      <c r="D1292" s="68" t="s">
        <v>892</v>
      </c>
      <c r="E1292" s="23">
        <f t="shared" ca="1" si="124"/>
        <v>40951</v>
      </c>
      <c r="F1292" s="16">
        <f>DATE(89,5,19)</f>
        <v>32647</v>
      </c>
      <c r="G1292" s="17">
        <f t="shared" ca="1" si="120"/>
        <v>23</v>
      </c>
      <c r="H1292" s="17">
        <f t="shared" ca="1" si="121"/>
        <v>-3</v>
      </c>
      <c r="I1292" s="18">
        <f t="shared" ca="1" si="122"/>
        <v>-7</v>
      </c>
      <c r="J1292" s="19">
        <f t="shared" ca="1" si="125"/>
        <v>22</v>
      </c>
      <c r="K1292" s="17" t="s">
        <v>41</v>
      </c>
      <c r="L1292" s="20">
        <v>101</v>
      </c>
      <c r="M1292" s="26" t="s">
        <v>44</v>
      </c>
      <c r="N1292">
        <v>275</v>
      </c>
    </row>
    <row r="1293" spans="1:14">
      <c r="A1293" s="25">
        <f t="shared" si="123"/>
        <v>1290</v>
      </c>
      <c r="B1293" s="67" t="s">
        <v>17</v>
      </c>
      <c r="C1293" s="67" t="s">
        <v>893</v>
      </c>
      <c r="D1293" s="67" t="s">
        <v>665</v>
      </c>
      <c r="E1293" s="22">
        <f t="shared" ca="1" si="124"/>
        <v>40951</v>
      </c>
      <c r="F1293" s="11">
        <f>DATE(68,3,15)</f>
        <v>24912</v>
      </c>
      <c r="G1293" s="12">
        <f t="shared" ca="1" si="120"/>
        <v>44</v>
      </c>
      <c r="H1293" s="12">
        <f t="shared" ca="1" si="121"/>
        <v>-1</v>
      </c>
      <c r="I1293" s="13">
        <f t="shared" ca="1" si="122"/>
        <v>-3</v>
      </c>
      <c r="J1293" s="14">
        <f t="shared" ca="1" si="125"/>
        <v>43</v>
      </c>
      <c r="K1293" s="12" t="s">
        <v>40</v>
      </c>
      <c r="L1293" s="15">
        <v>102</v>
      </c>
      <c r="M1293" s="25" t="s">
        <v>40</v>
      </c>
      <c r="N1293">
        <v>276</v>
      </c>
    </row>
    <row r="1294" spans="1:14">
      <c r="A1294" s="25">
        <f t="shared" si="123"/>
        <v>1291</v>
      </c>
      <c r="B1294" s="67" t="s">
        <v>17</v>
      </c>
      <c r="C1294" s="67" t="s">
        <v>318</v>
      </c>
      <c r="D1294" s="67" t="s">
        <v>665</v>
      </c>
      <c r="E1294" s="22">
        <f t="shared" ca="1" si="124"/>
        <v>40951</v>
      </c>
      <c r="F1294" s="11">
        <f>DATE(37,7,25)</f>
        <v>13721</v>
      </c>
      <c r="G1294" s="12">
        <f t="shared" ca="1" si="120"/>
        <v>75</v>
      </c>
      <c r="H1294" s="12">
        <f t="shared" ca="1" si="121"/>
        <v>-5</v>
      </c>
      <c r="I1294" s="13">
        <f t="shared" ca="1" si="122"/>
        <v>-13</v>
      </c>
      <c r="J1294" s="14">
        <f t="shared" ca="1" si="125"/>
        <v>74</v>
      </c>
      <c r="K1294" s="12" t="s">
        <v>41</v>
      </c>
      <c r="L1294" s="15">
        <v>102</v>
      </c>
      <c r="M1294" s="25" t="s">
        <v>40</v>
      </c>
      <c r="N1294">
        <v>276</v>
      </c>
    </row>
    <row r="1295" spans="1:14">
      <c r="A1295" s="25">
        <f t="shared" si="123"/>
        <v>1292</v>
      </c>
      <c r="B1295" s="67" t="s">
        <v>17</v>
      </c>
      <c r="C1295" s="67" t="s">
        <v>626</v>
      </c>
      <c r="D1295" s="67" t="s">
        <v>894</v>
      </c>
      <c r="E1295" s="22">
        <f t="shared" ca="1" si="124"/>
        <v>40951</v>
      </c>
      <c r="F1295" s="11">
        <f>DATE(72,4,8)</f>
        <v>26397</v>
      </c>
      <c r="G1295" s="12">
        <f t="shared" ca="1" si="120"/>
        <v>40</v>
      </c>
      <c r="H1295" s="12">
        <f t="shared" ca="1" si="121"/>
        <v>-2</v>
      </c>
      <c r="I1295" s="13">
        <f t="shared" ca="1" si="122"/>
        <v>4</v>
      </c>
      <c r="J1295" s="14">
        <f t="shared" ca="1" si="125"/>
        <v>39</v>
      </c>
      <c r="K1295" s="12" t="s">
        <v>41</v>
      </c>
      <c r="L1295" s="15">
        <v>102</v>
      </c>
      <c r="M1295" s="25" t="s">
        <v>40</v>
      </c>
      <c r="N1295">
        <v>276</v>
      </c>
    </row>
    <row r="1296" spans="1:14">
      <c r="A1296" s="25">
        <f t="shared" si="123"/>
        <v>1293</v>
      </c>
      <c r="B1296" s="67" t="s">
        <v>17</v>
      </c>
      <c r="C1296" s="67" t="s">
        <v>895</v>
      </c>
      <c r="D1296" s="67" t="s">
        <v>894</v>
      </c>
      <c r="E1296" s="22">
        <f t="shared" ca="1" si="124"/>
        <v>40951</v>
      </c>
      <c r="F1296" s="11">
        <f>DATE(98,5,1)</f>
        <v>35916</v>
      </c>
      <c r="G1296" s="12">
        <f t="shared" ca="1" si="120"/>
        <v>14</v>
      </c>
      <c r="H1296" s="12">
        <f t="shared" ca="1" si="121"/>
        <v>-3</v>
      </c>
      <c r="I1296" s="13">
        <f t="shared" ca="1" si="122"/>
        <v>11</v>
      </c>
      <c r="J1296" s="14">
        <f t="shared" ca="1" si="125"/>
        <v>13</v>
      </c>
      <c r="K1296" s="12" t="s">
        <v>40</v>
      </c>
      <c r="L1296" s="15">
        <v>102</v>
      </c>
      <c r="M1296" s="25" t="s">
        <v>44</v>
      </c>
      <c r="N1296">
        <v>276</v>
      </c>
    </row>
    <row r="1297" spans="1:14">
      <c r="A1297" s="25">
        <f t="shared" si="123"/>
        <v>1294</v>
      </c>
      <c r="B1297" s="67" t="s">
        <v>17</v>
      </c>
      <c r="C1297" s="67" t="s">
        <v>896</v>
      </c>
      <c r="D1297" s="67" t="s">
        <v>894</v>
      </c>
      <c r="E1297" s="22">
        <f t="shared" ca="1" si="124"/>
        <v>40951</v>
      </c>
      <c r="F1297" s="11">
        <f>DATE(2002,3,25)</f>
        <v>37340</v>
      </c>
      <c r="G1297" s="12">
        <f t="shared" ca="1" si="120"/>
        <v>10</v>
      </c>
      <c r="H1297" s="12">
        <f t="shared" ca="1" si="121"/>
        <v>-1</v>
      </c>
      <c r="I1297" s="13">
        <f t="shared" ca="1" si="122"/>
        <v>-13</v>
      </c>
      <c r="J1297" s="14">
        <f t="shared" ca="1" si="125"/>
        <v>9</v>
      </c>
      <c r="K1297" s="12" t="s">
        <v>41</v>
      </c>
      <c r="L1297" s="15">
        <v>102</v>
      </c>
      <c r="M1297" s="25" t="s">
        <v>44</v>
      </c>
      <c r="N1297">
        <v>276</v>
      </c>
    </row>
    <row r="1298" spans="1:14">
      <c r="A1298" s="25">
        <f t="shared" si="123"/>
        <v>1295</v>
      </c>
      <c r="B1298" s="67" t="s">
        <v>17</v>
      </c>
      <c r="C1298" s="67" t="s">
        <v>897</v>
      </c>
      <c r="D1298" s="67" t="s">
        <v>665</v>
      </c>
      <c r="E1298" s="22">
        <f t="shared" ca="1" si="124"/>
        <v>40951</v>
      </c>
      <c r="F1298" s="11">
        <f>DATE(69,1,2)</f>
        <v>25205</v>
      </c>
      <c r="G1298" s="12">
        <f t="shared" ca="1" si="120"/>
        <v>43</v>
      </c>
      <c r="H1298" s="12">
        <f t="shared" ca="1" si="121"/>
        <v>1</v>
      </c>
      <c r="I1298" s="13">
        <f t="shared" ca="1" si="122"/>
        <v>10</v>
      </c>
      <c r="J1298" s="14">
        <f t="shared" ca="1" si="125"/>
        <v>43</v>
      </c>
      <c r="K1298" s="12" t="s">
        <v>40</v>
      </c>
      <c r="L1298" s="15">
        <v>102</v>
      </c>
      <c r="M1298" s="25" t="s">
        <v>40</v>
      </c>
      <c r="N1298">
        <v>276</v>
      </c>
    </row>
    <row r="1299" spans="1:14">
      <c r="A1299" s="25">
        <f t="shared" si="123"/>
        <v>1296</v>
      </c>
      <c r="B1299" s="67" t="s">
        <v>17</v>
      </c>
      <c r="C1299" s="67" t="s">
        <v>397</v>
      </c>
      <c r="D1299" s="67" t="s">
        <v>485</v>
      </c>
      <c r="E1299" s="22">
        <f t="shared" ca="1" si="124"/>
        <v>40951</v>
      </c>
      <c r="F1299" s="11">
        <f>DATE(76,9,10)</f>
        <v>28013</v>
      </c>
      <c r="G1299" s="12">
        <f t="shared" ca="1" si="120"/>
        <v>36</v>
      </c>
      <c r="H1299" s="12">
        <f t="shared" ca="1" si="121"/>
        <v>-7</v>
      </c>
      <c r="I1299" s="13">
        <f t="shared" ca="1" si="122"/>
        <v>2</v>
      </c>
      <c r="J1299" s="14">
        <f t="shared" ca="1" si="125"/>
        <v>35</v>
      </c>
      <c r="K1299" s="12" t="s">
        <v>41</v>
      </c>
      <c r="L1299" s="15">
        <v>102</v>
      </c>
      <c r="M1299" s="25" t="s">
        <v>40</v>
      </c>
      <c r="N1299">
        <v>276</v>
      </c>
    </row>
    <row r="1300" spans="1:14" ht="15.75" thickBot="1">
      <c r="A1300" s="26">
        <f t="shared" si="123"/>
        <v>1297</v>
      </c>
      <c r="B1300" s="67" t="s">
        <v>17</v>
      </c>
      <c r="C1300" s="68" t="s">
        <v>847</v>
      </c>
      <c r="D1300" s="68" t="s">
        <v>485</v>
      </c>
      <c r="E1300" s="23">
        <f t="shared" ca="1" si="124"/>
        <v>40951</v>
      </c>
      <c r="F1300" s="16">
        <f>DATE(2004,9,7)</f>
        <v>38237</v>
      </c>
      <c r="G1300" s="17">
        <f t="shared" ca="1" si="120"/>
        <v>8</v>
      </c>
      <c r="H1300" s="17">
        <f t="shared" ca="1" si="121"/>
        <v>-7</v>
      </c>
      <c r="I1300" s="18">
        <f t="shared" ca="1" si="122"/>
        <v>5</v>
      </c>
      <c r="J1300" s="19">
        <f t="shared" ca="1" si="125"/>
        <v>7</v>
      </c>
      <c r="K1300" s="17" t="s">
        <v>41</v>
      </c>
      <c r="L1300" s="20">
        <v>102</v>
      </c>
      <c r="M1300" s="26" t="s">
        <v>44</v>
      </c>
      <c r="N1300">
        <v>276</v>
      </c>
    </row>
    <row r="1301" spans="1:14">
      <c r="A1301" s="25">
        <f t="shared" si="123"/>
        <v>1298</v>
      </c>
      <c r="B1301" s="67" t="s">
        <v>17</v>
      </c>
      <c r="C1301" s="67" t="s">
        <v>331</v>
      </c>
      <c r="D1301" s="67" t="s">
        <v>624</v>
      </c>
      <c r="E1301" s="22">
        <f t="shared" ca="1" si="124"/>
        <v>40951</v>
      </c>
      <c r="F1301" s="11">
        <f>DATE(18,5,9)</f>
        <v>6704</v>
      </c>
      <c r="G1301" s="12">
        <f t="shared" ca="1" si="120"/>
        <v>94</v>
      </c>
      <c r="H1301" s="12">
        <f t="shared" ca="1" si="121"/>
        <v>-3</v>
      </c>
      <c r="I1301" s="13">
        <f t="shared" ca="1" si="122"/>
        <v>3</v>
      </c>
      <c r="J1301" s="14">
        <f t="shared" ca="1" si="125"/>
        <v>93</v>
      </c>
      <c r="K1301" s="12" t="s">
        <v>40</v>
      </c>
      <c r="L1301" s="15">
        <v>102</v>
      </c>
      <c r="M1301" s="25" t="s">
        <v>40</v>
      </c>
      <c r="N1301">
        <v>277</v>
      </c>
    </row>
    <row r="1302" spans="1:14">
      <c r="A1302" s="25">
        <f t="shared" si="123"/>
        <v>1299</v>
      </c>
      <c r="B1302" s="67" t="s">
        <v>17</v>
      </c>
      <c r="C1302" s="67" t="s">
        <v>796</v>
      </c>
      <c r="D1302" s="67" t="s">
        <v>435</v>
      </c>
      <c r="E1302" s="22">
        <f t="shared" ca="1" si="124"/>
        <v>40951</v>
      </c>
      <c r="F1302" s="11">
        <f>DATE(31,8,18)</f>
        <v>11553</v>
      </c>
      <c r="G1302" s="12">
        <f t="shared" ca="1" si="120"/>
        <v>81</v>
      </c>
      <c r="H1302" s="12">
        <f t="shared" ca="1" si="121"/>
        <v>-6</v>
      </c>
      <c r="I1302" s="13">
        <f t="shared" ca="1" si="122"/>
        <v>-6</v>
      </c>
      <c r="J1302" s="14">
        <f t="shared" ca="1" si="125"/>
        <v>80</v>
      </c>
      <c r="K1302" s="12" t="s">
        <v>41</v>
      </c>
      <c r="L1302" s="15">
        <v>102</v>
      </c>
      <c r="M1302" s="25" t="s">
        <v>40</v>
      </c>
      <c r="N1302">
        <v>277</v>
      </c>
    </row>
    <row r="1303" spans="1:14">
      <c r="A1303" s="25">
        <f t="shared" si="123"/>
        <v>1300</v>
      </c>
      <c r="B1303" s="67" t="s">
        <v>17</v>
      </c>
      <c r="C1303" s="67" t="s">
        <v>805</v>
      </c>
      <c r="D1303" s="67" t="s">
        <v>435</v>
      </c>
      <c r="E1303" s="22">
        <f t="shared" ca="1" si="124"/>
        <v>40951</v>
      </c>
      <c r="F1303" s="11">
        <f>DATE(61,11,19)</f>
        <v>22604</v>
      </c>
      <c r="G1303" s="12">
        <f t="shared" ca="1" si="120"/>
        <v>51</v>
      </c>
      <c r="H1303" s="12">
        <f t="shared" ca="1" si="121"/>
        <v>-9</v>
      </c>
      <c r="I1303" s="13">
        <f t="shared" ca="1" si="122"/>
        <v>-7</v>
      </c>
      <c r="J1303" s="14">
        <f t="shared" ca="1" si="125"/>
        <v>50</v>
      </c>
      <c r="K1303" s="12" t="s">
        <v>41</v>
      </c>
      <c r="L1303" s="15">
        <v>102</v>
      </c>
      <c r="M1303" s="25" t="s">
        <v>40</v>
      </c>
      <c r="N1303">
        <v>277</v>
      </c>
    </row>
    <row r="1304" spans="1:14" ht="15.75" thickBot="1">
      <c r="A1304" s="26">
        <f t="shared" si="123"/>
        <v>1301</v>
      </c>
      <c r="B1304" s="67" t="s">
        <v>17</v>
      </c>
      <c r="C1304" s="68" t="s">
        <v>898</v>
      </c>
      <c r="D1304" s="68" t="s">
        <v>435</v>
      </c>
      <c r="E1304" s="23">
        <f t="shared" ca="1" si="124"/>
        <v>40951</v>
      </c>
      <c r="F1304" s="16">
        <f>DATE(68,3,18)</f>
        <v>24915</v>
      </c>
      <c r="G1304" s="17">
        <f t="shared" ca="1" si="120"/>
        <v>44</v>
      </c>
      <c r="H1304" s="17">
        <f t="shared" ca="1" si="121"/>
        <v>-1</v>
      </c>
      <c r="I1304" s="18">
        <f t="shared" ca="1" si="122"/>
        <v>-6</v>
      </c>
      <c r="J1304" s="19">
        <f t="shared" ca="1" si="125"/>
        <v>43</v>
      </c>
      <c r="K1304" s="17" t="s">
        <v>41</v>
      </c>
      <c r="L1304" s="20">
        <v>102</v>
      </c>
      <c r="M1304" s="26" t="s">
        <v>44</v>
      </c>
      <c r="N1304">
        <v>277</v>
      </c>
    </row>
    <row r="1305" spans="1:14">
      <c r="A1305" s="25">
        <f t="shared" si="123"/>
        <v>1302</v>
      </c>
      <c r="B1305" s="67" t="s">
        <v>17</v>
      </c>
      <c r="C1305" s="67" t="s">
        <v>892</v>
      </c>
      <c r="D1305" s="67" t="s">
        <v>899</v>
      </c>
      <c r="E1305" s="22">
        <f t="shared" ca="1" si="124"/>
        <v>40951</v>
      </c>
      <c r="F1305" s="11">
        <f>DATE(72,7,3)</f>
        <v>26483</v>
      </c>
      <c r="G1305" s="12">
        <f t="shared" ca="1" si="120"/>
        <v>40</v>
      </c>
      <c r="H1305" s="12">
        <f t="shared" ca="1" si="121"/>
        <v>-5</v>
      </c>
      <c r="I1305" s="13">
        <f t="shared" ca="1" si="122"/>
        <v>9</v>
      </c>
      <c r="J1305" s="14">
        <f t="shared" ca="1" si="125"/>
        <v>39</v>
      </c>
      <c r="K1305" s="12" t="s">
        <v>40</v>
      </c>
      <c r="L1305" s="15">
        <v>102</v>
      </c>
      <c r="M1305" s="25" t="s">
        <v>40</v>
      </c>
      <c r="N1305">
        <v>278</v>
      </c>
    </row>
    <row r="1306" spans="1:14">
      <c r="A1306" s="25">
        <f t="shared" si="123"/>
        <v>1303</v>
      </c>
      <c r="B1306" s="67" t="s">
        <v>17</v>
      </c>
      <c r="C1306" s="67" t="s">
        <v>344</v>
      </c>
      <c r="D1306" s="67" t="s">
        <v>892</v>
      </c>
      <c r="E1306" s="22">
        <f t="shared" ca="1" si="124"/>
        <v>40951</v>
      </c>
      <c r="F1306" s="11">
        <f>DATE(76,4,26)</f>
        <v>27876</v>
      </c>
      <c r="G1306" s="12">
        <f t="shared" ref="G1306:G1369" ca="1" si="126">YEAR(E1306)-YEAR(F1306)</f>
        <v>36</v>
      </c>
      <c r="H1306" s="12">
        <f t="shared" ref="H1306:H1369" ca="1" si="127">MONTH(E1306)-MONTH(F1306)</f>
        <v>-2</v>
      </c>
      <c r="I1306" s="13">
        <f t="shared" ref="I1306:I1369" ca="1" si="128">DAY(E1306)-DAY(F1306)</f>
        <v>-14</v>
      </c>
      <c r="J1306" s="14">
        <f t="shared" ca="1" si="125"/>
        <v>35</v>
      </c>
      <c r="K1306" s="12" t="s">
        <v>41</v>
      </c>
      <c r="L1306" s="15">
        <v>102</v>
      </c>
      <c r="M1306" s="25" t="s">
        <v>40</v>
      </c>
      <c r="N1306">
        <v>278</v>
      </c>
    </row>
    <row r="1307" spans="1:14" ht="15.75" thickBot="1">
      <c r="A1307" s="26">
        <f t="shared" si="123"/>
        <v>1304</v>
      </c>
      <c r="B1307" s="67" t="s">
        <v>17</v>
      </c>
      <c r="C1307" s="68" t="s">
        <v>486</v>
      </c>
      <c r="D1307" s="68" t="s">
        <v>892</v>
      </c>
      <c r="E1307" s="23">
        <f t="shared" ca="1" si="124"/>
        <v>40951</v>
      </c>
      <c r="F1307" s="16">
        <f>DATE(2000,3,25)</f>
        <v>36610</v>
      </c>
      <c r="G1307" s="17">
        <f t="shared" ca="1" si="126"/>
        <v>12</v>
      </c>
      <c r="H1307" s="17">
        <f t="shared" ca="1" si="127"/>
        <v>-1</v>
      </c>
      <c r="I1307" s="18">
        <f t="shared" ca="1" si="128"/>
        <v>-13</v>
      </c>
      <c r="J1307" s="19">
        <f t="shared" ca="1" si="125"/>
        <v>11</v>
      </c>
      <c r="K1307" s="17" t="s">
        <v>40</v>
      </c>
      <c r="L1307" s="20">
        <v>102</v>
      </c>
      <c r="M1307" s="26" t="s">
        <v>44</v>
      </c>
      <c r="N1307">
        <v>278</v>
      </c>
    </row>
    <row r="1308" spans="1:14">
      <c r="A1308" s="25">
        <f t="shared" si="123"/>
        <v>1305</v>
      </c>
      <c r="B1308" s="67" t="s">
        <v>17</v>
      </c>
      <c r="C1308" s="67" t="s">
        <v>483</v>
      </c>
      <c r="D1308" s="67" t="s">
        <v>435</v>
      </c>
      <c r="E1308" s="22">
        <f t="shared" ca="1" si="124"/>
        <v>40951</v>
      </c>
      <c r="F1308" s="11">
        <f>DATE(53,8,8)</f>
        <v>19579</v>
      </c>
      <c r="G1308" s="12">
        <f t="shared" ca="1" si="126"/>
        <v>59</v>
      </c>
      <c r="H1308" s="12">
        <f t="shared" ca="1" si="127"/>
        <v>-6</v>
      </c>
      <c r="I1308" s="13">
        <f t="shared" ca="1" si="128"/>
        <v>4</v>
      </c>
      <c r="J1308" s="14">
        <f t="shared" ca="1" si="125"/>
        <v>58</v>
      </c>
      <c r="K1308" s="12" t="s">
        <v>40</v>
      </c>
      <c r="L1308" s="15">
        <v>103</v>
      </c>
      <c r="M1308" s="25" t="s">
        <v>40</v>
      </c>
      <c r="N1308">
        <v>279</v>
      </c>
    </row>
    <row r="1309" spans="1:14">
      <c r="A1309" s="25">
        <f t="shared" si="123"/>
        <v>1306</v>
      </c>
      <c r="B1309" s="67" t="s">
        <v>17</v>
      </c>
      <c r="C1309" s="67" t="s">
        <v>143</v>
      </c>
      <c r="D1309" s="67" t="s">
        <v>483</v>
      </c>
      <c r="E1309" s="22">
        <f t="shared" ca="1" si="124"/>
        <v>40951</v>
      </c>
      <c r="F1309" s="11">
        <f>DATE(56,9,10)</f>
        <v>20708</v>
      </c>
      <c r="G1309" s="12">
        <f t="shared" ca="1" si="126"/>
        <v>56</v>
      </c>
      <c r="H1309" s="12">
        <f t="shared" ca="1" si="127"/>
        <v>-7</v>
      </c>
      <c r="I1309" s="13">
        <f t="shared" ca="1" si="128"/>
        <v>2</v>
      </c>
      <c r="J1309" s="14">
        <f t="shared" ca="1" si="125"/>
        <v>55</v>
      </c>
      <c r="K1309" s="12" t="s">
        <v>41</v>
      </c>
      <c r="L1309" s="15">
        <v>103</v>
      </c>
      <c r="M1309" s="25" t="s">
        <v>40</v>
      </c>
      <c r="N1309">
        <v>279</v>
      </c>
    </row>
    <row r="1310" spans="1:14">
      <c r="A1310" s="25">
        <f t="shared" ref="A1310:A1373" si="129">A1309+1</f>
        <v>1307</v>
      </c>
      <c r="B1310" s="67" t="s">
        <v>17</v>
      </c>
      <c r="C1310" s="67" t="s">
        <v>801</v>
      </c>
      <c r="D1310" s="67" t="s">
        <v>483</v>
      </c>
      <c r="E1310" s="22">
        <f t="shared" ca="1" si="124"/>
        <v>40951</v>
      </c>
      <c r="F1310" s="11">
        <f>DATE(86,2,15)</f>
        <v>31458</v>
      </c>
      <c r="G1310" s="12">
        <f t="shared" ca="1" si="126"/>
        <v>26</v>
      </c>
      <c r="H1310" s="12">
        <f t="shared" ca="1" si="127"/>
        <v>0</v>
      </c>
      <c r="I1310" s="13">
        <f t="shared" ca="1" si="128"/>
        <v>-3</v>
      </c>
      <c r="J1310" s="14">
        <f t="shared" ca="1" si="125"/>
        <v>25</v>
      </c>
      <c r="K1310" s="12" t="s">
        <v>41</v>
      </c>
      <c r="L1310" s="15">
        <v>103</v>
      </c>
      <c r="M1310" s="25" t="s">
        <v>44</v>
      </c>
      <c r="N1310">
        <v>279</v>
      </c>
    </row>
    <row r="1311" spans="1:14" ht="15.75" thickBot="1">
      <c r="A1311" s="26">
        <f t="shared" si="129"/>
        <v>1308</v>
      </c>
      <c r="B1311" s="67" t="s">
        <v>17</v>
      </c>
      <c r="C1311" s="68" t="s">
        <v>140</v>
      </c>
      <c r="D1311" s="68" t="s">
        <v>483</v>
      </c>
      <c r="E1311" s="23">
        <f t="shared" ca="1" si="124"/>
        <v>40951</v>
      </c>
      <c r="F1311" s="16">
        <f>DATE(87,9,18)</f>
        <v>32038</v>
      </c>
      <c r="G1311" s="17">
        <f t="shared" ca="1" si="126"/>
        <v>25</v>
      </c>
      <c r="H1311" s="17">
        <f t="shared" ca="1" si="127"/>
        <v>-7</v>
      </c>
      <c r="I1311" s="18">
        <f t="shared" ca="1" si="128"/>
        <v>-6</v>
      </c>
      <c r="J1311" s="19">
        <f t="shared" ca="1" si="125"/>
        <v>24</v>
      </c>
      <c r="K1311" s="17" t="s">
        <v>44</v>
      </c>
      <c r="L1311" s="20">
        <v>103</v>
      </c>
      <c r="M1311" s="26" t="s">
        <v>44</v>
      </c>
      <c r="N1311">
        <v>279</v>
      </c>
    </row>
    <row r="1312" spans="1:14">
      <c r="A1312" s="25">
        <f t="shared" si="129"/>
        <v>1309</v>
      </c>
      <c r="B1312" s="67" t="s">
        <v>17</v>
      </c>
      <c r="C1312" s="67" t="s">
        <v>208</v>
      </c>
      <c r="D1312" s="67" t="s">
        <v>425</v>
      </c>
      <c r="E1312" s="22">
        <f t="shared" ca="1" si="124"/>
        <v>40951</v>
      </c>
      <c r="F1312" s="11">
        <f>DATE(46,2,1)</f>
        <v>16834</v>
      </c>
      <c r="G1312" s="12">
        <f t="shared" ca="1" si="126"/>
        <v>66</v>
      </c>
      <c r="H1312" s="12">
        <f t="shared" ca="1" si="127"/>
        <v>0</v>
      </c>
      <c r="I1312" s="13">
        <f t="shared" ca="1" si="128"/>
        <v>11</v>
      </c>
      <c r="J1312" s="14">
        <f t="shared" ca="1" si="125"/>
        <v>66</v>
      </c>
      <c r="K1312" s="12" t="s">
        <v>40</v>
      </c>
      <c r="L1312" s="15">
        <v>103</v>
      </c>
      <c r="M1312" s="25" t="s">
        <v>40</v>
      </c>
      <c r="N1312">
        <v>280</v>
      </c>
    </row>
    <row r="1313" spans="1:14">
      <c r="A1313" s="25">
        <f t="shared" si="129"/>
        <v>1310</v>
      </c>
      <c r="B1313" s="67" t="s">
        <v>17</v>
      </c>
      <c r="C1313" s="67" t="s">
        <v>800</v>
      </c>
      <c r="D1313" s="67" t="s">
        <v>208</v>
      </c>
      <c r="E1313" s="22">
        <f t="shared" ca="1" si="124"/>
        <v>40951</v>
      </c>
      <c r="F1313" s="11">
        <f>DATE(48,10,7)</f>
        <v>17813</v>
      </c>
      <c r="G1313" s="12">
        <f t="shared" ca="1" si="126"/>
        <v>64</v>
      </c>
      <c r="H1313" s="12">
        <f t="shared" ca="1" si="127"/>
        <v>-8</v>
      </c>
      <c r="I1313" s="13">
        <f t="shared" ca="1" si="128"/>
        <v>5</v>
      </c>
      <c r="J1313" s="14">
        <f t="shared" ca="1" si="125"/>
        <v>63</v>
      </c>
      <c r="K1313" s="12" t="s">
        <v>41</v>
      </c>
      <c r="L1313" s="15">
        <v>103</v>
      </c>
      <c r="M1313" s="25" t="s">
        <v>40</v>
      </c>
      <c r="N1313">
        <v>280</v>
      </c>
    </row>
    <row r="1314" spans="1:14" ht="15.75" thickBot="1">
      <c r="A1314" s="26">
        <f t="shared" si="129"/>
        <v>1311</v>
      </c>
      <c r="B1314" s="67" t="s">
        <v>17</v>
      </c>
      <c r="C1314" s="68" t="s">
        <v>900</v>
      </c>
      <c r="D1314" s="68" t="s">
        <v>208</v>
      </c>
      <c r="E1314" s="23">
        <f t="shared" ca="1" si="124"/>
        <v>40951</v>
      </c>
      <c r="F1314" s="16">
        <f>DATE(80,11,27)</f>
        <v>29552</v>
      </c>
      <c r="G1314" s="17">
        <f t="shared" ca="1" si="126"/>
        <v>32</v>
      </c>
      <c r="H1314" s="17">
        <f t="shared" ca="1" si="127"/>
        <v>-9</v>
      </c>
      <c r="I1314" s="18">
        <f t="shared" ca="1" si="128"/>
        <v>-15</v>
      </c>
      <c r="J1314" s="19">
        <f t="shared" ca="1" si="125"/>
        <v>31</v>
      </c>
      <c r="K1314" s="17" t="s">
        <v>41</v>
      </c>
      <c r="L1314" s="20">
        <v>103</v>
      </c>
      <c r="M1314" s="26" t="s">
        <v>44</v>
      </c>
      <c r="N1314">
        <v>280</v>
      </c>
    </row>
    <row r="1315" spans="1:14">
      <c r="A1315" s="25">
        <f t="shared" si="129"/>
        <v>1312</v>
      </c>
      <c r="B1315" s="67" t="s">
        <v>17</v>
      </c>
      <c r="C1315" s="67" t="s">
        <v>591</v>
      </c>
      <c r="D1315" s="67" t="s">
        <v>425</v>
      </c>
      <c r="E1315" s="22">
        <f t="shared" ca="1" si="124"/>
        <v>40951</v>
      </c>
      <c r="F1315" s="11">
        <f>DATE(41,7,18)</f>
        <v>15175</v>
      </c>
      <c r="G1315" s="12">
        <f t="shared" ca="1" si="126"/>
        <v>71</v>
      </c>
      <c r="H1315" s="12">
        <f t="shared" ca="1" si="127"/>
        <v>-5</v>
      </c>
      <c r="I1315" s="13">
        <f t="shared" ca="1" si="128"/>
        <v>-6</v>
      </c>
      <c r="J1315" s="14">
        <f t="shared" ca="1" si="125"/>
        <v>70</v>
      </c>
      <c r="K1315" s="12" t="s">
        <v>40</v>
      </c>
      <c r="L1315" s="15">
        <v>104</v>
      </c>
      <c r="M1315" s="25" t="s">
        <v>40</v>
      </c>
      <c r="N1315">
        <v>281</v>
      </c>
    </row>
    <row r="1316" spans="1:14">
      <c r="A1316" s="25">
        <f t="shared" si="129"/>
        <v>1313</v>
      </c>
      <c r="B1316" s="67" t="s">
        <v>17</v>
      </c>
      <c r="C1316" s="67" t="s">
        <v>901</v>
      </c>
      <c r="D1316" s="67" t="s">
        <v>423</v>
      </c>
      <c r="E1316" s="22">
        <f t="shared" ref="E1316:E1379" ca="1" si="130">TODAY()</f>
        <v>40951</v>
      </c>
      <c r="F1316" s="11">
        <f>DATE(47,2,19)</f>
        <v>17217</v>
      </c>
      <c r="G1316" s="12">
        <f t="shared" ca="1" si="126"/>
        <v>65</v>
      </c>
      <c r="H1316" s="12">
        <f t="shared" ca="1" si="127"/>
        <v>0</v>
      </c>
      <c r="I1316" s="13">
        <f t="shared" ca="1" si="128"/>
        <v>-7</v>
      </c>
      <c r="J1316" s="14">
        <f t="shared" ca="1" si="125"/>
        <v>64</v>
      </c>
      <c r="K1316" s="12" t="s">
        <v>41</v>
      </c>
      <c r="L1316" s="15">
        <v>104</v>
      </c>
      <c r="M1316" s="25" t="s">
        <v>40</v>
      </c>
      <c r="N1316">
        <v>281</v>
      </c>
    </row>
    <row r="1317" spans="1:14">
      <c r="A1317" s="25">
        <f t="shared" si="129"/>
        <v>1314</v>
      </c>
      <c r="B1317" s="67" t="s">
        <v>17</v>
      </c>
      <c r="C1317" s="67" t="s">
        <v>114</v>
      </c>
      <c r="D1317" s="67" t="s">
        <v>423</v>
      </c>
      <c r="E1317" s="22">
        <f t="shared" ca="1" si="130"/>
        <v>40951</v>
      </c>
      <c r="F1317" s="11">
        <f>DATE(67,9,30)</f>
        <v>24745</v>
      </c>
      <c r="G1317" s="12">
        <f t="shared" ca="1" si="126"/>
        <v>45</v>
      </c>
      <c r="H1317" s="12">
        <f t="shared" ca="1" si="127"/>
        <v>-7</v>
      </c>
      <c r="I1317" s="13">
        <f t="shared" ca="1" si="128"/>
        <v>-18</v>
      </c>
      <c r="J1317" s="14">
        <f t="shared" ca="1" si="125"/>
        <v>44</v>
      </c>
      <c r="K1317" s="12" t="s">
        <v>40</v>
      </c>
      <c r="L1317" s="15">
        <v>104</v>
      </c>
      <c r="M1317" s="25" t="s">
        <v>40</v>
      </c>
      <c r="N1317">
        <v>281</v>
      </c>
    </row>
    <row r="1318" spans="1:14">
      <c r="A1318" s="25">
        <f t="shared" si="129"/>
        <v>1315</v>
      </c>
      <c r="B1318" s="67" t="s">
        <v>17</v>
      </c>
      <c r="C1318" s="67" t="s">
        <v>62</v>
      </c>
      <c r="D1318" s="67" t="s">
        <v>114</v>
      </c>
      <c r="E1318" s="22">
        <f t="shared" ca="1" si="130"/>
        <v>40951</v>
      </c>
      <c r="F1318" s="11">
        <f>DATE(66,12,26)</f>
        <v>24467</v>
      </c>
      <c r="G1318" s="12">
        <f t="shared" ca="1" si="126"/>
        <v>46</v>
      </c>
      <c r="H1318" s="12">
        <f t="shared" ca="1" si="127"/>
        <v>-10</v>
      </c>
      <c r="I1318" s="13">
        <f t="shared" ca="1" si="128"/>
        <v>-14</v>
      </c>
      <c r="J1318" s="14">
        <f t="shared" ca="1" si="125"/>
        <v>45</v>
      </c>
      <c r="K1318" s="12" t="s">
        <v>41</v>
      </c>
      <c r="L1318" s="15">
        <v>104</v>
      </c>
      <c r="M1318" s="25" t="s">
        <v>40</v>
      </c>
      <c r="N1318">
        <v>281</v>
      </c>
    </row>
    <row r="1319" spans="1:14">
      <c r="A1319" s="25">
        <f t="shared" si="129"/>
        <v>1316</v>
      </c>
      <c r="B1319" s="67" t="s">
        <v>17</v>
      </c>
      <c r="C1319" s="67" t="s">
        <v>571</v>
      </c>
      <c r="D1319" s="67" t="s">
        <v>114</v>
      </c>
      <c r="E1319" s="22">
        <f t="shared" ca="1" si="130"/>
        <v>40951</v>
      </c>
      <c r="F1319" s="11">
        <f>DATE(94,10,10)</f>
        <v>34617</v>
      </c>
      <c r="G1319" s="12">
        <f t="shared" ca="1" si="126"/>
        <v>18</v>
      </c>
      <c r="H1319" s="12">
        <f t="shared" ca="1" si="127"/>
        <v>-8</v>
      </c>
      <c r="I1319" s="13">
        <f t="shared" ca="1" si="128"/>
        <v>2</v>
      </c>
      <c r="J1319" s="14">
        <f t="shared" ca="1" si="125"/>
        <v>17</v>
      </c>
      <c r="K1319" s="12" t="s">
        <v>40</v>
      </c>
      <c r="L1319" s="15">
        <v>104</v>
      </c>
      <c r="M1319" s="25" t="s">
        <v>44</v>
      </c>
      <c r="N1319">
        <v>281</v>
      </c>
    </row>
    <row r="1320" spans="1:14">
      <c r="A1320" s="25">
        <f t="shared" si="129"/>
        <v>1317</v>
      </c>
      <c r="B1320" s="67" t="s">
        <v>17</v>
      </c>
      <c r="C1320" s="67" t="s">
        <v>902</v>
      </c>
      <c r="D1320" s="67" t="s">
        <v>114</v>
      </c>
      <c r="E1320" s="22">
        <f t="shared" ca="1" si="130"/>
        <v>40951</v>
      </c>
      <c r="F1320" s="11">
        <f>DATE(96,10,25)</f>
        <v>35363</v>
      </c>
      <c r="G1320" s="12">
        <f t="shared" ca="1" si="126"/>
        <v>16</v>
      </c>
      <c r="H1320" s="12">
        <f t="shared" ca="1" si="127"/>
        <v>-8</v>
      </c>
      <c r="I1320" s="13">
        <f t="shared" ca="1" si="128"/>
        <v>-13</v>
      </c>
      <c r="J1320" s="14">
        <f t="shared" ca="1" si="125"/>
        <v>15</v>
      </c>
      <c r="K1320" s="12" t="s">
        <v>41</v>
      </c>
      <c r="L1320" s="15">
        <v>104</v>
      </c>
      <c r="M1320" s="25" t="s">
        <v>44</v>
      </c>
      <c r="N1320">
        <v>281</v>
      </c>
    </row>
    <row r="1321" spans="1:14">
      <c r="A1321" s="25">
        <f t="shared" si="129"/>
        <v>1318</v>
      </c>
      <c r="B1321" s="67" t="s">
        <v>17</v>
      </c>
      <c r="C1321" s="67" t="s">
        <v>903</v>
      </c>
      <c r="D1321" s="67" t="s">
        <v>423</v>
      </c>
      <c r="E1321" s="22">
        <f t="shared" ca="1" si="130"/>
        <v>40951</v>
      </c>
      <c r="F1321" s="11">
        <f>DATE(71,7,26)</f>
        <v>26140</v>
      </c>
      <c r="G1321" s="12">
        <f t="shared" ca="1" si="126"/>
        <v>41</v>
      </c>
      <c r="H1321" s="12">
        <f t="shared" ca="1" si="127"/>
        <v>-5</v>
      </c>
      <c r="I1321" s="13">
        <f t="shared" ca="1" si="128"/>
        <v>-14</v>
      </c>
      <c r="J1321" s="14">
        <f t="shared" ca="1" si="125"/>
        <v>40</v>
      </c>
      <c r="K1321" s="12" t="s">
        <v>40</v>
      </c>
      <c r="L1321" s="15">
        <v>104</v>
      </c>
      <c r="M1321" s="25" t="s">
        <v>40</v>
      </c>
      <c r="N1321">
        <v>281</v>
      </c>
    </row>
    <row r="1322" spans="1:14">
      <c r="A1322" s="25">
        <f t="shared" si="129"/>
        <v>1319</v>
      </c>
      <c r="B1322" s="67" t="s">
        <v>17</v>
      </c>
      <c r="C1322" s="67" t="s">
        <v>826</v>
      </c>
      <c r="D1322" s="67" t="s">
        <v>903</v>
      </c>
      <c r="E1322" s="22">
        <f t="shared" ca="1" si="130"/>
        <v>40951</v>
      </c>
      <c r="F1322" s="11">
        <f>DATE(78,3,9)</f>
        <v>28558</v>
      </c>
      <c r="G1322" s="12">
        <f t="shared" ca="1" si="126"/>
        <v>34</v>
      </c>
      <c r="H1322" s="12">
        <f t="shared" ca="1" si="127"/>
        <v>-1</v>
      </c>
      <c r="I1322" s="13">
        <f t="shared" ca="1" si="128"/>
        <v>3</v>
      </c>
      <c r="J1322" s="14">
        <f t="shared" ca="1" si="125"/>
        <v>33</v>
      </c>
      <c r="K1322" s="12" t="s">
        <v>41</v>
      </c>
      <c r="L1322" s="15">
        <v>104</v>
      </c>
      <c r="M1322" s="25" t="s">
        <v>40</v>
      </c>
      <c r="N1322">
        <v>281</v>
      </c>
    </row>
    <row r="1323" spans="1:14">
      <c r="A1323" s="25">
        <f t="shared" si="129"/>
        <v>1320</v>
      </c>
      <c r="B1323" s="67" t="s">
        <v>17</v>
      </c>
      <c r="C1323" s="67" t="s">
        <v>904</v>
      </c>
      <c r="D1323" s="67" t="s">
        <v>903</v>
      </c>
      <c r="E1323" s="22">
        <f t="shared" ca="1" si="130"/>
        <v>40951</v>
      </c>
      <c r="F1323" s="11">
        <f>DATE(2000,3,31)</f>
        <v>36616</v>
      </c>
      <c r="G1323" s="12">
        <f t="shared" ca="1" si="126"/>
        <v>12</v>
      </c>
      <c r="H1323" s="12">
        <f t="shared" ca="1" si="127"/>
        <v>-1</v>
      </c>
      <c r="I1323" s="13">
        <f t="shared" ca="1" si="128"/>
        <v>-19</v>
      </c>
      <c r="J1323" s="14">
        <f t="shared" ca="1" si="125"/>
        <v>11</v>
      </c>
      <c r="K1323" s="12" t="s">
        <v>41</v>
      </c>
      <c r="L1323" s="15">
        <v>104</v>
      </c>
      <c r="M1323" s="25" t="s">
        <v>44</v>
      </c>
      <c r="N1323">
        <v>281</v>
      </c>
    </row>
    <row r="1324" spans="1:14">
      <c r="A1324" s="25">
        <f t="shared" si="129"/>
        <v>1321</v>
      </c>
      <c r="B1324" s="67" t="s">
        <v>17</v>
      </c>
      <c r="C1324" s="67" t="s">
        <v>905</v>
      </c>
      <c r="D1324" s="67" t="s">
        <v>903</v>
      </c>
      <c r="E1324" s="22">
        <f t="shared" ca="1" si="130"/>
        <v>40951</v>
      </c>
      <c r="F1324" s="11">
        <f>DATE(2004,2,2)</f>
        <v>38019</v>
      </c>
      <c r="G1324" s="12">
        <f t="shared" ca="1" si="126"/>
        <v>8</v>
      </c>
      <c r="H1324" s="12">
        <f t="shared" ca="1" si="127"/>
        <v>0</v>
      </c>
      <c r="I1324" s="13">
        <f t="shared" ca="1" si="128"/>
        <v>10</v>
      </c>
      <c r="J1324" s="14">
        <f t="shared" ca="1" si="125"/>
        <v>8</v>
      </c>
      <c r="K1324" s="12" t="s">
        <v>40</v>
      </c>
      <c r="L1324" s="15">
        <v>104</v>
      </c>
      <c r="M1324" s="25" t="s">
        <v>44</v>
      </c>
      <c r="N1324">
        <v>281</v>
      </c>
    </row>
    <row r="1325" spans="1:14">
      <c r="A1325" s="25">
        <f t="shared" si="129"/>
        <v>1322</v>
      </c>
      <c r="B1325" s="67" t="s">
        <v>17</v>
      </c>
      <c r="C1325" s="67" t="s">
        <v>305</v>
      </c>
      <c r="D1325" s="67" t="s">
        <v>423</v>
      </c>
      <c r="E1325" s="22">
        <f t="shared" ca="1" si="130"/>
        <v>40951</v>
      </c>
      <c r="F1325" s="11">
        <f>DATE(74,5,20)</f>
        <v>27169</v>
      </c>
      <c r="G1325" s="12">
        <f t="shared" ca="1" si="126"/>
        <v>38</v>
      </c>
      <c r="H1325" s="12">
        <f t="shared" ca="1" si="127"/>
        <v>-3</v>
      </c>
      <c r="I1325" s="13">
        <f t="shared" ca="1" si="128"/>
        <v>-8</v>
      </c>
      <c r="J1325" s="14">
        <f t="shared" ca="1" si="125"/>
        <v>37</v>
      </c>
      <c r="K1325" s="12" t="s">
        <v>40</v>
      </c>
      <c r="L1325" s="15">
        <v>104</v>
      </c>
      <c r="M1325" s="25" t="s">
        <v>40</v>
      </c>
      <c r="N1325">
        <v>281</v>
      </c>
    </row>
    <row r="1326" spans="1:14">
      <c r="A1326" s="25">
        <f t="shared" si="129"/>
        <v>1323</v>
      </c>
      <c r="B1326" s="67" t="s">
        <v>17</v>
      </c>
      <c r="C1326" s="67" t="s">
        <v>402</v>
      </c>
      <c r="D1326" s="67" t="s">
        <v>305</v>
      </c>
      <c r="E1326" s="22">
        <f t="shared" ca="1" si="130"/>
        <v>40951</v>
      </c>
      <c r="F1326" s="11">
        <f>DATE(79,2,8)</f>
        <v>28894</v>
      </c>
      <c r="G1326" s="12">
        <f t="shared" ca="1" si="126"/>
        <v>33</v>
      </c>
      <c r="H1326" s="12">
        <f t="shared" ca="1" si="127"/>
        <v>0</v>
      </c>
      <c r="I1326" s="13">
        <f t="shared" ca="1" si="128"/>
        <v>4</v>
      </c>
      <c r="J1326" s="14">
        <f t="shared" ca="1" si="125"/>
        <v>33</v>
      </c>
      <c r="K1326" s="12" t="s">
        <v>41</v>
      </c>
      <c r="L1326" s="15">
        <v>104</v>
      </c>
      <c r="M1326" s="25" t="s">
        <v>40</v>
      </c>
      <c r="N1326">
        <v>281</v>
      </c>
    </row>
    <row r="1327" spans="1:14">
      <c r="A1327" s="25">
        <f t="shared" si="129"/>
        <v>1324</v>
      </c>
      <c r="B1327" s="67" t="s">
        <v>17</v>
      </c>
      <c r="C1327" s="67" t="s">
        <v>906</v>
      </c>
      <c r="D1327" s="67" t="s">
        <v>305</v>
      </c>
      <c r="E1327" s="22">
        <f t="shared" ca="1" si="130"/>
        <v>40951</v>
      </c>
      <c r="F1327" s="11">
        <f>DATE(2002,5,27)</f>
        <v>37403</v>
      </c>
      <c r="G1327" s="12">
        <f t="shared" ca="1" si="126"/>
        <v>10</v>
      </c>
      <c r="H1327" s="12">
        <f t="shared" ca="1" si="127"/>
        <v>-3</v>
      </c>
      <c r="I1327" s="13">
        <f t="shared" ca="1" si="128"/>
        <v>-15</v>
      </c>
      <c r="J1327" s="14">
        <f t="shared" ca="1" si="125"/>
        <v>9</v>
      </c>
      <c r="K1327" s="12" t="s">
        <v>41</v>
      </c>
      <c r="L1327" s="15">
        <v>104</v>
      </c>
      <c r="M1327" s="25" t="s">
        <v>44</v>
      </c>
      <c r="N1327">
        <v>281</v>
      </c>
    </row>
    <row r="1328" spans="1:14">
      <c r="A1328" s="25">
        <f t="shared" si="129"/>
        <v>1325</v>
      </c>
      <c r="B1328" s="67" t="s">
        <v>17</v>
      </c>
      <c r="C1328" s="67" t="s">
        <v>907</v>
      </c>
      <c r="D1328" s="67" t="s">
        <v>305</v>
      </c>
      <c r="E1328" s="22">
        <f t="shared" ca="1" si="130"/>
        <v>40951</v>
      </c>
      <c r="F1328" s="11">
        <f>DATE(2005,2,11)</f>
        <v>38394</v>
      </c>
      <c r="G1328" s="12">
        <f t="shared" ca="1" si="126"/>
        <v>7</v>
      </c>
      <c r="H1328" s="12">
        <f t="shared" ca="1" si="127"/>
        <v>0</v>
      </c>
      <c r="I1328" s="13">
        <f t="shared" ca="1" si="128"/>
        <v>1</v>
      </c>
      <c r="J1328" s="14">
        <f t="shared" ca="1" si="125"/>
        <v>7</v>
      </c>
      <c r="K1328" s="12" t="s">
        <v>40</v>
      </c>
      <c r="L1328" s="15">
        <v>104</v>
      </c>
      <c r="M1328" s="25" t="s">
        <v>44</v>
      </c>
      <c r="N1328">
        <v>281</v>
      </c>
    </row>
    <row r="1329" spans="1:14">
      <c r="A1329" s="25">
        <f t="shared" si="129"/>
        <v>1326</v>
      </c>
      <c r="B1329" s="67" t="s">
        <v>17</v>
      </c>
      <c r="C1329" s="67" t="s">
        <v>452</v>
      </c>
      <c r="D1329" s="67" t="s">
        <v>423</v>
      </c>
      <c r="E1329" s="22">
        <f t="shared" ca="1" si="130"/>
        <v>40951</v>
      </c>
      <c r="F1329" s="11">
        <f>DATE(75,9,19)</f>
        <v>27656</v>
      </c>
      <c r="G1329" s="12">
        <f t="shared" ca="1" si="126"/>
        <v>37</v>
      </c>
      <c r="H1329" s="12">
        <f t="shared" ca="1" si="127"/>
        <v>-7</v>
      </c>
      <c r="I1329" s="13">
        <f t="shared" ca="1" si="128"/>
        <v>-7</v>
      </c>
      <c r="J1329" s="14">
        <f t="shared" ca="1" si="125"/>
        <v>36</v>
      </c>
      <c r="K1329" s="12" t="s">
        <v>40</v>
      </c>
      <c r="L1329" s="15">
        <v>104</v>
      </c>
      <c r="M1329" s="25" t="s">
        <v>40</v>
      </c>
      <c r="N1329">
        <v>281</v>
      </c>
    </row>
    <row r="1330" spans="1:14">
      <c r="A1330" s="25">
        <f t="shared" si="129"/>
        <v>1327</v>
      </c>
      <c r="B1330" s="67" t="s">
        <v>17</v>
      </c>
      <c r="C1330" s="67" t="s">
        <v>908</v>
      </c>
      <c r="D1330" s="67" t="s">
        <v>452</v>
      </c>
      <c r="E1330" s="22">
        <f t="shared" ca="1" si="130"/>
        <v>40951</v>
      </c>
      <c r="F1330" s="11">
        <f>DATE(75,7,12)</f>
        <v>27587</v>
      </c>
      <c r="G1330" s="12">
        <f t="shared" ca="1" si="126"/>
        <v>37</v>
      </c>
      <c r="H1330" s="12">
        <f t="shared" ca="1" si="127"/>
        <v>-5</v>
      </c>
      <c r="I1330" s="13">
        <f t="shared" ca="1" si="128"/>
        <v>0</v>
      </c>
      <c r="J1330" s="14">
        <f t="shared" ca="1" si="125"/>
        <v>36</v>
      </c>
      <c r="K1330" s="12" t="s">
        <v>41</v>
      </c>
      <c r="L1330" s="15">
        <v>104</v>
      </c>
      <c r="M1330" s="25" t="s">
        <v>40</v>
      </c>
      <c r="N1330">
        <v>281</v>
      </c>
    </row>
    <row r="1331" spans="1:14" ht="15.75" thickBot="1">
      <c r="A1331" s="26">
        <f t="shared" si="129"/>
        <v>1328</v>
      </c>
      <c r="B1331" s="67" t="s">
        <v>17</v>
      </c>
      <c r="C1331" s="68" t="s">
        <v>909</v>
      </c>
      <c r="D1331" s="68" t="s">
        <v>452</v>
      </c>
      <c r="E1331" s="23">
        <f t="shared" ca="1" si="130"/>
        <v>40951</v>
      </c>
      <c r="F1331" s="16">
        <f>DATE(2003,10,25)</f>
        <v>37919</v>
      </c>
      <c r="G1331" s="17">
        <f t="shared" ca="1" si="126"/>
        <v>9</v>
      </c>
      <c r="H1331" s="17">
        <f t="shared" ca="1" si="127"/>
        <v>-8</v>
      </c>
      <c r="I1331" s="18">
        <f t="shared" ca="1" si="128"/>
        <v>-13</v>
      </c>
      <c r="J1331" s="19">
        <f t="shared" ca="1" si="125"/>
        <v>8</v>
      </c>
      <c r="K1331" s="17" t="s">
        <v>40</v>
      </c>
      <c r="L1331" s="20">
        <v>104</v>
      </c>
      <c r="M1331" s="26" t="s">
        <v>44</v>
      </c>
      <c r="N1331">
        <v>281</v>
      </c>
    </row>
    <row r="1332" spans="1:14">
      <c r="A1332" s="25">
        <f t="shared" si="129"/>
        <v>1329</v>
      </c>
      <c r="B1332" s="67" t="s">
        <v>17</v>
      </c>
      <c r="C1332" s="67" t="s">
        <v>910</v>
      </c>
      <c r="D1332" s="67" t="s">
        <v>435</v>
      </c>
      <c r="E1332" s="22">
        <f t="shared" ca="1" si="130"/>
        <v>40951</v>
      </c>
      <c r="F1332" s="11">
        <f>DATE(55,6,17)</f>
        <v>20257</v>
      </c>
      <c r="G1332" s="12">
        <f t="shared" ca="1" si="126"/>
        <v>57</v>
      </c>
      <c r="H1332" s="12">
        <f t="shared" ca="1" si="127"/>
        <v>-4</v>
      </c>
      <c r="I1332" s="13">
        <f t="shared" ca="1" si="128"/>
        <v>-5</v>
      </c>
      <c r="J1332" s="14">
        <f t="shared" ca="1" si="125"/>
        <v>56</v>
      </c>
      <c r="K1332" s="12" t="s">
        <v>40</v>
      </c>
      <c r="L1332" s="15">
        <v>105</v>
      </c>
      <c r="M1332" s="25" t="s">
        <v>40</v>
      </c>
      <c r="N1332">
        <v>282</v>
      </c>
    </row>
    <row r="1333" spans="1:14">
      <c r="A1333" s="25">
        <f t="shared" si="129"/>
        <v>1330</v>
      </c>
      <c r="B1333" s="67" t="s">
        <v>17</v>
      </c>
      <c r="C1333" s="67" t="s">
        <v>68</v>
      </c>
      <c r="D1333" s="67" t="s">
        <v>910</v>
      </c>
      <c r="E1333" s="22">
        <f t="shared" ca="1" si="130"/>
        <v>40951</v>
      </c>
      <c r="F1333" s="11">
        <f>DATE(64,9,13)</f>
        <v>23633</v>
      </c>
      <c r="G1333" s="12">
        <f t="shared" ca="1" si="126"/>
        <v>48</v>
      </c>
      <c r="H1333" s="12">
        <f t="shared" ca="1" si="127"/>
        <v>-7</v>
      </c>
      <c r="I1333" s="13">
        <f t="shared" ca="1" si="128"/>
        <v>-1</v>
      </c>
      <c r="J1333" s="14">
        <f t="shared" ca="1" si="125"/>
        <v>47</v>
      </c>
      <c r="K1333" s="12" t="s">
        <v>41</v>
      </c>
      <c r="L1333" s="15">
        <v>105</v>
      </c>
      <c r="M1333" s="25" t="s">
        <v>40</v>
      </c>
      <c r="N1333">
        <v>282</v>
      </c>
    </row>
    <row r="1334" spans="1:14">
      <c r="A1334" s="25">
        <f t="shared" si="129"/>
        <v>1331</v>
      </c>
      <c r="B1334" s="67" t="s">
        <v>17</v>
      </c>
      <c r="C1334" s="67" t="s">
        <v>432</v>
      </c>
      <c r="D1334" s="67" t="s">
        <v>910</v>
      </c>
      <c r="E1334" s="22">
        <f t="shared" ca="1" si="130"/>
        <v>40951</v>
      </c>
      <c r="F1334" s="11">
        <f>DATE(90,1,14)</f>
        <v>32887</v>
      </c>
      <c r="G1334" s="12">
        <f t="shared" ca="1" si="126"/>
        <v>22</v>
      </c>
      <c r="H1334" s="12">
        <f t="shared" ca="1" si="127"/>
        <v>1</v>
      </c>
      <c r="I1334" s="13">
        <f t="shared" ca="1" si="128"/>
        <v>-2</v>
      </c>
      <c r="J1334" s="14">
        <f t="shared" ca="1" si="125"/>
        <v>22</v>
      </c>
      <c r="K1334" s="12" t="s">
        <v>40</v>
      </c>
      <c r="L1334" s="15">
        <v>105</v>
      </c>
      <c r="M1334" s="25" t="s">
        <v>44</v>
      </c>
      <c r="N1334">
        <v>282</v>
      </c>
    </row>
    <row r="1335" spans="1:14" ht="15.75" thickBot="1">
      <c r="A1335" s="26">
        <f t="shared" si="129"/>
        <v>1332</v>
      </c>
      <c r="B1335" s="67" t="s">
        <v>17</v>
      </c>
      <c r="C1335" s="68" t="s">
        <v>911</v>
      </c>
      <c r="D1335" s="68" t="s">
        <v>910</v>
      </c>
      <c r="E1335" s="23">
        <f t="shared" ca="1" si="130"/>
        <v>40951</v>
      </c>
      <c r="F1335" s="16">
        <f>DATE(95,3,8)</f>
        <v>34766</v>
      </c>
      <c r="G1335" s="17">
        <f t="shared" ca="1" si="126"/>
        <v>17</v>
      </c>
      <c r="H1335" s="17">
        <f t="shared" ca="1" si="127"/>
        <v>-1</v>
      </c>
      <c r="I1335" s="18">
        <f t="shared" ca="1" si="128"/>
        <v>4</v>
      </c>
      <c r="J1335" s="19">
        <f t="shared" ca="1" si="125"/>
        <v>16</v>
      </c>
      <c r="K1335" s="17" t="s">
        <v>40</v>
      </c>
      <c r="L1335" s="20">
        <v>105</v>
      </c>
      <c r="M1335" s="26" t="s">
        <v>44</v>
      </c>
      <c r="N1335">
        <v>282</v>
      </c>
    </row>
    <row r="1336" spans="1:14">
      <c r="A1336" s="25">
        <f t="shared" si="129"/>
        <v>1333</v>
      </c>
      <c r="B1336" s="67" t="s">
        <v>17</v>
      </c>
      <c r="C1336" s="67" t="s">
        <v>912</v>
      </c>
      <c r="D1336" s="67" t="s">
        <v>623</v>
      </c>
      <c r="E1336" s="22">
        <f t="shared" ca="1" si="130"/>
        <v>40951</v>
      </c>
      <c r="F1336" s="11">
        <f>DATE(69,11,14)</f>
        <v>25521</v>
      </c>
      <c r="G1336" s="12">
        <f t="shared" ca="1" si="126"/>
        <v>43</v>
      </c>
      <c r="H1336" s="12">
        <f t="shared" ca="1" si="127"/>
        <v>-9</v>
      </c>
      <c r="I1336" s="13">
        <f t="shared" ca="1" si="128"/>
        <v>-2</v>
      </c>
      <c r="J1336" s="14">
        <f t="shared" ca="1" si="125"/>
        <v>42</v>
      </c>
      <c r="K1336" s="12" t="s">
        <v>40</v>
      </c>
      <c r="L1336" s="15">
        <v>105</v>
      </c>
      <c r="M1336" s="25" t="s">
        <v>44</v>
      </c>
      <c r="N1336">
        <v>283</v>
      </c>
    </row>
    <row r="1337" spans="1:14">
      <c r="A1337" s="25">
        <f t="shared" si="129"/>
        <v>1334</v>
      </c>
      <c r="B1337" s="67" t="s">
        <v>17</v>
      </c>
      <c r="C1337" s="67" t="s">
        <v>430</v>
      </c>
      <c r="D1337" s="67" t="s">
        <v>623</v>
      </c>
      <c r="E1337" s="22">
        <f t="shared" ca="1" si="130"/>
        <v>40951</v>
      </c>
      <c r="F1337" s="11">
        <f>DATE(51,7,13)</f>
        <v>18822</v>
      </c>
      <c r="G1337" s="12">
        <f t="shared" ca="1" si="126"/>
        <v>61</v>
      </c>
      <c r="H1337" s="12">
        <f t="shared" ca="1" si="127"/>
        <v>-5</v>
      </c>
      <c r="I1337" s="13">
        <f t="shared" ca="1" si="128"/>
        <v>-1</v>
      </c>
      <c r="J1337" s="14">
        <f t="shared" ca="1" si="125"/>
        <v>60</v>
      </c>
      <c r="K1337" s="12" t="s">
        <v>41</v>
      </c>
      <c r="L1337" s="15">
        <v>105</v>
      </c>
      <c r="M1337" s="25" t="s">
        <v>40</v>
      </c>
      <c r="N1337">
        <v>283</v>
      </c>
    </row>
    <row r="1338" spans="1:14">
      <c r="A1338" s="25">
        <f t="shared" si="129"/>
        <v>1335</v>
      </c>
      <c r="B1338" s="67" t="s">
        <v>17</v>
      </c>
      <c r="C1338" s="67" t="s">
        <v>368</v>
      </c>
      <c r="D1338" s="67" t="s">
        <v>623</v>
      </c>
      <c r="E1338" s="22">
        <f t="shared" ca="1" si="130"/>
        <v>40951</v>
      </c>
      <c r="F1338" s="11">
        <f>DATE(68,12,9)</f>
        <v>25181</v>
      </c>
      <c r="G1338" s="12">
        <f t="shared" ca="1" si="126"/>
        <v>44</v>
      </c>
      <c r="H1338" s="12">
        <f t="shared" ca="1" si="127"/>
        <v>-10</v>
      </c>
      <c r="I1338" s="13">
        <f t="shared" ca="1" si="128"/>
        <v>3</v>
      </c>
      <c r="J1338" s="14">
        <f t="shared" ca="1" si="125"/>
        <v>43</v>
      </c>
      <c r="K1338" s="12" t="s">
        <v>41</v>
      </c>
      <c r="L1338" s="15">
        <v>105</v>
      </c>
      <c r="M1338" s="25" t="s">
        <v>44</v>
      </c>
      <c r="N1338">
        <v>283</v>
      </c>
    </row>
    <row r="1339" spans="1:14">
      <c r="A1339" s="25">
        <f t="shared" si="129"/>
        <v>1336</v>
      </c>
      <c r="B1339" s="67" t="s">
        <v>17</v>
      </c>
      <c r="C1339" s="67" t="s">
        <v>913</v>
      </c>
      <c r="D1339" s="67" t="s">
        <v>623</v>
      </c>
      <c r="E1339" s="22">
        <f t="shared" ca="1" si="130"/>
        <v>40951</v>
      </c>
      <c r="F1339" s="11">
        <f>DATE(71,9,21)</f>
        <v>26197</v>
      </c>
      <c r="G1339" s="12">
        <f t="shared" ca="1" si="126"/>
        <v>41</v>
      </c>
      <c r="H1339" s="12">
        <f t="shared" ca="1" si="127"/>
        <v>-7</v>
      </c>
      <c r="I1339" s="13">
        <f t="shared" ca="1" si="128"/>
        <v>-9</v>
      </c>
      <c r="J1339" s="14">
        <f t="shared" ca="1" si="125"/>
        <v>40</v>
      </c>
      <c r="K1339" s="12" t="s">
        <v>40</v>
      </c>
      <c r="L1339" s="15">
        <v>105</v>
      </c>
      <c r="M1339" s="25" t="s">
        <v>40</v>
      </c>
      <c r="N1339">
        <v>283</v>
      </c>
    </row>
    <row r="1340" spans="1:14" ht="15.75" thickBot="1">
      <c r="A1340" s="26">
        <f t="shared" si="129"/>
        <v>1337</v>
      </c>
      <c r="B1340" s="67" t="s">
        <v>17</v>
      </c>
      <c r="C1340" s="68" t="s">
        <v>192</v>
      </c>
      <c r="D1340" s="68" t="s">
        <v>913</v>
      </c>
      <c r="E1340" s="23">
        <f t="shared" ca="1" si="130"/>
        <v>40951</v>
      </c>
      <c r="F1340" s="16">
        <f>DATE(80,11,26)</f>
        <v>29551</v>
      </c>
      <c r="G1340" s="17">
        <f t="shared" ca="1" si="126"/>
        <v>32</v>
      </c>
      <c r="H1340" s="17">
        <f t="shared" ca="1" si="127"/>
        <v>-9</v>
      </c>
      <c r="I1340" s="18">
        <f t="shared" ca="1" si="128"/>
        <v>-14</v>
      </c>
      <c r="J1340" s="19">
        <f t="shared" ca="1" si="125"/>
        <v>31</v>
      </c>
      <c r="K1340" s="17" t="s">
        <v>41</v>
      </c>
      <c r="L1340" s="20">
        <v>105</v>
      </c>
      <c r="M1340" s="26" t="s">
        <v>40</v>
      </c>
      <c r="N1340">
        <v>283</v>
      </c>
    </row>
    <row r="1341" spans="1:14">
      <c r="A1341" s="25">
        <f t="shared" si="129"/>
        <v>1338</v>
      </c>
      <c r="B1341" s="67" t="s">
        <v>17</v>
      </c>
      <c r="C1341" s="67" t="s">
        <v>914</v>
      </c>
      <c r="D1341" s="67" t="s">
        <v>573</v>
      </c>
      <c r="E1341" s="22">
        <f t="shared" ca="1" si="130"/>
        <v>40951</v>
      </c>
      <c r="F1341" s="11">
        <f>DATE(43,7,21)</f>
        <v>15908</v>
      </c>
      <c r="G1341" s="12">
        <f t="shared" ca="1" si="126"/>
        <v>69</v>
      </c>
      <c r="H1341" s="12">
        <f t="shared" ca="1" si="127"/>
        <v>-5</v>
      </c>
      <c r="I1341" s="13">
        <f t="shared" ca="1" si="128"/>
        <v>-9</v>
      </c>
      <c r="J1341" s="14">
        <f t="shared" ca="1" si="125"/>
        <v>68</v>
      </c>
      <c r="K1341" s="12" t="s">
        <v>40</v>
      </c>
      <c r="L1341" s="15">
        <v>105</v>
      </c>
      <c r="M1341" s="25" t="s">
        <v>40</v>
      </c>
      <c r="N1341">
        <v>284</v>
      </c>
    </row>
    <row r="1342" spans="1:14">
      <c r="A1342" s="25">
        <f t="shared" si="129"/>
        <v>1339</v>
      </c>
      <c r="B1342" s="67" t="s">
        <v>17</v>
      </c>
      <c r="C1342" s="67" t="s">
        <v>451</v>
      </c>
      <c r="D1342" s="67" t="s">
        <v>914</v>
      </c>
      <c r="E1342" s="22">
        <f t="shared" ca="1" si="130"/>
        <v>40951</v>
      </c>
      <c r="F1342" s="11">
        <f>DATE(46,7,21)</f>
        <v>17004</v>
      </c>
      <c r="G1342" s="12">
        <f t="shared" ca="1" si="126"/>
        <v>66</v>
      </c>
      <c r="H1342" s="12">
        <f t="shared" ca="1" si="127"/>
        <v>-5</v>
      </c>
      <c r="I1342" s="13">
        <f t="shared" ca="1" si="128"/>
        <v>-9</v>
      </c>
      <c r="J1342" s="14">
        <f t="shared" ca="1" si="125"/>
        <v>65</v>
      </c>
      <c r="K1342" s="12" t="s">
        <v>41</v>
      </c>
      <c r="L1342" s="15">
        <v>105</v>
      </c>
      <c r="M1342" s="25" t="s">
        <v>40</v>
      </c>
      <c r="N1342">
        <v>284</v>
      </c>
    </row>
    <row r="1343" spans="1:14">
      <c r="A1343" s="25">
        <f t="shared" si="129"/>
        <v>1340</v>
      </c>
      <c r="B1343" s="67" t="s">
        <v>17</v>
      </c>
      <c r="C1343" s="67" t="s">
        <v>748</v>
      </c>
      <c r="D1343" s="67" t="s">
        <v>914</v>
      </c>
      <c r="E1343" s="22">
        <f t="shared" ca="1" si="130"/>
        <v>40951</v>
      </c>
      <c r="F1343" s="11">
        <f>DATE(69,9,14)</f>
        <v>25460</v>
      </c>
      <c r="G1343" s="12">
        <f t="shared" ca="1" si="126"/>
        <v>43</v>
      </c>
      <c r="H1343" s="12">
        <f t="shared" ca="1" si="127"/>
        <v>-7</v>
      </c>
      <c r="I1343" s="13">
        <f t="shared" ca="1" si="128"/>
        <v>-2</v>
      </c>
      <c r="J1343" s="14">
        <f t="shared" ca="1" si="125"/>
        <v>42</v>
      </c>
      <c r="K1343" s="12" t="s">
        <v>40</v>
      </c>
      <c r="L1343" s="15">
        <v>105</v>
      </c>
      <c r="M1343" s="25" t="s">
        <v>40</v>
      </c>
      <c r="N1343">
        <v>284</v>
      </c>
    </row>
    <row r="1344" spans="1:14">
      <c r="A1344" s="25">
        <f t="shared" si="129"/>
        <v>1341</v>
      </c>
      <c r="B1344" s="67" t="s">
        <v>17</v>
      </c>
      <c r="C1344" s="67" t="s">
        <v>915</v>
      </c>
      <c r="D1344" s="67" t="s">
        <v>748</v>
      </c>
      <c r="E1344" s="22">
        <f t="shared" ca="1" si="130"/>
        <v>40951</v>
      </c>
      <c r="F1344" s="11">
        <f>DATE(74,9,14)</f>
        <v>27286</v>
      </c>
      <c r="G1344" s="12">
        <f t="shared" ca="1" si="126"/>
        <v>38</v>
      </c>
      <c r="H1344" s="12">
        <f t="shared" ca="1" si="127"/>
        <v>-7</v>
      </c>
      <c r="I1344" s="13">
        <f t="shared" ca="1" si="128"/>
        <v>-2</v>
      </c>
      <c r="J1344" s="14">
        <f t="shared" ca="1" si="125"/>
        <v>37</v>
      </c>
      <c r="K1344" s="12" t="s">
        <v>41</v>
      </c>
      <c r="L1344" s="15">
        <v>105</v>
      </c>
      <c r="M1344" s="25" t="s">
        <v>40</v>
      </c>
      <c r="N1344">
        <v>284</v>
      </c>
    </row>
    <row r="1345" spans="1:14">
      <c r="A1345" s="25">
        <f t="shared" si="129"/>
        <v>1342</v>
      </c>
      <c r="B1345" s="67" t="s">
        <v>17</v>
      </c>
      <c r="C1345" s="67" t="s">
        <v>774</v>
      </c>
      <c r="D1345" s="67" t="s">
        <v>748</v>
      </c>
      <c r="E1345" s="22">
        <f t="shared" ca="1" si="130"/>
        <v>40951</v>
      </c>
      <c r="F1345" s="11">
        <f>DATE(98,7,30)</f>
        <v>36006</v>
      </c>
      <c r="G1345" s="12">
        <f t="shared" ca="1" si="126"/>
        <v>14</v>
      </c>
      <c r="H1345" s="12">
        <f t="shared" ca="1" si="127"/>
        <v>-5</v>
      </c>
      <c r="I1345" s="13">
        <f t="shared" ca="1" si="128"/>
        <v>-18</v>
      </c>
      <c r="J1345" s="14">
        <f t="shared" ca="1" si="125"/>
        <v>13</v>
      </c>
      <c r="K1345" s="12" t="s">
        <v>41</v>
      </c>
      <c r="L1345" s="15">
        <v>105</v>
      </c>
      <c r="M1345" s="25" t="s">
        <v>44</v>
      </c>
      <c r="N1345">
        <v>284</v>
      </c>
    </row>
    <row r="1346" spans="1:14">
      <c r="A1346" s="25">
        <f t="shared" si="129"/>
        <v>1343</v>
      </c>
      <c r="B1346" s="67" t="s">
        <v>17</v>
      </c>
      <c r="C1346" s="67" t="s">
        <v>303</v>
      </c>
      <c r="D1346" s="67" t="s">
        <v>748</v>
      </c>
      <c r="E1346" s="22">
        <f t="shared" ca="1" si="130"/>
        <v>40951</v>
      </c>
      <c r="F1346" s="11">
        <f>DATE(2001,12,28)</f>
        <v>37253</v>
      </c>
      <c r="G1346" s="12">
        <f t="shared" ca="1" si="126"/>
        <v>11</v>
      </c>
      <c r="H1346" s="12">
        <f t="shared" ca="1" si="127"/>
        <v>-10</v>
      </c>
      <c r="I1346" s="13">
        <f t="shared" ca="1" si="128"/>
        <v>-16</v>
      </c>
      <c r="J1346" s="14">
        <f t="shared" ca="1" si="125"/>
        <v>10</v>
      </c>
      <c r="K1346" s="12" t="s">
        <v>41</v>
      </c>
      <c r="L1346" s="15">
        <v>105</v>
      </c>
      <c r="M1346" s="25" t="s">
        <v>44</v>
      </c>
      <c r="N1346">
        <v>284</v>
      </c>
    </row>
    <row r="1347" spans="1:14" ht="15.75" thickBot="1">
      <c r="A1347" s="26">
        <f t="shared" si="129"/>
        <v>1344</v>
      </c>
      <c r="B1347" s="67" t="s">
        <v>17</v>
      </c>
      <c r="C1347" s="68" t="s">
        <v>827</v>
      </c>
      <c r="D1347" s="68" t="s">
        <v>748</v>
      </c>
      <c r="E1347" s="23">
        <f t="shared" ca="1" si="130"/>
        <v>40951</v>
      </c>
      <c r="F1347" s="16">
        <f>DATE(2006,9,8)</f>
        <v>38968</v>
      </c>
      <c r="G1347" s="17">
        <f t="shared" ca="1" si="126"/>
        <v>6</v>
      </c>
      <c r="H1347" s="17">
        <f t="shared" ca="1" si="127"/>
        <v>-7</v>
      </c>
      <c r="I1347" s="18">
        <f t="shared" ca="1" si="128"/>
        <v>4</v>
      </c>
      <c r="J1347" s="19">
        <f t="shared" ca="1" si="125"/>
        <v>5</v>
      </c>
      <c r="K1347" s="17" t="s">
        <v>40</v>
      </c>
      <c r="L1347" s="20">
        <v>105</v>
      </c>
      <c r="M1347" s="26" t="s">
        <v>44</v>
      </c>
      <c r="N1347">
        <v>284</v>
      </c>
    </row>
    <row r="1348" spans="1:14">
      <c r="A1348" s="25">
        <f t="shared" si="129"/>
        <v>1345</v>
      </c>
      <c r="B1348" s="67" t="s">
        <v>17</v>
      </c>
      <c r="C1348" s="67" t="s">
        <v>610</v>
      </c>
      <c r="D1348" s="67" t="s">
        <v>916</v>
      </c>
      <c r="E1348" s="22">
        <f t="shared" ca="1" si="130"/>
        <v>40951</v>
      </c>
      <c r="F1348" s="11">
        <f>DATE(63,2,12)</f>
        <v>23054</v>
      </c>
      <c r="G1348" s="12">
        <f t="shared" ca="1" si="126"/>
        <v>49</v>
      </c>
      <c r="H1348" s="12">
        <f t="shared" ca="1" si="127"/>
        <v>0</v>
      </c>
      <c r="I1348" s="13">
        <f t="shared" ca="1" si="128"/>
        <v>0</v>
      </c>
      <c r="J1348" s="14">
        <f t="shared" ref="J1348:J1411" ca="1" si="131">IF(H1348&lt;0,G1348-1,IF(H1348&gt;0,G1348,IF(I1348&lt;0,G1348-1,G1348)))</f>
        <v>49</v>
      </c>
      <c r="K1348" s="12" t="s">
        <v>40</v>
      </c>
      <c r="L1348" s="15">
        <v>106</v>
      </c>
      <c r="M1348" s="25" t="s">
        <v>40</v>
      </c>
      <c r="N1348">
        <v>285</v>
      </c>
    </row>
    <row r="1349" spans="1:14">
      <c r="A1349" s="25">
        <f t="shared" si="129"/>
        <v>1346</v>
      </c>
      <c r="B1349" s="67" t="s">
        <v>17</v>
      </c>
      <c r="C1349" s="67" t="s">
        <v>917</v>
      </c>
      <c r="D1349" s="67" t="s">
        <v>610</v>
      </c>
      <c r="E1349" s="22">
        <f t="shared" ca="1" si="130"/>
        <v>40951</v>
      </c>
      <c r="F1349" s="11">
        <f>DATE(69,9,16)</f>
        <v>25462</v>
      </c>
      <c r="G1349" s="12">
        <f t="shared" ca="1" si="126"/>
        <v>43</v>
      </c>
      <c r="H1349" s="12">
        <f t="shared" ca="1" si="127"/>
        <v>-7</v>
      </c>
      <c r="I1349" s="13">
        <f t="shared" ca="1" si="128"/>
        <v>-4</v>
      </c>
      <c r="J1349" s="14">
        <f t="shared" ca="1" si="131"/>
        <v>42</v>
      </c>
      <c r="K1349" s="12" t="s">
        <v>41</v>
      </c>
      <c r="L1349" s="15">
        <v>106</v>
      </c>
      <c r="M1349" s="25" t="s">
        <v>40</v>
      </c>
      <c r="N1349">
        <v>285</v>
      </c>
    </row>
    <row r="1350" spans="1:14" ht="15.75" thickBot="1">
      <c r="A1350" s="26">
        <f t="shared" si="129"/>
        <v>1347</v>
      </c>
      <c r="B1350" s="67" t="s">
        <v>17</v>
      </c>
      <c r="C1350" s="68" t="s">
        <v>73</v>
      </c>
      <c r="D1350" s="68" t="s">
        <v>610</v>
      </c>
      <c r="E1350" s="23">
        <f t="shared" ca="1" si="130"/>
        <v>40951</v>
      </c>
      <c r="F1350" s="16">
        <f>DATE(93,12,13)</f>
        <v>34316</v>
      </c>
      <c r="G1350" s="17">
        <f t="shared" ca="1" si="126"/>
        <v>19</v>
      </c>
      <c r="H1350" s="17">
        <f t="shared" ca="1" si="127"/>
        <v>-10</v>
      </c>
      <c r="I1350" s="18">
        <f t="shared" ca="1" si="128"/>
        <v>-1</v>
      </c>
      <c r="J1350" s="19">
        <f t="shared" ca="1" si="131"/>
        <v>18</v>
      </c>
      <c r="K1350" s="17" t="s">
        <v>41</v>
      </c>
      <c r="L1350" s="20">
        <v>106</v>
      </c>
      <c r="M1350" s="26" t="s">
        <v>44</v>
      </c>
      <c r="N1350">
        <v>285</v>
      </c>
    </row>
    <row r="1351" spans="1:14">
      <c r="A1351" s="25">
        <f t="shared" si="129"/>
        <v>1348</v>
      </c>
      <c r="B1351" s="67" t="s">
        <v>17</v>
      </c>
      <c r="C1351" s="67" t="s">
        <v>918</v>
      </c>
      <c r="D1351" s="67" t="s">
        <v>435</v>
      </c>
      <c r="E1351" s="22">
        <f t="shared" ca="1" si="130"/>
        <v>40951</v>
      </c>
      <c r="F1351" s="11">
        <f>DATE(40,3,18)</f>
        <v>14688</v>
      </c>
      <c r="G1351" s="12">
        <f t="shared" ca="1" si="126"/>
        <v>72</v>
      </c>
      <c r="H1351" s="12">
        <f t="shared" ca="1" si="127"/>
        <v>-1</v>
      </c>
      <c r="I1351" s="13">
        <f t="shared" ca="1" si="128"/>
        <v>-6</v>
      </c>
      <c r="J1351" s="14">
        <f t="shared" ca="1" si="131"/>
        <v>71</v>
      </c>
      <c r="K1351" s="12" t="s">
        <v>40</v>
      </c>
      <c r="L1351" s="15">
        <v>106</v>
      </c>
      <c r="M1351" s="25" t="s">
        <v>40</v>
      </c>
      <c r="N1351">
        <v>286</v>
      </c>
    </row>
    <row r="1352" spans="1:14">
      <c r="A1352" s="25">
        <f t="shared" si="129"/>
        <v>1349</v>
      </c>
      <c r="B1352" s="67" t="s">
        <v>17</v>
      </c>
      <c r="C1352" s="67" t="s">
        <v>111</v>
      </c>
      <c r="D1352" s="67" t="s">
        <v>918</v>
      </c>
      <c r="E1352" s="22">
        <f t="shared" ca="1" si="130"/>
        <v>40951</v>
      </c>
      <c r="F1352" s="11">
        <f>DATE(48,10,8)</f>
        <v>17814</v>
      </c>
      <c r="G1352" s="12">
        <f t="shared" ca="1" si="126"/>
        <v>64</v>
      </c>
      <c r="H1352" s="12">
        <f t="shared" ca="1" si="127"/>
        <v>-8</v>
      </c>
      <c r="I1352" s="13">
        <f t="shared" ca="1" si="128"/>
        <v>4</v>
      </c>
      <c r="J1352" s="14">
        <f t="shared" ca="1" si="131"/>
        <v>63</v>
      </c>
      <c r="K1352" s="12" t="s">
        <v>41</v>
      </c>
      <c r="L1352" s="15">
        <v>106</v>
      </c>
      <c r="M1352" s="25" t="s">
        <v>40</v>
      </c>
      <c r="N1352">
        <v>286</v>
      </c>
    </row>
    <row r="1353" spans="1:14">
      <c r="A1353" s="25">
        <f t="shared" si="129"/>
        <v>1350</v>
      </c>
      <c r="B1353" s="67" t="s">
        <v>17</v>
      </c>
      <c r="C1353" s="67" t="s">
        <v>919</v>
      </c>
      <c r="D1353" s="67" t="s">
        <v>918</v>
      </c>
      <c r="E1353" s="22">
        <f t="shared" ca="1" si="130"/>
        <v>40951</v>
      </c>
      <c r="F1353" s="11">
        <f>DATE(78,2,23)</f>
        <v>28544</v>
      </c>
      <c r="G1353" s="12">
        <f t="shared" ca="1" si="126"/>
        <v>34</v>
      </c>
      <c r="H1353" s="12">
        <f t="shared" ca="1" si="127"/>
        <v>0</v>
      </c>
      <c r="I1353" s="13">
        <f t="shared" ca="1" si="128"/>
        <v>-11</v>
      </c>
      <c r="J1353" s="14">
        <f t="shared" ca="1" si="131"/>
        <v>33</v>
      </c>
      <c r="K1353" s="12" t="s">
        <v>41</v>
      </c>
      <c r="L1353" s="15">
        <v>106</v>
      </c>
      <c r="M1353" s="25" t="s">
        <v>44</v>
      </c>
      <c r="N1353">
        <v>286</v>
      </c>
    </row>
    <row r="1354" spans="1:14">
      <c r="A1354" s="25">
        <f t="shared" si="129"/>
        <v>1351</v>
      </c>
      <c r="B1354" s="67" t="s">
        <v>17</v>
      </c>
      <c r="C1354" s="67" t="s">
        <v>920</v>
      </c>
      <c r="D1354" s="67" t="s">
        <v>918</v>
      </c>
      <c r="E1354" s="22">
        <f t="shared" ca="1" si="130"/>
        <v>40951</v>
      </c>
      <c r="F1354" s="11">
        <f>DATE(85,1,22)</f>
        <v>31069</v>
      </c>
      <c r="G1354" s="12">
        <f t="shared" ca="1" si="126"/>
        <v>27</v>
      </c>
      <c r="H1354" s="12">
        <f t="shared" ca="1" si="127"/>
        <v>1</v>
      </c>
      <c r="I1354" s="13">
        <f t="shared" ca="1" si="128"/>
        <v>-10</v>
      </c>
      <c r="J1354" s="14">
        <f t="shared" ca="1" si="131"/>
        <v>27</v>
      </c>
      <c r="K1354" s="12" t="s">
        <v>41</v>
      </c>
      <c r="L1354" s="15">
        <v>106</v>
      </c>
      <c r="M1354" s="25" t="s">
        <v>44</v>
      </c>
      <c r="N1354">
        <v>286</v>
      </c>
    </row>
    <row r="1355" spans="1:14" ht="15.75" thickBot="1">
      <c r="A1355" s="26">
        <f t="shared" si="129"/>
        <v>1352</v>
      </c>
      <c r="B1355" s="67" t="s">
        <v>17</v>
      </c>
      <c r="C1355" s="68" t="s">
        <v>565</v>
      </c>
      <c r="D1355" s="68" t="s">
        <v>918</v>
      </c>
      <c r="E1355" s="23">
        <f t="shared" ca="1" si="130"/>
        <v>40951</v>
      </c>
      <c r="F1355" s="16">
        <f>DATE(78,9,10)</f>
        <v>28743</v>
      </c>
      <c r="G1355" s="17">
        <f t="shared" ca="1" si="126"/>
        <v>34</v>
      </c>
      <c r="H1355" s="17">
        <f t="shared" ca="1" si="127"/>
        <v>-7</v>
      </c>
      <c r="I1355" s="18">
        <f t="shared" ca="1" si="128"/>
        <v>2</v>
      </c>
      <c r="J1355" s="19">
        <f t="shared" ca="1" si="131"/>
        <v>33</v>
      </c>
      <c r="K1355" s="17" t="s">
        <v>41</v>
      </c>
      <c r="L1355" s="20">
        <v>106</v>
      </c>
      <c r="M1355" s="26" t="s">
        <v>44</v>
      </c>
      <c r="N1355">
        <v>286</v>
      </c>
    </row>
    <row r="1356" spans="1:14">
      <c r="A1356" s="25">
        <f t="shared" si="129"/>
        <v>1353</v>
      </c>
      <c r="B1356" s="67" t="s">
        <v>17</v>
      </c>
      <c r="C1356" s="67" t="s">
        <v>157</v>
      </c>
      <c r="D1356" s="67" t="s">
        <v>425</v>
      </c>
      <c r="E1356" s="22">
        <f t="shared" ca="1" si="130"/>
        <v>40951</v>
      </c>
      <c r="F1356" s="11">
        <f>DATE(36,7,3)</f>
        <v>13334</v>
      </c>
      <c r="G1356" s="12">
        <f t="shared" ca="1" si="126"/>
        <v>76</v>
      </c>
      <c r="H1356" s="12">
        <f t="shared" ca="1" si="127"/>
        <v>-5</v>
      </c>
      <c r="I1356" s="13">
        <f t="shared" ca="1" si="128"/>
        <v>9</v>
      </c>
      <c r="J1356" s="14">
        <f t="shared" ca="1" si="131"/>
        <v>75</v>
      </c>
      <c r="K1356" s="12" t="s">
        <v>40</v>
      </c>
      <c r="L1356" s="15">
        <v>106</v>
      </c>
      <c r="M1356" s="25" t="s">
        <v>40</v>
      </c>
      <c r="N1356">
        <v>287</v>
      </c>
    </row>
    <row r="1357" spans="1:14">
      <c r="A1357" s="25">
        <f t="shared" si="129"/>
        <v>1354</v>
      </c>
      <c r="B1357" s="67" t="s">
        <v>17</v>
      </c>
      <c r="C1357" s="67" t="s">
        <v>921</v>
      </c>
      <c r="D1357" s="67" t="s">
        <v>899</v>
      </c>
      <c r="E1357" s="22">
        <f t="shared" ca="1" si="130"/>
        <v>40951</v>
      </c>
      <c r="F1357" s="11">
        <f>DATE(40,2,15)</f>
        <v>14656</v>
      </c>
      <c r="G1357" s="12">
        <f t="shared" ca="1" si="126"/>
        <v>72</v>
      </c>
      <c r="H1357" s="12">
        <f t="shared" ca="1" si="127"/>
        <v>0</v>
      </c>
      <c r="I1357" s="13">
        <f t="shared" ca="1" si="128"/>
        <v>-3</v>
      </c>
      <c r="J1357" s="14">
        <f t="shared" ca="1" si="131"/>
        <v>71</v>
      </c>
      <c r="K1357" s="12" t="s">
        <v>41</v>
      </c>
      <c r="L1357" s="15">
        <v>106</v>
      </c>
      <c r="M1357" s="25" t="s">
        <v>40</v>
      </c>
      <c r="N1357">
        <v>287</v>
      </c>
    </row>
    <row r="1358" spans="1:14">
      <c r="A1358" s="25">
        <f t="shared" si="129"/>
        <v>1355</v>
      </c>
      <c r="B1358" s="67" t="s">
        <v>17</v>
      </c>
      <c r="C1358" s="67" t="s">
        <v>181</v>
      </c>
      <c r="D1358" s="67" t="s">
        <v>899</v>
      </c>
      <c r="E1358" s="22">
        <f t="shared" ca="1" si="130"/>
        <v>40951</v>
      </c>
      <c r="F1358" s="11">
        <f>DATE(67,12,11)</f>
        <v>24817</v>
      </c>
      <c r="G1358" s="12">
        <f t="shared" ca="1" si="126"/>
        <v>45</v>
      </c>
      <c r="H1358" s="12">
        <f t="shared" ca="1" si="127"/>
        <v>-10</v>
      </c>
      <c r="I1358" s="13">
        <f t="shared" ca="1" si="128"/>
        <v>1</v>
      </c>
      <c r="J1358" s="14">
        <f t="shared" ca="1" si="131"/>
        <v>44</v>
      </c>
      <c r="K1358" s="12" t="s">
        <v>40</v>
      </c>
      <c r="L1358" s="15">
        <v>106</v>
      </c>
      <c r="M1358" s="25" t="s">
        <v>40</v>
      </c>
      <c r="N1358">
        <v>287</v>
      </c>
    </row>
    <row r="1359" spans="1:14">
      <c r="A1359" s="25">
        <f t="shared" si="129"/>
        <v>1356</v>
      </c>
      <c r="B1359" s="67" t="s">
        <v>17</v>
      </c>
      <c r="C1359" s="67" t="s">
        <v>800</v>
      </c>
      <c r="D1359" s="67" t="s">
        <v>181</v>
      </c>
      <c r="E1359" s="22">
        <f t="shared" ca="1" si="130"/>
        <v>40951</v>
      </c>
      <c r="F1359" s="11">
        <f>DATE(68,2,10)</f>
        <v>24878</v>
      </c>
      <c r="G1359" s="12">
        <f t="shared" ca="1" si="126"/>
        <v>44</v>
      </c>
      <c r="H1359" s="12">
        <f t="shared" ca="1" si="127"/>
        <v>0</v>
      </c>
      <c r="I1359" s="13">
        <f t="shared" ca="1" si="128"/>
        <v>2</v>
      </c>
      <c r="J1359" s="14">
        <f t="shared" ca="1" si="131"/>
        <v>44</v>
      </c>
      <c r="K1359" s="12" t="s">
        <v>41</v>
      </c>
      <c r="L1359" s="15">
        <v>106</v>
      </c>
      <c r="M1359" s="25" t="s">
        <v>40</v>
      </c>
      <c r="N1359">
        <v>287</v>
      </c>
    </row>
    <row r="1360" spans="1:14" ht="15.75" thickBot="1">
      <c r="A1360" s="26">
        <f t="shared" si="129"/>
        <v>1357</v>
      </c>
      <c r="B1360" s="67" t="s">
        <v>17</v>
      </c>
      <c r="C1360" s="68" t="s">
        <v>583</v>
      </c>
      <c r="D1360" s="68" t="s">
        <v>181</v>
      </c>
      <c r="E1360" s="23">
        <f t="shared" ca="1" si="130"/>
        <v>40951</v>
      </c>
      <c r="F1360" s="16">
        <f>DATE(92,10,22)</f>
        <v>33899</v>
      </c>
      <c r="G1360" s="17">
        <f t="shared" ca="1" si="126"/>
        <v>20</v>
      </c>
      <c r="H1360" s="17">
        <f t="shared" ca="1" si="127"/>
        <v>-8</v>
      </c>
      <c r="I1360" s="18">
        <f t="shared" ca="1" si="128"/>
        <v>-10</v>
      </c>
      <c r="J1360" s="19">
        <f t="shared" ca="1" si="131"/>
        <v>19</v>
      </c>
      <c r="K1360" s="17" t="s">
        <v>40</v>
      </c>
      <c r="L1360" s="20">
        <v>106</v>
      </c>
      <c r="M1360" s="26" t="s">
        <v>44</v>
      </c>
      <c r="N1360">
        <v>287</v>
      </c>
    </row>
    <row r="1361" spans="1:14">
      <c r="A1361" s="25">
        <f t="shared" si="129"/>
        <v>1358</v>
      </c>
      <c r="B1361" s="67" t="s">
        <v>17</v>
      </c>
      <c r="C1361" s="67" t="s">
        <v>922</v>
      </c>
      <c r="D1361" s="67" t="s">
        <v>923</v>
      </c>
      <c r="E1361" s="22">
        <f t="shared" ca="1" si="130"/>
        <v>40951</v>
      </c>
      <c r="F1361" s="11">
        <f>DATE(61,10,9)</f>
        <v>22563</v>
      </c>
      <c r="G1361" s="12">
        <f t="shared" ca="1" si="126"/>
        <v>51</v>
      </c>
      <c r="H1361" s="12">
        <f t="shared" ca="1" si="127"/>
        <v>-8</v>
      </c>
      <c r="I1361" s="13">
        <f t="shared" ca="1" si="128"/>
        <v>3</v>
      </c>
      <c r="J1361" s="14">
        <f t="shared" ca="1" si="131"/>
        <v>50</v>
      </c>
      <c r="K1361" s="12" t="s">
        <v>40</v>
      </c>
      <c r="L1361" s="15">
        <v>107</v>
      </c>
      <c r="M1361" s="25" t="s">
        <v>40</v>
      </c>
      <c r="N1361">
        <v>288</v>
      </c>
    </row>
    <row r="1362" spans="1:14">
      <c r="A1362" s="25">
        <f t="shared" si="129"/>
        <v>1359</v>
      </c>
      <c r="B1362" s="67" t="s">
        <v>17</v>
      </c>
      <c r="C1362" s="67" t="s">
        <v>924</v>
      </c>
      <c r="D1362" s="67" t="s">
        <v>922</v>
      </c>
      <c r="E1362" s="22">
        <f t="shared" ca="1" si="130"/>
        <v>40951</v>
      </c>
      <c r="F1362" s="11">
        <f>DATE(66,4,15)</f>
        <v>24212</v>
      </c>
      <c r="G1362" s="12">
        <f t="shared" ca="1" si="126"/>
        <v>46</v>
      </c>
      <c r="H1362" s="12">
        <f t="shared" ca="1" si="127"/>
        <v>-2</v>
      </c>
      <c r="I1362" s="13">
        <f t="shared" ca="1" si="128"/>
        <v>-3</v>
      </c>
      <c r="J1362" s="14">
        <f t="shared" ca="1" si="131"/>
        <v>45</v>
      </c>
      <c r="K1362" s="12" t="s">
        <v>41</v>
      </c>
      <c r="L1362" s="15">
        <v>107</v>
      </c>
      <c r="M1362" s="25" t="s">
        <v>40</v>
      </c>
      <c r="N1362">
        <v>288</v>
      </c>
    </row>
    <row r="1363" spans="1:14">
      <c r="A1363" s="25">
        <f t="shared" si="129"/>
        <v>1360</v>
      </c>
      <c r="B1363" s="67" t="s">
        <v>17</v>
      </c>
      <c r="C1363" s="67" t="s">
        <v>432</v>
      </c>
      <c r="D1363" s="67" t="s">
        <v>922</v>
      </c>
      <c r="E1363" s="22">
        <f t="shared" ca="1" si="130"/>
        <v>40951</v>
      </c>
      <c r="F1363" s="11">
        <f>DATE(91,1,12)</f>
        <v>33250</v>
      </c>
      <c r="G1363" s="12">
        <f t="shared" ca="1" si="126"/>
        <v>21</v>
      </c>
      <c r="H1363" s="12">
        <f t="shared" ca="1" si="127"/>
        <v>1</v>
      </c>
      <c r="I1363" s="13">
        <f t="shared" ca="1" si="128"/>
        <v>0</v>
      </c>
      <c r="J1363" s="14">
        <f t="shared" ca="1" si="131"/>
        <v>21</v>
      </c>
      <c r="K1363" s="12" t="s">
        <v>40</v>
      </c>
      <c r="L1363" s="15">
        <v>107</v>
      </c>
      <c r="M1363" s="25" t="s">
        <v>44</v>
      </c>
      <c r="N1363">
        <v>288</v>
      </c>
    </row>
    <row r="1364" spans="1:14">
      <c r="A1364" s="25">
        <f t="shared" si="129"/>
        <v>1361</v>
      </c>
      <c r="B1364" s="67" t="s">
        <v>17</v>
      </c>
      <c r="C1364" s="67" t="s">
        <v>571</v>
      </c>
      <c r="D1364" s="67" t="s">
        <v>922</v>
      </c>
      <c r="E1364" s="22">
        <f t="shared" ca="1" si="130"/>
        <v>40951</v>
      </c>
      <c r="F1364" s="11">
        <f>DATE(94,12,7)</f>
        <v>34675</v>
      </c>
      <c r="G1364" s="12">
        <f t="shared" ca="1" si="126"/>
        <v>18</v>
      </c>
      <c r="H1364" s="12">
        <f t="shared" ca="1" si="127"/>
        <v>-10</v>
      </c>
      <c r="I1364" s="13">
        <f t="shared" ca="1" si="128"/>
        <v>5</v>
      </c>
      <c r="J1364" s="14">
        <f t="shared" ca="1" si="131"/>
        <v>17</v>
      </c>
      <c r="K1364" s="12" t="s">
        <v>40</v>
      </c>
      <c r="L1364" s="15">
        <v>107</v>
      </c>
      <c r="M1364" s="25" t="s">
        <v>44</v>
      </c>
      <c r="N1364">
        <v>288</v>
      </c>
    </row>
    <row r="1365" spans="1:14" ht="15.75" thickBot="1">
      <c r="A1365" s="26">
        <f t="shared" si="129"/>
        <v>1362</v>
      </c>
      <c r="B1365" s="67" t="s">
        <v>17</v>
      </c>
      <c r="C1365" s="68" t="s">
        <v>106</v>
      </c>
      <c r="D1365" s="68" t="s">
        <v>922</v>
      </c>
      <c r="E1365" s="23">
        <f t="shared" ca="1" si="130"/>
        <v>40951</v>
      </c>
      <c r="F1365" s="16">
        <f>DATE(91,10,20)</f>
        <v>33531</v>
      </c>
      <c r="G1365" s="17">
        <f t="shared" ca="1" si="126"/>
        <v>21</v>
      </c>
      <c r="H1365" s="17">
        <f t="shared" ca="1" si="127"/>
        <v>-8</v>
      </c>
      <c r="I1365" s="18">
        <f t="shared" ca="1" si="128"/>
        <v>-8</v>
      </c>
      <c r="J1365" s="19">
        <f t="shared" ca="1" si="131"/>
        <v>20</v>
      </c>
      <c r="K1365" s="17" t="s">
        <v>40</v>
      </c>
      <c r="L1365" s="20">
        <v>107</v>
      </c>
      <c r="M1365" s="26" t="s">
        <v>44</v>
      </c>
      <c r="N1365">
        <v>288</v>
      </c>
    </row>
    <row r="1366" spans="1:14">
      <c r="A1366" s="25">
        <f t="shared" si="129"/>
        <v>1363</v>
      </c>
      <c r="B1366" s="67" t="s">
        <v>17</v>
      </c>
      <c r="C1366" s="67" t="s">
        <v>109</v>
      </c>
      <c r="D1366" s="67" t="s">
        <v>923</v>
      </c>
      <c r="E1366" s="22">
        <f t="shared" ca="1" si="130"/>
        <v>40951</v>
      </c>
      <c r="F1366" s="11">
        <f>DATE(53,9,21)</f>
        <v>19623</v>
      </c>
      <c r="G1366" s="12">
        <f t="shared" ca="1" si="126"/>
        <v>59</v>
      </c>
      <c r="H1366" s="12">
        <f t="shared" ca="1" si="127"/>
        <v>-7</v>
      </c>
      <c r="I1366" s="13">
        <f t="shared" ca="1" si="128"/>
        <v>-9</v>
      </c>
      <c r="J1366" s="14">
        <f t="shared" ca="1" si="131"/>
        <v>58</v>
      </c>
      <c r="K1366" s="12" t="s">
        <v>40</v>
      </c>
      <c r="L1366" s="15">
        <v>107</v>
      </c>
      <c r="M1366" s="25" t="s">
        <v>40</v>
      </c>
      <c r="N1366">
        <v>289</v>
      </c>
    </row>
    <row r="1367" spans="1:14">
      <c r="A1367" s="25">
        <f t="shared" si="129"/>
        <v>1364</v>
      </c>
      <c r="B1367" s="67" t="s">
        <v>17</v>
      </c>
      <c r="C1367" s="67" t="s">
        <v>925</v>
      </c>
      <c r="D1367" s="67" t="s">
        <v>109</v>
      </c>
      <c r="E1367" s="22">
        <f t="shared" ca="1" si="130"/>
        <v>40951</v>
      </c>
      <c r="F1367" s="11">
        <f>DATE(59,7,14)</f>
        <v>21745</v>
      </c>
      <c r="G1367" s="12">
        <f t="shared" ca="1" si="126"/>
        <v>53</v>
      </c>
      <c r="H1367" s="12">
        <f t="shared" ca="1" si="127"/>
        <v>-5</v>
      </c>
      <c r="I1367" s="13">
        <f t="shared" ca="1" si="128"/>
        <v>-2</v>
      </c>
      <c r="J1367" s="14">
        <f t="shared" ca="1" si="131"/>
        <v>52</v>
      </c>
      <c r="K1367" s="12" t="s">
        <v>41</v>
      </c>
      <c r="L1367" s="15">
        <v>107</v>
      </c>
      <c r="M1367" s="25" t="s">
        <v>40</v>
      </c>
      <c r="N1367">
        <v>289</v>
      </c>
    </row>
    <row r="1368" spans="1:14">
      <c r="A1368" s="25">
        <f t="shared" si="129"/>
        <v>1365</v>
      </c>
      <c r="B1368" s="67" t="s">
        <v>17</v>
      </c>
      <c r="C1368" s="67" t="s">
        <v>125</v>
      </c>
      <c r="D1368" s="67" t="s">
        <v>109</v>
      </c>
      <c r="E1368" s="22">
        <f t="shared" ca="1" si="130"/>
        <v>40951</v>
      </c>
      <c r="F1368" s="11">
        <f>DATE(85,9,19)</f>
        <v>31309</v>
      </c>
      <c r="G1368" s="12">
        <f t="shared" ca="1" si="126"/>
        <v>27</v>
      </c>
      <c r="H1368" s="12">
        <f t="shared" ca="1" si="127"/>
        <v>-7</v>
      </c>
      <c r="I1368" s="13">
        <f t="shared" ca="1" si="128"/>
        <v>-7</v>
      </c>
      <c r="J1368" s="14">
        <f t="shared" ca="1" si="131"/>
        <v>26</v>
      </c>
      <c r="K1368" s="12" t="s">
        <v>41</v>
      </c>
      <c r="L1368" s="15">
        <v>107</v>
      </c>
      <c r="M1368" s="25" t="s">
        <v>44</v>
      </c>
      <c r="N1368">
        <v>289</v>
      </c>
    </row>
    <row r="1369" spans="1:14" ht="15.75" thickBot="1">
      <c r="A1369" s="26">
        <f t="shared" si="129"/>
        <v>1366</v>
      </c>
      <c r="B1369" s="67" t="s">
        <v>17</v>
      </c>
      <c r="C1369" s="68" t="s">
        <v>839</v>
      </c>
      <c r="D1369" s="68" t="s">
        <v>109</v>
      </c>
      <c r="E1369" s="23">
        <f t="shared" ca="1" si="130"/>
        <v>40951</v>
      </c>
      <c r="F1369" s="16">
        <f>DATE(93,11,27)</f>
        <v>34300</v>
      </c>
      <c r="G1369" s="17">
        <f t="shared" ca="1" si="126"/>
        <v>19</v>
      </c>
      <c r="H1369" s="17">
        <f t="shared" ca="1" si="127"/>
        <v>-9</v>
      </c>
      <c r="I1369" s="18">
        <f t="shared" ca="1" si="128"/>
        <v>-15</v>
      </c>
      <c r="J1369" s="19">
        <f t="shared" ca="1" si="131"/>
        <v>18</v>
      </c>
      <c r="K1369" s="17" t="s">
        <v>40</v>
      </c>
      <c r="L1369" s="20">
        <v>107</v>
      </c>
      <c r="M1369" s="26" t="s">
        <v>44</v>
      </c>
      <c r="N1369">
        <v>289</v>
      </c>
    </row>
    <row r="1370" spans="1:14">
      <c r="A1370" s="25">
        <f t="shared" si="129"/>
        <v>1367</v>
      </c>
      <c r="B1370" s="67" t="s">
        <v>17</v>
      </c>
      <c r="C1370" s="67" t="s">
        <v>266</v>
      </c>
      <c r="D1370" s="67" t="s">
        <v>573</v>
      </c>
      <c r="E1370" s="22">
        <f t="shared" ca="1" si="130"/>
        <v>40951</v>
      </c>
      <c r="F1370" s="11">
        <f>DATE(51,11,9)</f>
        <v>18941</v>
      </c>
      <c r="G1370" s="12">
        <f t="shared" ref="G1370:G1433" ca="1" si="132">YEAR(E1370)-YEAR(F1370)</f>
        <v>61</v>
      </c>
      <c r="H1370" s="12">
        <f t="shared" ref="H1370:H1433" ca="1" si="133">MONTH(E1370)-MONTH(F1370)</f>
        <v>-9</v>
      </c>
      <c r="I1370" s="13">
        <f t="shared" ref="I1370:I1433" ca="1" si="134">DAY(E1370)-DAY(F1370)</f>
        <v>3</v>
      </c>
      <c r="J1370" s="14">
        <f t="shared" ca="1" si="131"/>
        <v>60</v>
      </c>
      <c r="K1370" s="12" t="s">
        <v>40</v>
      </c>
      <c r="L1370" s="15">
        <v>107</v>
      </c>
      <c r="M1370" s="25" t="s">
        <v>40</v>
      </c>
      <c r="N1370">
        <v>290</v>
      </c>
    </row>
    <row r="1371" spans="1:14">
      <c r="A1371" s="25">
        <f t="shared" si="129"/>
        <v>1368</v>
      </c>
      <c r="B1371" s="67" t="s">
        <v>17</v>
      </c>
      <c r="C1371" s="67" t="s">
        <v>926</v>
      </c>
      <c r="D1371" s="67" t="s">
        <v>266</v>
      </c>
      <c r="E1371" s="22">
        <f t="shared" ca="1" si="130"/>
        <v>40951</v>
      </c>
      <c r="F1371" s="11">
        <f>DATE(54,5,25)</f>
        <v>19869</v>
      </c>
      <c r="G1371" s="12">
        <f t="shared" ca="1" si="132"/>
        <v>58</v>
      </c>
      <c r="H1371" s="12">
        <f t="shared" ca="1" si="133"/>
        <v>-3</v>
      </c>
      <c r="I1371" s="13">
        <f t="shared" ca="1" si="134"/>
        <v>-13</v>
      </c>
      <c r="J1371" s="14">
        <f t="shared" ca="1" si="131"/>
        <v>57</v>
      </c>
      <c r="K1371" s="12" t="s">
        <v>41</v>
      </c>
      <c r="L1371" s="15">
        <v>107</v>
      </c>
      <c r="M1371" s="25" t="s">
        <v>40</v>
      </c>
      <c r="N1371">
        <v>290</v>
      </c>
    </row>
    <row r="1372" spans="1:14">
      <c r="A1372" s="25">
        <f t="shared" si="129"/>
        <v>1369</v>
      </c>
      <c r="B1372" s="67" t="s">
        <v>17</v>
      </c>
      <c r="C1372" s="67" t="s">
        <v>305</v>
      </c>
      <c r="D1372" s="67" t="s">
        <v>266</v>
      </c>
      <c r="E1372" s="22">
        <f t="shared" ca="1" si="130"/>
        <v>40951</v>
      </c>
      <c r="F1372" s="11">
        <f>DATE(78,10,11)</f>
        <v>28774</v>
      </c>
      <c r="G1372" s="12">
        <f t="shared" ca="1" si="132"/>
        <v>34</v>
      </c>
      <c r="H1372" s="12">
        <f t="shared" ca="1" si="133"/>
        <v>-8</v>
      </c>
      <c r="I1372" s="13">
        <f t="shared" ca="1" si="134"/>
        <v>1</v>
      </c>
      <c r="J1372" s="14">
        <f t="shared" ca="1" si="131"/>
        <v>33</v>
      </c>
      <c r="K1372" s="12" t="s">
        <v>40</v>
      </c>
      <c r="L1372" s="15">
        <v>107</v>
      </c>
      <c r="M1372" s="25" t="s">
        <v>40</v>
      </c>
      <c r="N1372">
        <v>290</v>
      </c>
    </row>
    <row r="1373" spans="1:14">
      <c r="A1373" s="25">
        <f t="shared" si="129"/>
        <v>1370</v>
      </c>
      <c r="B1373" s="67" t="s">
        <v>17</v>
      </c>
      <c r="C1373" s="67" t="s">
        <v>165</v>
      </c>
      <c r="D1373" s="67" t="s">
        <v>305</v>
      </c>
      <c r="E1373" s="22">
        <f t="shared" ca="1" si="130"/>
        <v>40951</v>
      </c>
      <c r="F1373" s="11">
        <f>DATE(82,2,27)</f>
        <v>30009</v>
      </c>
      <c r="G1373" s="12">
        <f t="shared" ca="1" si="132"/>
        <v>30</v>
      </c>
      <c r="H1373" s="12">
        <f t="shared" ca="1" si="133"/>
        <v>0</v>
      </c>
      <c r="I1373" s="13">
        <f t="shared" ca="1" si="134"/>
        <v>-15</v>
      </c>
      <c r="J1373" s="14">
        <f t="shared" ca="1" si="131"/>
        <v>29</v>
      </c>
      <c r="K1373" s="12" t="s">
        <v>41</v>
      </c>
      <c r="L1373" s="15">
        <v>107</v>
      </c>
      <c r="M1373" s="25" t="s">
        <v>40</v>
      </c>
      <c r="N1373">
        <v>290</v>
      </c>
    </row>
    <row r="1374" spans="1:14" ht="15.75" thickBot="1">
      <c r="A1374" s="26">
        <f t="shared" ref="A1374:A1437" si="135">A1373+1</f>
        <v>1371</v>
      </c>
      <c r="B1374" s="67" t="s">
        <v>17</v>
      </c>
      <c r="C1374" s="68" t="s">
        <v>531</v>
      </c>
      <c r="D1374" s="68" t="s">
        <v>305</v>
      </c>
      <c r="E1374" s="23">
        <f t="shared" ca="1" si="130"/>
        <v>40951</v>
      </c>
      <c r="F1374" s="16">
        <f>DATE(2006,8,1)</f>
        <v>38930</v>
      </c>
      <c r="G1374" s="17">
        <f t="shared" ca="1" si="132"/>
        <v>6</v>
      </c>
      <c r="H1374" s="17">
        <f t="shared" ca="1" si="133"/>
        <v>-6</v>
      </c>
      <c r="I1374" s="18">
        <f t="shared" ca="1" si="134"/>
        <v>11</v>
      </c>
      <c r="J1374" s="19">
        <f t="shared" ca="1" si="131"/>
        <v>5</v>
      </c>
      <c r="K1374" s="17" t="s">
        <v>40</v>
      </c>
      <c r="L1374" s="20">
        <v>107</v>
      </c>
      <c r="M1374" s="26" t="s">
        <v>44</v>
      </c>
      <c r="N1374">
        <v>290</v>
      </c>
    </row>
    <row r="1375" spans="1:14">
      <c r="A1375" s="25">
        <f t="shared" si="135"/>
        <v>1372</v>
      </c>
      <c r="B1375" s="67" t="s">
        <v>18</v>
      </c>
      <c r="C1375" s="67" t="s">
        <v>315</v>
      </c>
      <c r="D1375" s="67" t="s">
        <v>435</v>
      </c>
      <c r="E1375" s="22">
        <f t="shared" ca="1" si="130"/>
        <v>40951</v>
      </c>
      <c r="F1375" s="11">
        <f>DATE(55,12,5)</f>
        <v>20428</v>
      </c>
      <c r="G1375" s="12">
        <f t="shared" ca="1" si="132"/>
        <v>57</v>
      </c>
      <c r="H1375" s="12">
        <f t="shared" ca="1" si="133"/>
        <v>-10</v>
      </c>
      <c r="I1375" s="13">
        <f t="shared" ca="1" si="134"/>
        <v>7</v>
      </c>
      <c r="J1375" s="14">
        <f t="shared" ca="1" si="131"/>
        <v>56</v>
      </c>
      <c r="K1375" s="12" t="s">
        <v>40</v>
      </c>
      <c r="L1375" s="15">
        <v>108</v>
      </c>
      <c r="M1375" s="25" t="s">
        <v>40</v>
      </c>
      <c r="N1375">
        <v>291</v>
      </c>
    </row>
    <row r="1376" spans="1:14">
      <c r="A1376" s="25">
        <f t="shared" si="135"/>
        <v>1373</v>
      </c>
      <c r="B1376" s="67" t="s">
        <v>18</v>
      </c>
      <c r="C1376" s="67" t="s">
        <v>83</v>
      </c>
      <c r="D1376" s="67" t="s">
        <v>315</v>
      </c>
      <c r="E1376" s="22">
        <f t="shared" ca="1" si="130"/>
        <v>40951</v>
      </c>
      <c r="F1376" s="11">
        <f>DATE(61,12,12)</f>
        <v>22627</v>
      </c>
      <c r="G1376" s="12">
        <f t="shared" ca="1" si="132"/>
        <v>51</v>
      </c>
      <c r="H1376" s="12">
        <f t="shared" ca="1" si="133"/>
        <v>-10</v>
      </c>
      <c r="I1376" s="13">
        <f t="shared" ca="1" si="134"/>
        <v>0</v>
      </c>
      <c r="J1376" s="14">
        <f t="shared" ca="1" si="131"/>
        <v>50</v>
      </c>
      <c r="K1376" s="12" t="s">
        <v>41</v>
      </c>
      <c r="L1376" s="15">
        <v>108</v>
      </c>
      <c r="M1376" s="25" t="s">
        <v>40</v>
      </c>
      <c r="N1376">
        <v>291</v>
      </c>
    </row>
    <row r="1377" spans="1:14">
      <c r="A1377" s="25">
        <f t="shared" si="135"/>
        <v>1374</v>
      </c>
      <c r="B1377" s="67" t="s">
        <v>18</v>
      </c>
      <c r="C1377" s="67" t="s">
        <v>927</v>
      </c>
      <c r="D1377" s="67" t="s">
        <v>315</v>
      </c>
      <c r="E1377" s="22">
        <f t="shared" ca="1" si="130"/>
        <v>40951</v>
      </c>
      <c r="F1377" s="11">
        <f>DATE(79,8,18)</f>
        <v>29085</v>
      </c>
      <c r="G1377" s="12">
        <f t="shared" ca="1" si="132"/>
        <v>33</v>
      </c>
      <c r="H1377" s="12">
        <f t="shared" ca="1" si="133"/>
        <v>-6</v>
      </c>
      <c r="I1377" s="13">
        <f t="shared" ca="1" si="134"/>
        <v>-6</v>
      </c>
      <c r="J1377" s="14">
        <f t="shared" ca="1" si="131"/>
        <v>32</v>
      </c>
      <c r="K1377" s="12" t="s">
        <v>40</v>
      </c>
      <c r="L1377" s="15">
        <v>108</v>
      </c>
      <c r="M1377" s="25" t="s">
        <v>40</v>
      </c>
      <c r="N1377">
        <v>291</v>
      </c>
    </row>
    <row r="1378" spans="1:14">
      <c r="A1378" s="25">
        <f t="shared" si="135"/>
        <v>1375</v>
      </c>
      <c r="B1378" s="67" t="s">
        <v>18</v>
      </c>
      <c r="C1378" s="67" t="s">
        <v>530</v>
      </c>
      <c r="D1378" s="67" t="s">
        <v>927</v>
      </c>
      <c r="E1378" s="22">
        <f t="shared" ca="1" si="130"/>
        <v>40951</v>
      </c>
      <c r="F1378" s="11">
        <f>DATE(81,5,6)</f>
        <v>29712</v>
      </c>
      <c r="G1378" s="12">
        <f t="shared" ca="1" si="132"/>
        <v>31</v>
      </c>
      <c r="H1378" s="12">
        <f t="shared" ca="1" si="133"/>
        <v>-3</v>
      </c>
      <c r="I1378" s="13">
        <f t="shared" ca="1" si="134"/>
        <v>6</v>
      </c>
      <c r="J1378" s="14">
        <f t="shared" ca="1" si="131"/>
        <v>30</v>
      </c>
      <c r="K1378" s="12" t="s">
        <v>41</v>
      </c>
      <c r="L1378" s="15">
        <v>108</v>
      </c>
      <c r="M1378" s="25" t="s">
        <v>40</v>
      </c>
      <c r="N1378">
        <v>291</v>
      </c>
    </row>
    <row r="1379" spans="1:14">
      <c r="A1379" s="25">
        <f t="shared" si="135"/>
        <v>1376</v>
      </c>
      <c r="B1379" s="67" t="s">
        <v>18</v>
      </c>
      <c r="C1379" s="67" t="s">
        <v>928</v>
      </c>
      <c r="D1379" s="67" t="s">
        <v>315</v>
      </c>
      <c r="E1379" s="22">
        <f t="shared" ca="1" si="130"/>
        <v>40951</v>
      </c>
      <c r="F1379" s="11">
        <f>DATE(81,9,16)</f>
        <v>29845</v>
      </c>
      <c r="G1379" s="12">
        <f t="shared" ca="1" si="132"/>
        <v>31</v>
      </c>
      <c r="H1379" s="12">
        <f t="shared" ca="1" si="133"/>
        <v>-7</v>
      </c>
      <c r="I1379" s="13">
        <f t="shared" ca="1" si="134"/>
        <v>-4</v>
      </c>
      <c r="J1379" s="14">
        <f t="shared" ca="1" si="131"/>
        <v>30</v>
      </c>
      <c r="K1379" s="12" t="s">
        <v>40</v>
      </c>
      <c r="L1379" s="15">
        <v>108</v>
      </c>
      <c r="M1379" s="25" t="s">
        <v>44</v>
      </c>
      <c r="N1379">
        <v>291</v>
      </c>
    </row>
    <row r="1380" spans="1:14" ht="15.75" thickBot="1">
      <c r="A1380" s="26">
        <f t="shared" si="135"/>
        <v>1377</v>
      </c>
      <c r="B1380" s="68" t="s">
        <v>18</v>
      </c>
      <c r="C1380" s="68" t="s">
        <v>929</v>
      </c>
      <c r="D1380" s="68" t="s">
        <v>315</v>
      </c>
      <c r="E1380" s="23">
        <f t="shared" ref="E1380:E1443" ca="1" si="136">TODAY()</f>
        <v>40951</v>
      </c>
      <c r="F1380" s="16">
        <f>DATE(2004,8,20)</f>
        <v>38219</v>
      </c>
      <c r="G1380" s="17">
        <f t="shared" ca="1" si="132"/>
        <v>8</v>
      </c>
      <c r="H1380" s="17">
        <f t="shared" ca="1" si="133"/>
        <v>-6</v>
      </c>
      <c r="I1380" s="18">
        <f t="shared" ca="1" si="134"/>
        <v>-8</v>
      </c>
      <c r="J1380" s="19">
        <f t="shared" ca="1" si="131"/>
        <v>7</v>
      </c>
      <c r="K1380" s="17" t="s">
        <v>41</v>
      </c>
      <c r="L1380" s="20">
        <v>108</v>
      </c>
      <c r="M1380" s="26" t="s">
        <v>44</v>
      </c>
      <c r="N1380">
        <v>291</v>
      </c>
    </row>
    <row r="1381" spans="1:14">
      <c r="A1381" s="25">
        <f t="shared" si="135"/>
        <v>1378</v>
      </c>
      <c r="B1381" s="67" t="s">
        <v>18</v>
      </c>
      <c r="C1381" s="67" t="s">
        <v>930</v>
      </c>
      <c r="D1381" s="67" t="s">
        <v>358</v>
      </c>
      <c r="E1381" s="22">
        <f t="shared" ca="1" si="136"/>
        <v>40951</v>
      </c>
      <c r="F1381" s="11">
        <f>DATE(60,6,26)</f>
        <v>22093</v>
      </c>
      <c r="G1381" s="12">
        <f t="shared" ca="1" si="132"/>
        <v>52</v>
      </c>
      <c r="H1381" s="12">
        <f t="shared" ca="1" si="133"/>
        <v>-4</v>
      </c>
      <c r="I1381" s="13">
        <f t="shared" ca="1" si="134"/>
        <v>-14</v>
      </c>
      <c r="J1381" s="14">
        <f t="shared" ca="1" si="131"/>
        <v>51</v>
      </c>
      <c r="K1381" s="12" t="s">
        <v>40</v>
      </c>
      <c r="L1381" s="15">
        <v>108</v>
      </c>
      <c r="M1381" s="25" t="s">
        <v>40</v>
      </c>
      <c r="N1381">
        <v>292</v>
      </c>
    </row>
    <row r="1382" spans="1:14">
      <c r="A1382" s="25">
        <f t="shared" si="135"/>
        <v>1379</v>
      </c>
      <c r="B1382" s="67" t="s">
        <v>18</v>
      </c>
      <c r="C1382" s="67" t="s">
        <v>319</v>
      </c>
      <c r="D1382" s="67" t="s">
        <v>930</v>
      </c>
      <c r="E1382" s="22">
        <f t="shared" ca="1" si="136"/>
        <v>40951</v>
      </c>
      <c r="F1382" s="11">
        <f>DATE(66,10,26)</f>
        <v>24406</v>
      </c>
      <c r="G1382" s="12">
        <f t="shared" ca="1" si="132"/>
        <v>46</v>
      </c>
      <c r="H1382" s="12">
        <f t="shared" ca="1" si="133"/>
        <v>-8</v>
      </c>
      <c r="I1382" s="13">
        <f t="shared" ca="1" si="134"/>
        <v>-14</v>
      </c>
      <c r="J1382" s="14">
        <f t="shared" ca="1" si="131"/>
        <v>45</v>
      </c>
      <c r="K1382" s="12" t="s">
        <v>41</v>
      </c>
      <c r="L1382" s="15">
        <v>108</v>
      </c>
      <c r="M1382" s="25" t="s">
        <v>40</v>
      </c>
      <c r="N1382">
        <v>292</v>
      </c>
    </row>
    <row r="1383" spans="1:14" ht="15.75" thickBot="1">
      <c r="A1383" s="26">
        <f t="shared" si="135"/>
        <v>1380</v>
      </c>
      <c r="B1383" s="68" t="s">
        <v>18</v>
      </c>
      <c r="C1383" s="68" t="s">
        <v>931</v>
      </c>
      <c r="D1383" s="68" t="s">
        <v>930</v>
      </c>
      <c r="E1383" s="23">
        <f t="shared" ca="1" si="136"/>
        <v>40951</v>
      </c>
      <c r="F1383" s="16">
        <f>DATE(91,11,28)</f>
        <v>33570</v>
      </c>
      <c r="G1383" s="17">
        <f t="shared" ca="1" si="132"/>
        <v>21</v>
      </c>
      <c r="H1383" s="17">
        <f t="shared" ca="1" si="133"/>
        <v>-9</v>
      </c>
      <c r="I1383" s="18">
        <f t="shared" ca="1" si="134"/>
        <v>-16</v>
      </c>
      <c r="J1383" s="19">
        <f t="shared" ca="1" si="131"/>
        <v>20</v>
      </c>
      <c r="K1383" s="17" t="s">
        <v>40</v>
      </c>
      <c r="L1383" s="20">
        <v>108</v>
      </c>
      <c r="M1383" s="26" t="s">
        <v>44</v>
      </c>
      <c r="N1383">
        <v>292</v>
      </c>
    </row>
    <row r="1384" spans="1:14">
      <c r="A1384" s="25">
        <f t="shared" si="135"/>
        <v>1381</v>
      </c>
      <c r="B1384" s="67" t="s">
        <v>18</v>
      </c>
      <c r="C1384" s="67" t="s">
        <v>932</v>
      </c>
      <c r="D1384" s="67" t="s">
        <v>358</v>
      </c>
      <c r="E1384" s="22">
        <f t="shared" ca="1" si="136"/>
        <v>40951</v>
      </c>
      <c r="F1384" s="65"/>
      <c r="G1384" s="12">
        <f t="shared" ca="1" si="132"/>
        <v>112</v>
      </c>
      <c r="H1384" s="12">
        <f t="shared" ca="1" si="133"/>
        <v>1</v>
      </c>
      <c r="I1384" s="13">
        <f t="shared" ca="1" si="134"/>
        <v>12</v>
      </c>
      <c r="J1384" s="14">
        <f t="shared" ca="1" si="131"/>
        <v>112</v>
      </c>
      <c r="K1384" s="12" t="s">
        <v>40</v>
      </c>
      <c r="L1384" s="15">
        <v>108</v>
      </c>
      <c r="M1384" s="25" t="s">
        <v>40</v>
      </c>
      <c r="N1384">
        <v>293</v>
      </c>
    </row>
    <row r="1385" spans="1:14">
      <c r="A1385" s="25">
        <f t="shared" si="135"/>
        <v>1382</v>
      </c>
      <c r="B1385" s="67" t="s">
        <v>18</v>
      </c>
      <c r="C1385" s="67" t="s">
        <v>927</v>
      </c>
      <c r="D1385" s="67" t="s">
        <v>358</v>
      </c>
      <c r="E1385" s="22">
        <f t="shared" ca="1" si="136"/>
        <v>40951</v>
      </c>
      <c r="F1385" s="11">
        <f>DATE(65,5,31)</f>
        <v>23893</v>
      </c>
      <c r="G1385" s="12">
        <f t="shared" ca="1" si="132"/>
        <v>47</v>
      </c>
      <c r="H1385" s="12">
        <f t="shared" ca="1" si="133"/>
        <v>-3</v>
      </c>
      <c r="I1385" s="13">
        <f t="shared" ca="1" si="134"/>
        <v>-19</v>
      </c>
      <c r="J1385" s="14">
        <f t="shared" ca="1" si="131"/>
        <v>46</v>
      </c>
      <c r="K1385" s="12" t="s">
        <v>40</v>
      </c>
      <c r="L1385" s="15">
        <v>108</v>
      </c>
      <c r="M1385" s="25" t="s">
        <v>40</v>
      </c>
      <c r="N1385">
        <v>293</v>
      </c>
    </row>
    <row r="1386" spans="1:14">
      <c r="A1386" s="25">
        <f t="shared" si="135"/>
        <v>1383</v>
      </c>
      <c r="B1386" s="67" t="s">
        <v>18</v>
      </c>
      <c r="C1386" s="67" t="s">
        <v>649</v>
      </c>
      <c r="D1386" s="67" t="s">
        <v>927</v>
      </c>
      <c r="E1386" s="22">
        <f t="shared" ca="1" si="136"/>
        <v>40951</v>
      </c>
      <c r="F1386" s="11">
        <f>DATE(68,6,10)</f>
        <v>24999</v>
      </c>
      <c r="G1386" s="12">
        <f t="shared" ca="1" si="132"/>
        <v>44</v>
      </c>
      <c r="H1386" s="12">
        <f t="shared" ca="1" si="133"/>
        <v>-4</v>
      </c>
      <c r="I1386" s="13">
        <f t="shared" ca="1" si="134"/>
        <v>2</v>
      </c>
      <c r="J1386" s="14">
        <f t="shared" ca="1" si="131"/>
        <v>43</v>
      </c>
      <c r="K1386" s="12" t="s">
        <v>41</v>
      </c>
      <c r="L1386" s="15">
        <v>108</v>
      </c>
      <c r="M1386" s="25" t="s">
        <v>40</v>
      </c>
      <c r="N1386">
        <v>293</v>
      </c>
    </row>
    <row r="1387" spans="1:14" ht="15.75" thickBot="1">
      <c r="A1387" s="26">
        <f t="shared" si="135"/>
        <v>1384</v>
      </c>
      <c r="B1387" s="68" t="s">
        <v>18</v>
      </c>
      <c r="C1387" s="68" t="s">
        <v>211</v>
      </c>
      <c r="D1387" s="68" t="s">
        <v>927</v>
      </c>
      <c r="E1387" s="23">
        <f t="shared" ca="1" si="136"/>
        <v>40951</v>
      </c>
      <c r="F1387" s="16">
        <f>DATE(95,2,12)</f>
        <v>34742</v>
      </c>
      <c r="G1387" s="17">
        <f t="shared" ca="1" si="132"/>
        <v>17</v>
      </c>
      <c r="H1387" s="17">
        <f t="shared" ca="1" si="133"/>
        <v>0</v>
      </c>
      <c r="I1387" s="18">
        <f t="shared" ca="1" si="134"/>
        <v>0</v>
      </c>
      <c r="J1387" s="19">
        <f t="shared" ca="1" si="131"/>
        <v>17</v>
      </c>
      <c r="K1387" s="17" t="s">
        <v>41</v>
      </c>
      <c r="L1387" s="20">
        <v>108</v>
      </c>
      <c r="M1387" s="26" t="s">
        <v>44</v>
      </c>
      <c r="N1387">
        <v>293</v>
      </c>
    </row>
    <row r="1388" spans="1:14">
      <c r="A1388" s="25">
        <f t="shared" si="135"/>
        <v>1385</v>
      </c>
      <c r="B1388" s="67" t="s">
        <v>18</v>
      </c>
      <c r="C1388" s="67" t="s">
        <v>933</v>
      </c>
      <c r="D1388" s="67" t="s">
        <v>435</v>
      </c>
      <c r="E1388" s="22">
        <f t="shared" ca="1" si="136"/>
        <v>40951</v>
      </c>
      <c r="F1388" s="32"/>
      <c r="G1388" s="12">
        <f t="shared" ca="1" si="132"/>
        <v>112</v>
      </c>
      <c r="H1388" s="12">
        <f t="shared" ca="1" si="133"/>
        <v>1</v>
      </c>
      <c r="I1388" s="13">
        <f t="shared" ca="1" si="134"/>
        <v>12</v>
      </c>
      <c r="J1388" s="14">
        <f t="shared" ca="1" si="131"/>
        <v>112</v>
      </c>
      <c r="K1388" s="12" t="s">
        <v>40</v>
      </c>
      <c r="L1388" s="15">
        <v>109</v>
      </c>
      <c r="M1388" s="25" t="s">
        <v>40</v>
      </c>
      <c r="N1388">
        <v>294</v>
      </c>
    </row>
    <row r="1389" spans="1:14">
      <c r="A1389" s="25">
        <f t="shared" si="135"/>
        <v>1386</v>
      </c>
      <c r="B1389" s="67" t="s">
        <v>18</v>
      </c>
      <c r="C1389" s="67" t="s">
        <v>287</v>
      </c>
      <c r="D1389" s="67" t="s">
        <v>933</v>
      </c>
      <c r="E1389" s="22">
        <f t="shared" ca="1" si="136"/>
        <v>40951</v>
      </c>
      <c r="F1389" s="32"/>
      <c r="G1389" s="12">
        <f t="shared" ca="1" si="132"/>
        <v>112</v>
      </c>
      <c r="H1389" s="12">
        <f t="shared" ca="1" si="133"/>
        <v>1</v>
      </c>
      <c r="I1389" s="13">
        <f t="shared" ca="1" si="134"/>
        <v>12</v>
      </c>
      <c r="J1389" s="14">
        <f t="shared" ca="1" si="131"/>
        <v>112</v>
      </c>
      <c r="K1389" s="12" t="s">
        <v>41</v>
      </c>
      <c r="L1389" s="15">
        <v>109</v>
      </c>
      <c r="M1389" s="25" t="s">
        <v>40</v>
      </c>
      <c r="N1389">
        <v>294</v>
      </c>
    </row>
    <row r="1390" spans="1:14">
      <c r="A1390" s="25">
        <f t="shared" si="135"/>
        <v>1387</v>
      </c>
      <c r="B1390" s="67" t="s">
        <v>18</v>
      </c>
      <c r="C1390" s="67" t="s">
        <v>145</v>
      </c>
      <c r="D1390" s="67" t="s">
        <v>933</v>
      </c>
      <c r="E1390" s="22">
        <f t="shared" ca="1" si="136"/>
        <v>40951</v>
      </c>
      <c r="F1390" s="32"/>
      <c r="G1390" s="12">
        <f t="shared" ca="1" si="132"/>
        <v>112</v>
      </c>
      <c r="H1390" s="12">
        <f t="shared" ca="1" si="133"/>
        <v>1</v>
      </c>
      <c r="I1390" s="13">
        <f t="shared" ca="1" si="134"/>
        <v>12</v>
      </c>
      <c r="J1390" s="14">
        <f t="shared" ca="1" si="131"/>
        <v>112</v>
      </c>
      <c r="K1390" s="12" t="s">
        <v>41</v>
      </c>
      <c r="L1390" s="15">
        <v>109</v>
      </c>
      <c r="M1390" s="25" t="s">
        <v>44</v>
      </c>
      <c r="N1390">
        <v>294</v>
      </c>
    </row>
    <row r="1391" spans="1:14" ht="15.75" thickBot="1">
      <c r="A1391" s="26">
        <f t="shared" si="135"/>
        <v>1388</v>
      </c>
      <c r="B1391" s="68" t="s">
        <v>18</v>
      </c>
      <c r="C1391" s="68" t="s">
        <v>169</v>
      </c>
      <c r="D1391" s="68" t="s">
        <v>933</v>
      </c>
      <c r="E1391" s="23">
        <f t="shared" ca="1" si="136"/>
        <v>40951</v>
      </c>
      <c r="F1391" s="33"/>
      <c r="G1391" s="17">
        <f t="shared" ca="1" si="132"/>
        <v>112</v>
      </c>
      <c r="H1391" s="17">
        <f t="shared" ca="1" si="133"/>
        <v>1</v>
      </c>
      <c r="I1391" s="18">
        <f t="shared" ca="1" si="134"/>
        <v>12</v>
      </c>
      <c r="J1391" s="19">
        <f t="shared" ca="1" si="131"/>
        <v>112</v>
      </c>
      <c r="K1391" s="17" t="s">
        <v>40</v>
      </c>
      <c r="L1391" s="20">
        <v>109</v>
      </c>
      <c r="M1391" s="26" t="s">
        <v>44</v>
      </c>
      <c r="N1391">
        <v>294</v>
      </c>
    </row>
    <row r="1392" spans="1:14">
      <c r="A1392" s="25">
        <f t="shared" si="135"/>
        <v>1389</v>
      </c>
      <c r="B1392" s="67" t="s">
        <v>18</v>
      </c>
      <c r="C1392" s="67" t="s">
        <v>93</v>
      </c>
      <c r="D1392" s="67" t="s">
        <v>358</v>
      </c>
      <c r="E1392" s="22">
        <f t="shared" ca="1" si="136"/>
        <v>40951</v>
      </c>
      <c r="F1392" s="11">
        <f>DATE(86,10,23)</f>
        <v>31708</v>
      </c>
      <c r="G1392" s="12">
        <f t="shared" ca="1" si="132"/>
        <v>26</v>
      </c>
      <c r="H1392" s="12">
        <f t="shared" ca="1" si="133"/>
        <v>-8</v>
      </c>
      <c r="I1392" s="13">
        <f t="shared" ca="1" si="134"/>
        <v>-11</v>
      </c>
      <c r="J1392" s="14">
        <f t="shared" ca="1" si="131"/>
        <v>25</v>
      </c>
      <c r="K1392" s="12" t="s">
        <v>40</v>
      </c>
      <c r="L1392" s="15">
        <v>109</v>
      </c>
      <c r="M1392" s="25" t="s">
        <v>40</v>
      </c>
      <c r="N1392">
        <v>295</v>
      </c>
    </row>
    <row r="1393" spans="1:14">
      <c r="A1393" s="25">
        <f t="shared" si="135"/>
        <v>1390</v>
      </c>
      <c r="B1393" s="67" t="s">
        <v>18</v>
      </c>
      <c r="C1393" s="67" t="s">
        <v>430</v>
      </c>
      <c r="D1393" s="67" t="s">
        <v>93</v>
      </c>
      <c r="E1393" s="22">
        <f t="shared" ca="1" si="136"/>
        <v>40951</v>
      </c>
      <c r="F1393" s="11">
        <f>DATE(72,11,22)</f>
        <v>26625</v>
      </c>
      <c r="G1393" s="12">
        <f t="shared" ca="1" si="132"/>
        <v>40</v>
      </c>
      <c r="H1393" s="12">
        <f t="shared" ca="1" si="133"/>
        <v>-9</v>
      </c>
      <c r="I1393" s="13">
        <f t="shared" ca="1" si="134"/>
        <v>-10</v>
      </c>
      <c r="J1393" s="14">
        <f t="shared" ca="1" si="131"/>
        <v>39</v>
      </c>
      <c r="K1393" s="12" t="s">
        <v>41</v>
      </c>
      <c r="L1393" s="15">
        <v>109</v>
      </c>
      <c r="M1393" s="25" t="s">
        <v>40</v>
      </c>
      <c r="N1393">
        <v>295</v>
      </c>
    </row>
    <row r="1394" spans="1:14">
      <c r="A1394" s="25">
        <f t="shared" si="135"/>
        <v>1391</v>
      </c>
      <c r="B1394" s="67" t="s">
        <v>18</v>
      </c>
      <c r="C1394" s="67" t="s">
        <v>934</v>
      </c>
      <c r="D1394" s="67" t="s">
        <v>93</v>
      </c>
      <c r="E1394" s="22">
        <f t="shared" ca="1" si="136"/>
        <v>40951</v>
      </c>
      <c r="F1394" s="11">
        <f>DATE(95,11,15)</f>
        <v>35018</v>
      </c>
      <c r="G1394" s="12">
        <f t="shared" ca="1" si="132"/>
        <v>17</v>
      </c>
      <c r="H1394" s="12">
        <f t="shared" ca="1" si="133"/>
        <v>-9</v>
      </c>
      <c r="I1394" s="13">
        <f t="shared" ca="1" si="134"/>
        <v>-3</v>
      </c>
      <c r="J1394" s="14">
        <f t="shared" ca="1" si="131"/>
        <v>16</v>
      </c>
      <c r="K1394" s="12" t="s">
        <v>40</v>
      </c>
      <c r="L1394" s="15">
        <v>109</v>
      </c>
      <c r="M1394" s="25" t="s">
        <v>44</v>
      </c>
      <c r="N1394">
        <v>295</v>
      </c>
    </row>
    <row r="1395" spans="1:14" ht="15.75" thickBot="1">
      <c r="A1395" s="26">
        <f t="shared" si="135"/>
        <v>1392</v>
      </c>
      <c r="B1395" s="68" t="s">
        <v>18</v>
      </c>
      <c r="C1395" s="68" t="s">
        <v>935</v>
      </c>
      <c r="D1395" s="68" t="s">
        <v>93</v>
      </c>
      <c r="E1395" s="23">
        <f t="shared" ca="1" si="136"/>
        <v>40951</v>
      </c>
      <c r="F1395" s="16">
        <f>DATE(98,11,8)</f>
        <v>36107</v>
      </c>
      <c r="G1395" s="17">
        <f t="shared" ca="1" si="132"/>
        <v>14</v>
      </c>
      <c r="H1395" s="17">
        <f t="shared" ca="1" si="133"/>
        <v>-9</v>
      </c>
      <c r="I1395" s="18">
        <f t="shared" ca="1" si="134"/>
        <v>4</v>
      </c>
      <c r="J1395" s="19">
        <f t="shared" ca="1" si="131"/>
        <v>13</v>
      </c>
      <c r="K1395" s="17" t="s">
        <v>40</v>
      </c>
      <c r="L1395" s="20">
        <v>109</v>
      </c>
      <c r="M1395" s="26" t="s">
        <v>44</v>
      </c>
      <c r="N1395">
        <v>295</v>
      </c>
    </row>
    <row r="1396" spans="1:14">
      <c r="A1396" s="25">
        <f t="shared" si="135"/>
        <v>1393</v>
      </c>
      <c r="B1396" s="67" t="s">
        <v>18</v>
      </c>
      <c r="C1396" s="67" t="s">
        <v>414</v>
      </c>
      <c r="D1396" s="67" t="s">
        <v>358</v>
      </c>
      <c r="E1396" s="22">
        <f t="shared" ca="1" si="136"/>
        <v>40951</v>
      </c>
      <c r="F1396" s="11">
        <f>DATE(57,1,25)</f>
        <v>20845</v>
      </c>
      <c r="G1396" s="12">
        <f t="shared" ca="1" si="132"/>
        <v>55</v>
      </c>
      <c r="H1396" s="12">
        <f t="shared" ca="1" si="133"/>
        <v>1</v>
      </c>
      <c r="I1396" s="13">
        <f t="shared" ca="1" si="134"/>
        <v>-13</v>
      </c>
      <c r="J1396" s="14">
        <f t="shared" ca="1" si="131"/>
        <v>55</v>
      </c>
      <c r="K1396" s="12" t="s">
        <v>40</v>
      </c>
      <c r="L1396" s="15">
        <v>109</v>
      </c>
      <c r="M1396" s="25" t="s">
        <v>40</v>
      </c>
      <c r="N1396">
        <v>296</v>
      </c>
    </row>
    <row r="1397" spans="1:14">
      <c r="A1397" s="25">
        <f t="shared" si="135"/>
        <v>1394</v>
      </c>
      <c r="B1397" s="67" t="s">
        <v>18</v>
      </c>
      <c r="C1397" s="67" t="s">
        <v>936</v>
      </c>
      <c r="D1397" s="67" t="s">
        <v>414</v>
      </c>
      <c r="E1397" s="22">
        <f t="shared" ca="1" si="136"/>
        <v>40951</v>
      </c>
      <c r="F1397" s="11">
        <f>DATE(66,10,7)</f>
        <v>24387</v>
      </c>
      <c r="G1397" s="12">
        <f t="shared" ca="1" si="132"/>
        <v>46</v>
      </c>
      <c r="H1397" s="12">
        <f t="shared" ca="1" si="133"/>
        <v>-8</v>
      </c>
      <c r="I1397" s="13">
        <f t="shared" ca="1" si="134"/>
        <v>5</v>
      </c>
      <c r="J1397" s="14">
        <f t="shared" ca="1" si="131"/>
        <v>45</v>
      </c>
      <c r="K1397" s="12" t="s">
        <v>41</v>
      </c>
      <c r="L1397" s="15">
        <v>109</v>
      </c>
      <c r="M1397" s="25" t="s">
        <v>40</v>
      </c>
      <c r="N1397">
        <v>296</v>
      </c>
    </row>
    <row r="1398" spans="1:14">
      <c r="A1398" s="25">
        <f t="shared" si="135"/>
        <v>1395</v>
      </c>
      <c r="B1398" s="67" t="s">
        <v>18</v>
      </c>
      <c r="C1398" s="67" t="s">
        <v>937</v>
      </c>
      <c r="D1398" s="67" t="s">
        <v>414</v>
      </c>
      <c r="E1398" s="22">
        <f t="shared" ca="1" si="136"/>
        <v>40951</v>
      </c>
      <c r="F1398" s="11">
        <f>DATE(87,12,6)</f>
        <v>32117</v>
      </c>
      <c r="G1398" s="12">
        <f t="shared" ca="1" si="132"/>
        <v>25</v>
      </c>
      <c r="H1398" s="12">
        <f t="shared" ca="1" si="133"/>
        <v>-10</v>
      </c>
      <c r="I1398" s="13">
        <f t="shared" ca="1" si="134"/>
        <v>6</v>
      </c>
      <c r="J1398" s="14">
        <f t="shared" ca="1" si="131"/>
        <v>24</v>
      </c>
      <c r="K1398" s="12" t="s">
        <v>41</v>
      </c>
      <c r="L1398" s="15">
        <v>109</v>
      </c>
      <c r="M1398" s="25" t="s">
        <v>44</v>
      </c>
      <c r="N1398">
        <v>296</v>
      </c>
    </row>
    <row r="1399" spans="1:14">
      <c r="A1399" s="25">
        <f t="shared" si="135"/>
        <v>1396</v>
      </c>
      <c r="B1399" s="67" t="s">
        <v>18</v>
      </c>
      <c r="C1399" s="67" t="s">
        <v>688</v>
      </c>
      <c r="D1399" s="67" t="s">
        <v>414</v>
      </c>
      <c r="E1399" s="22">
        <f t="shared" ca="1" si="136"/>
        <v>40951</v>
      </c>
      <c r="F1399" s="11">
        <f>DATE(92,1,17)</f>
        <v>33620</v>
      </c>
      <c r="G1399" s="12">
        <f t="shared" ca="1" si="132"/>
        <v>20</v>
      </c>
      <c r="H1399" s="12">
        <f t="shared" ca="1" si="133"/>
        <v>1</v>
      </c>
      <c r="I1399" s="13">
        <f t="shared" ca="1" si="134"/>
        <v>-5</v>
      </c>
      <c r="J1399" s="14">
        <f t="shared" ca="1" si="131"/>
        <v>20</v>
      </c>
      <c r="K1399" s="12" t="s">
        <v>40</v>
      </c>
      <c r="L1399" s="15">
        <v>109</v>
      </c>
      <c r="M1399" s="25" t="s">
        <v>44</v>
      </c>
      <c r="N1399">
        <v>296</v>
      </c>
    </row>
    <row r="1400" spans="1:14" ht="15.75" thickBot="1">
      <c r="A1400" s="26">
        <f t="shared" si="135"/>
        <v>1397</v>
      </c>
      <c r="B1400" s="68" t="s">
        <v>18</v>
      </c>
      <c r="C1400" s="68" t="s">
        <v>794</v>
      </c>
      <c r="D1400" s="68" t="s">
        <v>414</v>
      </c>
      <c r="E1400" s="23">
        <f t="shared" ca="1" si="136"/>
        <v>40951</v>
      </c>
      <c r="F1400" s="16">
        <f>DATE(97,9,5)</f>
        <v>35678</v>
      </c>
      <c r="G1400" s="17">
        <f t="shared" ca="1" si="132"/>
        <v>15</v>
      </c>
      <c r="H1400" s="17">
        <f t="shared" ca="1" si="133"/>
        <v>-7</v>
      </c>
      <c r="I1400" s="18">
        <f t="shared" ca="1" si="134"/>
        <v>7</v>
      </c>
      <c r="J1400" s="19">
        <f t="shared" ca="1" si="131"/>
        <v>14</v>
      </c>
      <c r="K1400" s="17" t="s">
        <v>40</v>
      </c>
      <c r="L1400" s="20">
        <v>109</v>
      </c>
      <c r="M1400" s="26" t="s">
        <v>44</v>
      </c>
      <c r="N1400">
        <v>296</v>
      </c>
    </row>
    <row r="1401" spans="1:14">
      <c r="A1401" s="25">
        <f t="shared" si="135"/>
        <v>1398</v>
      </c>
      <c r="B1401" s="67" t="s">
        <v>19</v>
      </c>
      <c r="C1401" s="67" t="s">
        <v>938</v>
      </c>
      <c r="D1401" s="67" t="s">
        <v>411</v>
      </c>
      <c r="E1401" s="22">
        <f t="shared" ca="1" si="136"/>
        <v>40951</v>
      </c>
      <c r="F1401" s="11">
        <f>DATE(42,3,12)</f>
        <v>15412</v>
      </c>
      <c r="G1401" s="12">
        <f t="shared" ca="1" si="132"/>
        <v>70</v>
      </c>
      <c r="H1401" s="12">
        <f t="shared" ca="1" si="133"/>
        <v>-1</v>
      </c>
      <c r="I1401" s="13">
        <f t="shared" ca="1" si="134"/>
        <v>0</v>
      </c>
      <c r="J1401" s="14">
        <f t="shared" ca="1" si="131"/>
        <v>69</v>
      </c>
      <c r="K1401" s="12" t="s">
        <v>40</v>
      </c>
      <c r="L1401" s="15">
        <v>110</v>
      </c>
      <c r="M1401" s="25" t="s">
        <v>40</v>
      </c>
      <c r="N1401">
        <v>297</v>
      </c>
    </row>
    <row r="1402" spans="1:14" ht="15.75" thickBot="1">
      <c r="A1402" s="26">
        <f t="shared" si="135"/>
        <v>1399</v>
      </c>
      <c r="B1402" s="68" t="s">
        <v>19</v>
      </c>
      <c r="C1402" s="68" t="s">
        <v>939</v>
      </c>
      <c r="D1402" s="68" t="s">
        <v>938</v>
      </c>
      <c r="E1402" s="23">
        <f t="shared" ca="1" si="136"/>
        <v>40951</v>
      </c>
      <c r="F1402" s="16">
        <f>DATE(46,3,9)</f>
        <v>16870</v>
      </c>
      <c r="G1402" s="17">
        <f t="shared" ca="1" si="132"/>
        <v>66</v>
      </c>
      <c r="H1402" s="17">
        <f t="shared" ca="1" si="133"/>
        <v>-1</v>
      </c>
      <c r="I1402" s="18">
        <f t="shared" ca="1" si="134"/>
        <v>3</v>
      </c>
      <c r="J1402" s="19">
        <f t="shared" ca="1" si="131"/>
        <v>65</v>
      </c>
      <c r="K1402" s="17" t="s">
        <v>41</v>
      </c>
      <c r="L1402" s="20">
        <v>110</v>
      </c>
      <c r="M1402" s="26" t="s">
        <v>40</v>
      </c>
      <c r="N1402">
        <v>297</v>
      </c>
    </row>
    <row r="1403" spans="1:14">
      <c r="A1403" s="25">
        <f t="shared" si="135"/>
        <v>1400</v>
      </c>
      <c r="B1403" s="67" t="s">
        <v>19</v>
      </c>
      <c r="C1403" s="67" t="s">
        <v>829</v>
      </c>
      <c r="D1403" s="67" t="s">
        <v>602</v>
      </c>
      <c r="E1403" s="22">
        <f t="shared" ca="1" si="136"/>
        <v>40951</v>
      </c>
      <c r="F1403" s="32"/>
      <c r="G1403" s="12">
        <f t="shared" ca="1" si="132"/>
        <v>112</v>
      </c>
      <c r="H1403" s="12">
        <f t="shared" ca="1" si="133"/>
        <v>1</v>
      </c>
      <c r="I1403" s="13">
        <f t="shared" ca="1" si="134"/>
        <v>12</v>
      </c>
      <c r="J1403" s="14">
        <f t="shared" ca="1" si="131"/>
        <v>112</v>
      </c>
      <c r="K1403" s="12" t="s">
        <v>40</v>
      </c>
      <c r="L1403" s="15">
        <v>110</v>
      </c>
      <c r="M1403" s="25" t="s">
        <v>40</v>
      </c>
      <c r="N1403">
        <v>298</v>
      </c>
    </row>
    <row r="1404" spans="1:14">
      <c r="A1404" s="25">
        <f t="shared" si="135"/>
        <v>1401</v>
      </c>
      <c r="B1404" s="67" t="s">
        <v>19</v>
      </c>
      <c r="C1404" s="67" t="s">
        <v>400</v>
      </c>
      <c r="D1404" s="67" t="s">
        <v>829</v>
      </c>
      <c r="E1404" s="22">
        <f t="shared" ca="1" si="136"/>
        <v>40951</v>
      </c>
      <c r="F1404" s="32"/>
      <c r="G1404" s="12">
        <f t="shared" ca="1" si="132"/>
        <v>112</v>
      </c>
      <c r="H1404" s="12">
        <f t="shared" ca="1" si="133"/>
        <v>1</v>
      </c>
      <c r="I1404" s="13">
        <f t="shared" ca="1" si="134"/>
        <v>12</v>
      </c>
      <c r="J1404" s="14">
        <f t="shared" ca="1" si="131"/>
        <v>112</v>
      </c>
      <c r="K1404" s="12" t="s">
        <v>41</v>
      </c>
      <c r="L1404" s="15">
        <v>110</v>
      </c>
      <c r="M1404" s="25" t="s">
        <v>40</v>
      </c>
      <c r="N1404">
        <v>298</v>
      </c>
    </row>
    <row r="1405" spans="1:14">
      <c r="A1405" s="25">
        <f t="shared" si="135"/>
        <v>1402</v>
      </c>
      <c r="B1405" s="67" t="s">
        <v>19</v>
      </c>
      <c r="C1405" s="67" t="s">
        <v>623</v>
      </c>
      <c r="D1405" s="67" t="s">
        <v>829</v>
      </c>
      <c r="E1405" s="22">
        <f t="shared" ca="1" si="136"/>
        <v>40951</v>
      </c>
      <c r="F1405" s="11">
        <f>DATE(69,1,7)</f>
        <v>25210</v>
      </c>
      <c r="G1405" s="12">
        <f t="shared" ca="1" si="132"/>
        <v>43</v>
      </c>
      <c r="H1405" s="12">
        <f t="shared" ca="1" si="133"/>
        <v>1</v>
      </c>
      <c r="I1405" s="13">
        <f t="shared" ca="1" si="134"/>
        <v>5</v>
      </c>
      <c r="J1405" s="14">
        <f t="shared" ca="1" si="131"/>
        <v>43</v>
      </c>
      <c r="K1405" s="12" t="s">
        <v>40</v>
      </c>
      <c r="L1405" s="15">
        <v>110</v>
      </c>
      <c r="M1405" s="25" t="s">
        <v>40</v>
      </c>
      <c r="N1405">
        <v>298</v>
      </c>
    </row>
    <row r="1406" spans="1:14">
      <c r="A1406" s="25">
        <f t="shared" si="135"/>
        <v>1403</v>
      </c>
      <c r="B1406" s="67" t="s">
        <v>19</v>
      </c>
      <c r="C1406" s="67" t="s">
        <v>175</v>
      </c>
      <c r="D1406" s="67" t="s">
        <v>623</v>
      </c>
      <c r="E1406" s="22">
        <f t="shared" ca="1" si="136"/>
        <v>40951</v>
      </c>
      <c r="F1406" s="11">
        <f>DATE(72,4,7)</f>
        <v>26396</v>
      </c>
      <c r="G1406" s="12">
        <f t="shared" ca="1" si="132"/>
        <v>40</v>
      </c>
      <c r="H1406" s="12">
        <f t="shared" ca="1" si="133"/>
        <v>-2</v>
      </c>
      <c r="I1406" s="13">
        <f t="shared" ca="1" si="134"/>
        <v>5</v>
      </c>
      <c r="J1406" s="14">
        <f t="shared" ca="1" si="131"/>
        <v>39</v>
      </c>
      <c r="K1406" s="12" t="s">
        <v>41</v>
      </c>
      <c r="L1406" s="15">
        <v>110</v>
      </c>
      <c r="M1406" s="25" t="s">
        <v>40</v>
      </c>
      <c r="N1406">
        <v>298</v>
      </c>
    </row>
    <row r="1407" spans="1:14" ht="15.75" thickBot="1">
      <c r="A1407" s="26">
        <f t="shared" si="135"/>
        <v>1404</v>
      </c>
      <c r="B1407" s="67" t="s">
        <v>19</v>
      </c>
      <c r="C1407" s="68" t="s">
        <v>904</v>
      </c>
      <c r="D1407" s="68" t="s">
        <v>623</v>
      </c>
      <c r="E1407" s="23">
        <f t="shared" ca="1" si="136"/>
        <v>40951</v>
      </c>
      <c r="F1407" s="16">
        <f>DATE(96,6,17)</f>
        <v>35233</v>
      </c>
      <c r="G1407" s="17">
        <f t="shared" ca="1" si="132"/>
        <v>16</v>
      </c>
      <c r="H1407" s="17">
        <f t="shared" ca="1" si="133"/>
        <v>-4</v>
      </c>
      <c r="I1407" s="18">
        <f t="shared" ca="1" si="134"/>
        <v>-5</v>
      </c>
      <c r="J1407" s="19">
        <f t="shared" ca="1" si="131"/>
        <v>15</v>
      </c>
      <c r="K1407" s="17" t="s">
        <v>40</v>
      </c>
      <c r="L1407" s="20">
        <v>110</v>
      </c>
      <c r="M1407" s="26" t="s">
        <v>44</v>
      </c>
      <c r="N1407">
        <v>298</v>
      </c>
    </row>
    <row r="1408" spans="1:14">
      <c r="A1408" s="25">
        <f t="shared" si="135"/>
        <v>1405</v>
      </c>
      <c r="B1408" s="67" t="s">
        <v>19</v>
      </c>
      <c r="C1408" s="67" t="s">
        <v>437</v>
      </c>
      <c r="D1408" s="67" t="s">
        <v>435</v>
      </c>
      <c r="E1408" s="22">
        <f t="shared" ca="1" si="136"/>
        <v>40951</v>
      </c>
      <c r="F1408" s="11">
        <f>DATE(71,9,28)</f>
        <v>26204</v>
      </c>
      <c r="G1408" s="12">
        <f t="shared" ca="1" si="132"/>
        <v>41</v>
      </c>
      <c r="H1408" s="12">
        <f t="shared" ca="1" si="133"/>
        <v>-7</v>
      </c>
      <c r="I1408" s="13">
        <f t="shared" ca="1" si="134"/>
        <v>-16</v>
      </c>
      <c r="J1408" s="14">
        <f t="shared" ca="1" si="131"/>
        <v>40</v>
      </c>
      <c r="K1408" s="12" t="s">
        <v>40</v>
      </c>
      <c r="L1408" s="15">
        <v>110</v>
      </c>
      <c r="M1408" s="25" t="s">
        <v>40</v>
      </c>
      <c r="N1408">
        <v>299</v>
      </c>
    </row>
    <row r="1409" spans="1:14">
      <c r="A1409" s="25">
        <f t="shared" si="135"/>
        <v>1406</v>
      </c>
      <c r="B1409" s="67" t="s">
        <v>19</v>
      </c>
      <c r="C1409" s="67" t="s">
        <v>122</v>
      </c>
      <c r="D1409" s="67" t="s">
        <v>940</v>
      </c>
      <c r="E1409" s="22">
        <f t="shared" ca="1" si="136"/>
        <v>40951</v>
      </c>
      <c r="F1409" s="11">
        <f>DATE(72,5,24)</f>
        <v>26443</v>
      </c>
      <c r="G1409" s="12">
        <f t="shared" ca="1" si="132"/>
        <v>40</v>
      </c>
      <c r="H1409" s="12">
        <f t="shared" ca="1" si="133"/>
        <v>-3</v>
      </c>
      <c r="I1409" s="13">
        <f t="shared" ca="1" si="134"/>
        <v>-12</v>
      </c>
      <c r="J1409" s="14">
        <f t="shared" ca="1" si="131"/>
        <v>39</v>
      </c>
      <c r="K1409" s="12" t="s">
        <v>41</v>
      </c>
      <c r="L1409" s="15">
        <v>110</v>
      </c>
      <c r="M1409" s="25" t="s">
        <v>40</v>
      </c>
      <c r="N1409">
        <v>299</v>
      </c>
    </row>
    <row r="1410" spans="1:14">
      <c r="A1410" s="25">
        <f t="shared" si="135"/>
        <v>1407</v>
      </c>
      <c r="B1410" s="67" t="s">
        <v>19</v>
      </c>
      <c r="C1410" s="67" t="s">
        <v>941</v>
      </c>
      <c r="D1410" s="67" t="s">
        <v>940</v>
      </c>
      <c r="E1410" s="22">
        <f t="shared" ca="1" si="136"/>
        <v>40951</v>
      </c>
      <c r="F1410" s="11">
        <f>DATE(99,5,31)</f>
        <v>36311</v>
      </c>
      <c r="G1410" s="12">
        <f t="shared" ca="1" si="132"/>
        <v>13</v>
      </c>
      <c r="H1410" s="12">
        <f t="shared" ca="1" si="133"/>
        <v>-3</v>
      </c>
      <c r="I1410" s="13">
        <f t="shared" ca="1" si="134"/>
        <v>-19</v>
      </c>
      <c r="J1410" s="14">
        <f t="shared" ca="1" si="131"/>
        <v>12</v>
      </c>
      <c r="K1410" s="12" t="s">
        <v>41</v>
      </c>
      <c r="L1410" s="15">
        <v>110</v>
      </c>
      <c r="M1410" s="25" t="s">
        <v>44</v>
      </c>
      <c r="N1410">
        <v>299</v>
      </c>
    </row>
    <row r="1411" spans="1:14" ht="15.75" thickBot="1">
      <c r="A1411" s="26">
        <f t="shared" si="135"/>
        <v>1408</v>
      </c>
      <c r="B1411" s="67" t="s">
        <v>19</v>
      </c>
      <c r="C1411" s="68" t="s">
        <v>942</v>
      </c>
      <c r="D1411" s="68" t="s">
        <v>940</v>
      </c>
      <c r="E1411" s="23">
        <f t="shared" ca="1" si="136"/>
        <v>40951</v>
      </c>
      <c r="F1411" s="16">
        <f>DATE(2003,11,8)</f>
        <v>37933</v>
      </c>
      <c r="G1411" s="17">
        <f t="shared" ca="1" si="132"/>
        <v>9</v>
      </c>
      <c r="H1411" s="17">
        <f t="shared" ca="1" si="133"/>
        <v>-9</v>
      </c>
      <c r="I1411" s="18">
        <f t="shared" ca="1" si="134"/>
        <v>4</v>
      </c>
      <c r="J1411" s="19">
        <f t="shared" ca="1" si="131"/>
        <v>8</v>
      </c>
      <c r="K1411" s="17" t="s">
        <v>40</v>
      </c>
      <c r="L1411" s="20">
        <v>110</v>
      </c>
      <c r="M1411" s="26" t="s">
        <v>44</v>
      </c>
      <c r="N1411">
        <v>299</v>
      </c>
    </row>
    <row r="1412" spans="1:14">
      <c r="A1412" s="25">
        <f t="shared" si="135"/>
        <v>1409</v>
      </c>
      <c r="B1412" s="67" t="s">
        <v>19</v>
      </c>
      <c r="C1412" s="67" t="s">
        <v>943</v>
      </c>
      <c r="D1412" s="67" t="s">
        <v>411</v>
      </c>
      <c r="E1412" s="22">
        <f t="shared" ca="1" si="136"/>
        <v>40951</v>
      </c>
      <c r="F1412" s="11">
        <f>DATE(36,3,24)</f>
        <v>13233</v>
      </c>
      <c r="G1412" s="12">
        <f t="shared" ca="1" si="132"/>
        <v>76</v>
      </c>
      <c r="H1412" s="12">
        <f t="shared" ca="1" si="133"/>
        <v>-1</v>
      </c>
      <c r="I1412" s="13">
        <f t="shared" ca="1" si="134"/>
        <v>-12</v>
      </c>
      <c r="J1412" s="14">
        <f t="shared" ref="J1412:J1475" ca="1" si="137">IF(H1412&lt;0,G1412-1,IF(H1412&gt;0,G1412,IF(I1412&lt;0,G1412-1,G1412)))</f>
        <v>75</v>
      </c>
      <c r="K1412" s="12" t="s">
        <v>40</v>
      </c>
      <c r="L1412" s="15">
        <v>111</v>
      </c>
      <c r="M1412" s="25" t="s">
        <v>40</v>
      </c>
      <c r="N1412">
        <v>300</v>
      </c>
    </row>
    <row r="1413" spans="1:14">
      <c r="A1413" s="25">
        <f t="shared" si="135"/>
        <v>1410</v>
      </c>
      <c r="B1413" s="67" t="s">
        <v>19</v>
      </c>
      <c r="C1413" s="67" t="s">
        <v>626</v>
      </c>
      <c r="D1413" s="67" t="s">
        <v>943</v>
      </c>
      <c r="E1413" s="22">
        <f t="shared" ca="1" si="136"/>
        <v>40951</v>
      </c>
      <c r="F1413" s="11">
        <f>DATE(39,12,5)</f>
        <v>14584</v>
      </c>
      <c r="G1413" s="12">
        <f t="shared" ca="1" si="132"/>
        <v>73</v>
      </c>
      <c r="H1413" s="12">
        <f t="shared" ca="1" si="133"/>
        <v>-10</v>
      </c>
      <c r="I1413" s="13">
        <f t="shared" ca="1" si="134"/>
        <v>7</v>
      </c>
      <c r="J1413" s="14">
        <f t="shared" ca="1" si="137"/>
        <v>72</v>
      </c>
      <c r="K1413" s="12" t="s">
        <v>41</v>
      </c>
      <c r="L1413" s="15">
        <v>111</v>
      </c>
      <c r="M1413" s="25" t="s">
        <v>40</v>
      </c>
      <c r="N1413">
        <v>300</v>
      </c>
    </row>
    <row r="1414" spans="1:14">
      <c r="A1414" s="25">
        <f t="shared" si="135"/>
        <v>1411</v>
      </c>
      <c r="B1414" s="67" t="s">
        <v>19</v>
      </c>
      <c r="C1414" s="67" t="s">
        <v>721</v>
      </c>
      <c r="D1414" s="67" t="s">
        <v>411</v>
      </c>
      <c r="E1414" s="22">
        <f t="shared" ca="1" si="136"/>
        <v>40951</v>
      </c>
      <c r="F1414" s="32"/>
      <c r="G1414" s="12">
        <f t="shared" ca="1" si="132"/>
        <v>112</v>
      </c>
      <c r="H1414" s="12">
        <f t="shared" ca="1" si="133"/>
        <v>1</v>
      </c>
      <c r="I1414" s="13">
        <f t="shared" ca="1" si="134"/>
        <v>12</v>
      </c>
      <c r="J1414" s="14">
        <f t="shared" ca="1" si="137"/>
        <v>112</v>
      </c>
      <c r="K1414" s="12" t="s">
        <v>40</v>
      </c>
      <c r="L1414" s="15">
        <v>111</v>
      </c>
      <c r="M1414" s="25" t="s">
        <v>44</v>
      </c>
      <c r="N1414">
        <v>300</v>
      </c>
    </row>
    <row r="1415" spans="1:14">
      <c r="A1415" s="25">
        <f t="shared" si="135"/>
        <v>1412</v>
      </c>
      <c r="B1415" s="67" t="s">
        <v>19</v>
      </c>
      <c r="C1415" s="67" t="s">
        <v>944</v>
      </c>
      <c r="D1415" s="67" t="s">
        <v>943</v>
      </c>
      <c r="E1415" s="22">
        <f t="shared" ca="1" si="136"/>
        <v>40951</v>
      </c>
      <c r="F1415" s="11">
        <f>DATE(65,7,29)</f>
        <v>23952</v>
      </c>
      <c r="G1415" s="12">
        <f t="shared" ca="1" si="132"/>
        <v>47</v>
      </c>
      <c r="H1415" s="12">
        <f t="shared" ca="1" si="133"/>
        <v>-5</v>
      </c>
      <c r="I1415" s="13">
        <f t="shared" ca="1" si="134"/>
        <v>-17</v>
      </c>
      <c r="J1415" s="14">
        <f t="shared" ca="1" si="137"/>
        <v>46</v>
      </c>
      <c r="K1415" s="12" t="s">
        <v>40</v>
      </c>
      <c r="L1415" s="15">
        <v>111</v>
      </c>
      <c r="M1415" s="25" t="s">
        <v>40</v>
      </c>
      <c r="N1415">
        <v>300</v>
      </c>
    </row>
    <row r="1416" spans="1:14">
      <c r="A1416" s="25">
        <f t="shared" si="135"/>
        <v>1413</v>
      </c>
      <c r="B1416" s="67" t="s">
        <v>19</v>
      </c>
      <c r="C1416" s="67" t="s">
        <v>945</v>
      </c>
      <c r="D1416" s="67" t="s">
        <v>944</v>
      </c>
      <c r="E1416" s="22">
        <f t="shared" ca="1" si="136"/>
        <v>40951</v>
      </c>
      <c r="F1416" s="11">
        <f>DATE(69,4,21)</f>
        <v>25314</v>
      </c>
      <c r="G1416" s="12">
        <f t="shared" ca="1" si="132"/>
        <v>43</v>
      </c>
      <c r="H1416" s="12">
        <f t="shared" ca="1" si="133"/>
        <v>-2</v>
      </c>
      <c r="I1416" s="13">
        <f t="shared" ca="1" si="134"/>
        <v>-9</v>
      </c>
      <c r="J1416" s="14">
        <f t="shared" ca="1" si="137"/>
        <v>42</v>
      </c>
      <c r="K1416" s="12" t="s">
        <v>41</v>
      </c>
      <c r="L1416" s="15">
        <v>111</v>
      </c>
      <c r="M1416" s="25" t="s">
        <v>40</v>
      </c>
      <c r="N1416">
        <v>300</v>
      </c>
    </row>
    <row r="1417" spans="1:14" ht="15.75" thickBot="1">
      <c r="A1417" s="26">
        <f t="shared" si="135"/>
        <v>1414</v>
      </c>
      <c r="B1417" s="67" t="s">
        <v>19</v>
      </c>
      <c r="C1417" s="68" t="s">
        <v>63</v>
      </c>
      <c r="D1417" s="68" t="s">
        <v>944</v>
      </c>
      <c r="E1417" s="23">
        <f t="shared" ca="1" si="136"/>
        <v>40951</v>
      </c>
      <c r="F1417" s="16">
        <f>DATE(99,1,26)</f>
        <v>36186</v>
      </c>
      <c r="G1417" s="17">
        <f t="shared" ca="1" si="132"/>
        <v>13</v>
      </c>
      <c r="H1417" s="17">
        <f t="shared" ca="1" si="133"/>
        <v>1</v>
      </c>
      <c r="I1417" s="18">
        <f t="shared" ca="1" si="134"/>
        <v>-14</v>
      </c>
      <c r="J1417" s="19">
        <f t="shared" ca="1" si="137"/>
        <v>13</v>
      </c>
      <c r="K1417" s="17" t="s">
        <v>40</v>
      </c>
      <c r="L1417" s="20">
        <v>111</v>
      </c>
      <c r="M1417" s="26" t="s">
        <v>44</v>
      </c>
      <c r="N1417">
        <v>300</v>
      </c>
    </row>
    <row r="1418" spans="1:14">
      <c r="A1418" s="24">
        <f t="shared" si="135"/>
        <v>1415</v>
      </c>
      <c r="B1418" s="67" t="s">
        <v>19</v>
      </c>
      <c r="C1418" s="66" t="s">
        <v>743</v>
      </c>
      <c r="D1418" s="66" t="s">
        <v>546</v>
      </c>
      <c r="E1418" s="21">
        <f t="shared" ca="1" si="136"/>
        <v>40951</v>
      </c>
      <c r="F1418" s="6">
        <f>DATE(53,4,3)</f>
        <v>19452</v>
      </c>
      <c r="G1418" s="7">
        <f t="shared" ca="1" si="132"/>
        <v>59</v>
      </c>
      <c r="H1418" s="7">
        <f t="shared" ca="1" si="133"/>
        <v>-2</v>
      </c>
      <c r="I1418" s="8">
        <f t="shared" ca="1" si="134"/>
        <v>9</v>
      </c>
      <c r="J1418" s="9">
        <f t="shared" ca="1" si="137"/>
        <v>58</v>
      </c>
      <c r="K1418" s="7" t="s">
        <v>40</v>
      </c>
      <c r="L1418" s="10">
        <v>111</v>
      </c>
      <c r="M1418" s="24" t="s">
        <v>40</v>
      </c>
      <c r="N1418">
        <v>301</v>
      </c>
    </row>
    <row r="1419" spans="1:14">
      <c r="A1419" s="25">
        <f t="shared" si="135"/>
        <v>1416</v>
      </c>
      <c r="B1419" s="67" t="s">
        <v>19</v>
      </c>
      <c r="C1419" s="67" t="s">
        <v>218</v>
      </c>
      <c r="D1419" s="67" t="s">
        <v>743</v>
      </c>
      <c r="E1419" s="22">
        <f t="shared" ca="1" si="136"/>
        <v>40951</v>
      </c>
      <c r="F1419" s="11">
        <f>DATE(56,5,4)</f>
        <v>20579</v>
      </c>
      <c r="G1419" s="12">
        <f t="shared" ca="1" si="132"/>
        <v>56</v>
      </c>
      <c r="H1419" s="12">
        <f t="shared" ca="1" si="133"/>
        <v>-3</v>
      </c>
      <c r="I1419" s="13">
        <f t="shared" ca="1" si="134"/>
        <v>8</v>
      </c>
      <c r="J1419" s="14">
        <f t="shared" ca="1" si="137"/>
        <v>55</v>
      </c>
      <c r="K1419" s="12" t="s">
        <v>41</v>
      </c>
      <c r="L1419" s="15">
        <v>111</v>
      </c>
      <c r="M1419" s="25" t="s">
        <v>40</v>
      </c>
      <c r="N1419">
        <v>301</v>
      </c>
    </row>
    <row r="1420" spans="1:14" ht="15.75" thickBot="1">
      <c r="A1420" s="26">
        <f t="shared" si="135"/>
        <v>1417</v>
      </c>
      <c r="B1420" s="67" t="s">
        <v>19</v>
      </c>
      <c r="C1420" s="68" t="s">
        <v>946</v>
      </c>
      <c r="D1420" s="68" t="s">
        <v>743</v>
      </c>
      <c r="E1420" s="23">
        <f t="shared" ca="1" si="136"/>
        <v>40951</v>
      </c>
      <c r="F1420" s="16">
        <f>DATE(82,8,19)</f>
        <v>30182</v>
      </c>
      <c r="G1420" s="17">
        <f t="shared" ca="1" si="132"/>
        <v>30</v>
      </c>
      <c r="H1420" s="17">
        <f t="shared" ca="1" si="133"/>
        <v>-6</v>
      </c>
      <c r="I1420" s="18">
        <f t="shared" ca="1" si="134"/>
        <v>-7</v>
      </c>
      <c r="J1420" s="19">
        <f t="shared" ca="1" si="137"/>
        <v>29</v>
      </c>
      <c r="K1420" s="17" t="s">
        <v>40</v>
      </c>
      <c r="L1420" s="20">
        <v>111</v>
      </c>
      <c r="M1420" s="26" t="s">
        <v>44</v>
      </c>
      <c r="N1420">
        <v>301</v>
      </c>
    </row>
    <row r="1421" spans="1:14">
      <c r="A1421" s="25">
        <f t="shared" si="135"/>
        <v>1418</v>
      </c>
      <c r="B1421" s="67" t="s">
        <v>19</v>
      </c>
      <c r="C1421" s="67" t="s">
        <v>947</v>
      </c>
      <c r="D1421" s="67" t="s">
        <v>546</v>
      </c>
      <c r="E1421" s="22">
        <f t="shared" ca="1" si="136"/>
        <v>40951</v>
      </c>
      <c r="F1421" s="11">
        <f>DATE(58,7,1)</f>
        <v>21367</v>
      </c>
      <c r="G1421" s="12">
        <f t="shared" ca="1" si="132"/>
        <v>54</v>
      </c>
      <c r="H1421" s="12">
        <f t="shared" ca="1" si="133"/>
        <v>-5</v>
      </c>
      <c r="I1421" s="13">
        <f t="shared" ca="1" si="134"/>
        <v>11</v>
      </c>
      <c r="J1421" s="14">
        <f t="shared" ca="1" si="137"/>
        <v>53</v>
      </c>
      <c r="K1421" s="12" t="s">
        <v>40</v>
      </c>
      <c r="L1421" s="15">
        <v>111</v>
      </c>
      <c r="M1421" s="25" t="s">
        <v>40</v>
      </c>
      <c r="N1421">
        <v>302</v>
      </c>
    </row>
    <row r="1422" spans="1:14">
      <c r="A1422" s="25">
        <f t="shared" si="135"/>
        <v>1419</v>
      </c>
      <c r="B1422" s="67" t="s">
        <v>19</v>
      </c>
      <c r="C1422" s="67" t="s">
        <v>102</v>
      </c>
      <c r="D1422" s="67" t="s">
        <v>947</v>
      </c>
      <c r="E1422" s="22">
        <f t="shared" ca="1" si="136"/>
        <v>40951</v>
      </c>
      <c r="F1422" s="11">
        <f>DATE(60,4,30)</f>
        <v>22036</v>
      </c>
      <c r="G1422" s="12">
        <f t="shared" ca="1" si="132"/>
        <v>52</v>
      </c>
      <c r="H1422" s="12">
        <f t="shared" ca="1" si="133"/>
        <v>-2</v>
      </c>
      <c r="I1422" s="13">
        <f t="shared" ca="1" si="134"/>
        <v>-18</v>
      </c>
      <c r="J1422" s="14">
        <f t="shared" ca="1" si="137"/>
        <v>51</v>
      </c>
      <c r="K1422" s="12" t="s">
        <v>41</v>
      </c>
      <c r="L1422" s="15">
        <v>111</v>
      </c>
      <c r="M1422" s="25" t="s">
        <v>40</v>
      </c>
      <c r="N1422">
        <v>302</v>
      </c>
    </row>
    <row r="1423" spans="1:14">
      <c r="A1423" s="25">
        <f t="shared" si="135"/>
        <v>1420</v>
      </c>
      <c r="B1423" s="67" t="s">
        <v>19</v>
      </c>
      <c r="C1423" s="67" t="s">
        <v>344</v>
      </c>
      <c r="D1423" s="67" t="s">
        <v>947</v>
      </c>
      <c r="E1423" s="22">
        <f t="shared" ca="1" si="136"/>
        <v>40951</v>
      </c>
      <c r="F1423" s="11">
        <f>DATE(84,5,12)</f>
        <v>30814</v>
      </c>
      <c r="G1423" s="12">
        <f t="shared" ca="1" si="132"/>
        <v>28</v>
      </c>
      <c r="H1423" s="12">
        <f t="shared" ca="1" si="133"/>
        <v>-3</v>
      </c>
      <c r="I1423" s="13">
        <f t="shared" ca="1" si="134"/>
        <v>0</v>
      </c>
      <c r="J1423" s="14">
        <f t="shared" ca="1" si="137"/>
        <v>27</v>
      </c>
      <c r="K1423" s="12" t="s">
        <v>41</v>
      </c>
      <c r="L1423" s="15">
        <v>111</v>
      </c>
      <c r="M1423" s="25" t="s">
        <v>44</v>
      </c>
      <c r="N1423">
        <v>302</v>
      </c>
    </row>
    <row r="1424" spans="1:14">
      <c r="A1424" s="25">
        <f t="shared" si="135"/>
        <v>1421</v>
      </c>
      <c r="B1424" s="67" t="s">
        <v>19</v>
      </c>
      <c r="C1424" s="67" t="s">
        <v>948</v>
      </c>
      <c r="D1424" s="67" t="s">
        <v>947</v>
      </c>
      <c r="E1424" s="22">
        <f t="shared" ca="1" si="136"/>
        <v>40951</v>
      </c>
      <c r="F1424" s="11">
        <f>DATE(86,4,30)</f>
        <v>31532</v>
      </c>
      <c r="G1424" s="12">
        <f t="shared" ca="1" si="132"/>
        <v>26</v>
      </c>
      <c r="H1424" s="12">
        <f t="shared" ca="1" si="133"/>
        <v>-2</v>
      </c>
      <c r="I1424" s="13">
        <f t="shared" ca="1" si="134"/>
        <v>-18</v>
      </c>
      <c r="J1424" s="14">
        <f t="shared" ca="1" si="137"/>
        <v>25</v>
      </c>
      <c r="K1424" s="12" t="s">
        <v>41</v>
      </c>
      <c r="L1424" s="15">
        <v>111</v>
      </c>
      <c r="M1424" s="25" t="s">
        <v>44</v>
      </c>
      <c r="N1424">
        <v>302</v>
      </c>
    </row>
    <row r="1425" spans="1:14">
      <c r="A1425" s="25">
        <f t="shared" si="135"/>
        <v>1422</v>
      </c>
      <c r="B1425" s="67" t="s">
        <v>19</v>
      </c>
      <c r="C1425" s="67" t="s">
        <v>949</v>
      </c>
      <c r="D1425" s="67" t="s">
        <v>947</v>
      </c>
      <c r="E1425" s="22">
        <f t="shared" ca="1" si="136"/>
        <v>40951</v>
      </c>
      <c r="F1425" s="11">
        <f>DATE(89,9,25)</f>
        <v>32776</v>
      </c>
      <c r="G1425" s="12">
        <f t="shared" ca="1" si="132"/>
        <v>23</v>
      </c>
      <c r="H1425" s="12">
        <f t="shared" ca="1" si="133"/>
        <v>-7</v>
      </c>
      <c r="I1425" s="13">
        <f t="shared" ca="1" si="134"/>
        <v>-13</v>
      </c>
      <c r="J1425" s="14">
        <f t="shared" ca="1" si="137"/>
        <v>22</v>
      </c>
      <c r="K1425" s="12" t="s">
        <v>41</v>
      </c>
      <c r="L1425" s="15">
        <v>111</v>
      </c>
      <c r="M1425" s="25" t="s">
        <v>44</v>
      </c>
      <c r="N1425">
        <v>302</v>
      </c>
    </row>
    <row r="1426" spans="1:14" ht="15.75" thickBot="1">
      <c r="A1426" s="26">
        <f t="shared" si="135"/>
        <v>1423</v>
      </c>
      <c r="B1426" s="67" t="s">
        <v>19</v>
      </c>
      <c r="C1426" s="68" t="s">
        <v>950</v>
      </c>
      <c r="D1426" s="68" t="s">
        <v>947</v>
      </c>
      <c r="E1426" s="23">
        <f t="shared" ca="1" si="136"/>
        <v>40951</v>
      </c>
      <c r="F1426" s="16">
        <f>DATE(97,3,23)</f>
        <v>35512</v>
      </c>
      <c r="G1426" s="17">
        <f t="shared" ca="1" si="132"/>
        <v>15</v>
      </c>
      <c r="H1426" s="17">
        <f t="shared" ca="1" si="133"/>
        <v>-1</v>
      </c>
      <c r="I1426" s="18">
        <f t="shared" ca="1" si="134"/>
        <v>-11</v>
      </c>
      <c r="J1426" s="19">
        <f t="shared" ca="1" si="137"/>
        <v>14</v>
      </c>
      <c r="K1426" s="17" t="s">
        <v>40</v>
      </c>
      <c r="L1426" s="20">
        <v>111</v>
      </c>
      <c r="M1426" s="26" t="s">
        <v>44</v>
      </c>
      <c r="N1426">
        <v>302</v>
      </c>
    </row>
    <row r="1427" spans="1:14">
      <c r="A1427" s="25">
        <f t="shared" si="135"/>
        <v>1424</v>
      </c>
      <c r="B1427" s="67" t="s">
        <v>19</v>
      </c>
      <c r="C1427" s="67" t="s">
        <v>93</v>
      </c>
      <c r="D1427" s="67" t="s">
        <v>951</v>
      </c>
      <c r="E1427" s="22">
        <f t="shared" ca="1" si="136"/>
        <v>40951</v>
      </c>
      <c r="F1427" s="11">
        <f>DATE(66,2,12)</f>
        <v>24150</v>
      </c>
      <c r="G1427" s="12">
        <f t="shared" ca="1" si="132"/>
        <v>46</v>
      </c>
      <c r="H1427" s="12">
        <f t="shared" ca="1" si="133"/>
        <v>0</v>
      </c>
      <c r="I1427" s="13">
        <f t="shared" ca="1" si="134"/>
        <v>0</v>
      </c>
      <c r="J1427" s="14">
        <f t="shared" ca="1" si="137"/>
        <v>46</v>
      </c>
      <c r="K1427" s="12" t="s">
        <v>40</v>
      </c>
      <c r="L1427" s="15">
        <v>112</v>
      </c>
      <c r="M1427" s="25" t="s">
        <v>40</v>
      </c>
      <c r="N1427">
        <v>303</v>
      </c>
    </row>
    <row r="1428" spans="1:14">
      <c r="A1428" s="25">
        <f t="shared" si="135"/>
        <v>1425</v>
      </c>
      <c r="B1428" s="67" t="s">
        <v>19</v>
      </c>
      <c r="C1428" s="67" t="s">
        <v>530</v>
      </c>
      <c r="D1428" s="67" t="s">
        <v>93</v>
      </c>
      <c r="E1428" s="22">
        <f t="shared" ca="1" si="136"/>
        <v>40951</v>
      </c>
      <c r="F1428" s="11">
        <f>DATE(71,4,29)</f>
        <v>26052</v>
      </c>
      <c r="G1428" s="12">
        <f t="shared" ca="1" si="132"/>
        <v>41</v>
      </c>
      <c r="H1428" s="12">
        <f t="shared" ca="1" si="133"/>
        <v>-2</v>
      </c>
      <c r="I1428" s="13">
        <f t="shared" ca="1" si="134"/>
        <v>-17</v>
      </c>
      <c r="J1428" s="14">
        <f t="shared" ca="1" si="137"/>
        <v>40</v>
      </c>
      <c r="K1428" s="12" t="s">
        <v>41</v>
      </c>
      <c r="L1428" s="15">
        <v>112</v>
      </c>
      <c r="M1428" s="25" t="s">
        <v>40</v>
      </c>
      <c r="N1428">
        <v>303</v>
      </c>
    </row>
    <row r="1429" spans="1:14">
      <c r="A1429" s="25">
        <f t="shared" si="135"/>
        <v>1426</v>
      </c>
      <c r="B1429" s="67" t="s">
        <v>19</v>
      </c>
      <c r="C1429" s="67" t="s">
        <v>952</v>
      </c>
      <c r="D1429" s="67" t="s">
        <v>93</v>
      </c>
      <c r="E1429" s="22">
        <f t="shared" ca="1" si="136"/>
        <v>40951</v>
      </c>
      <c r="F1429" s="11">
        <f>DATE(94,12,8)</f>
        <v>34676</v>
      </c>
      <c r="G1429" s="12">
        <f t="shared" ca="1" si="132"/>
        <v>18</v>
      </c>
      <c r="H1429" s="12">
        <f t="shared" ca="1" si="133"/>
        <v>-10</v>
      </c>
      <c r="I1429" s="13">
        <f t="shared" ca="1" si="134"/>
        <v>4</v>
      </c>
      <c r="J1429" s="14">
        <f t="shared" ca="1" si="137"/>
        <v>17</v>
      </c>
      <c r="K1429" s="12" t="s">
        <v>41</v>
      </c>
      <c r="L1429" s="15">
        <v>112</v>
      </c>
      <c r="M1429" s="25" t="s">
        <v>44</v>
      </c>
      <c r="N1429">
        <v>303</v>
      </c>
    </row>
    <row r="1430" spans="1:14">
      <c r="A1430" s="25">
        <f t="shared" si="135"/>
        <v>1427</v>
      </c>
      <c r="B1430" s="67" t="s">
        <v>19</v>
      </c>
      <c r="C1430" s="67" t="s">
        <v>953</v>
      </c>
      <c r="D1430" s="67" t="s">
        <v>954</v>
      </c>
      <c r="E1430" s="22">
        <f t="shared" ca="1" si="136"/>
        <v>40951</v>
      </c>
      <c r="F1430" s="11">
        <f>DATE(43,6,26)</f>
        <v>15883</v>
      </c>
      <c r="G1430" s="12">
        <f t="shared" ca="1" si="132"/>
        <v>69</v>
      </c>
      <c r="H1430" s="12">
        <f t="shared" ca="1" si="133"/>
        <v>-4</v>
      </c>
      <c r="I1430" s="13">
        <f t="shared" ca="1" si="134"/>
        <v>-14</v>
      </c>
      <c r="J1430" s="14">
        <f t="shared" ca="1" si="137"/>
        <v>68</v>
      </c>
      <c r="K1430" s="12" t="s">
        <v>40</v>
      </c>
      <c r="L1430" s="15">
        <v>112</v>
      </c>
      <c r="M1430" s="25" t="s">
        <v>40</v>
      </c>
      <c r="N1430">
        <v>303</v>
      </c>
    </row>
    <row r="1431" spans="1:14" ht="15.75" thickBot="1">
      <c r="A1431" s="26">
        <f t="shared" si="135"/>
        <v>1428</v>
      </c>
      <c r="B1431" s="67" t="s">
        <v>19</v>
      </c>
      <c r="C1431" s="68" t="s">
        <v>955</v>
      </c>
      <c r="D1431" s="68" t="s">
        <v>951</v>
      </c>
      <c r="E1431" s="23">
        <f t="shared" ca="1" si="136"/>
        <v>40951</v>
      </c>
      <c r="F1431" s="16">
        <f>DATE(45,6,2)</f>
        <v>16590</v>
      </c>
      <c r="G1431" s="17">
        <f t="shared" ca="1" si="132"/>
        <v>67</v>
      </c>
      <c r="H1431" s="17">
        <f t="shared" ca="1" si="133"/>
        <v>-4</v>
      </c>
      <c r="I1431" s="18">
        <f t="shared" ca="1" si="134"/>
        <v>10</v>
      </c>
      <c r="J1431" s="19">
        <f t="shared" ca="1" si="137"/>
        <v>66</v>
      </c>
      <c r="K1431" s="17" t="s">
        <v>41</v>
      </c>
      <c r="L1431" s="20">
        <v>112</v>
      </c>
      <c r="M1431" s="26" t="s">
        <v>40</v>
      </c>
      <c r="N1431">
        <v>303</v>
      </c>
    </row>
    <row r="1432" spans="1:14">
      <c r="A1432" s="25">
        <f t="shared" si="135"/>
        <v>1429</v>
      </c>
      <c r="B1432" s="67" t="s">
        <v>19</v>
      </c>
      <c r="C1432" s="67" t="s">
        <v>956</v>
      </c>
      <c r="D1432" s="67" t="s">
        <v>546</v>
      </c>
      <c r="E1432" s="22">
        <f t="shared" ca="1" si="136"/>
        <v>40951</v>
      </c>
      <c r="F1432" s="11">
        <f>DATE(39,12,25)</f>
        <v>14604</v>
      </c>
      <c r="G1432" s="12">
        <f t="shared" ca="1" si="132"/>
        <v>73</v>
      </c>
      <c r="H1432" s="12">
        <f t="shared" ca="1" si="133"/>
        <v>-10</v>
      </c>
      <c r="I1432" s="13">
        <f t="shared" ca="1" si="134"/>
        <v>-13</v>
      </c>
      <c r="J1432" s="14">
        <f t="shared" ca="1" si="137"/>
        <v>72</v>
      </c>
      <c r="K1432" s="12" t="s">
        <v>40</v>
      </c>
      <c r="L1432" s="15">
        <v>112</v>
      </c>
      <c r="M1432" s="25" t="s">
        <v>40</v>
      </c>
      <c r="N1432">
        <v>304</v>
      </c>
    </row>
    <row r="1433" spans="1:14">
      <c r="A1433" s="25">
        <f t="shared" si="135"/>
        <v>1430</v>
      </c>
      <c r="B1433" s="67" t="s">
        <v>19</v>
      </c>
      <c r="C1433" s="67" t="s">
        <v>831</v>
      </c>
      <c r="D1433" s="67" t="s">
        <v>956</v>
      </c>
      <c r="E1433" s="22">
        <f t="shared" ca="1" si="136"/>
        <v>40951</v>
      </c>
      <c r="F1433" s="11">
        <f>DATE(44,3,1)</f>
        <v>16132</v>
      </c>
      <c r="G1433" s="12">
        <f t="shared" ca="1" si="132"/>
        <v>68</v>
      </c>
      <c r="H1433" s="12">
        <f t="shared" ca="1" si="133"/>
        <v>-1</v>
      </c>
      <c r="I1433" s="13">
        <f t="shared" ca="1" si="134"/>
        <v>11</v>
      </c>
      <c r="J1433" s="14">
        <f t="shared" ca="1" si="137"/>
        <v>67</v>
      </c>
      <c r="K1433" s="12" t="s">
        <v>41</v>
      </c>
      <c r="L1433" s="15">
        <v>112</v>
      </c>
      <c r="M1433" s="25" t="s">
        <v>40</v>
      </c>
      <c r="N1433">
        <v>304</v>
      </c>
    </row>
    <row r="1434" spans="1:14">
      <c r="A1434" s="25">
        <f t="shared" si="135"/>
        <v>1431</v>
      </c>
      <c r="B1434" s="67" t="s">
        <v>19</v>
      </c>
      <c r="C1434" s="67" t="s">
        <v>807</v>
      </c>
      <c r="D1434" s="67" t="s">
        <v>956</v>
      </c>
      <c r="E1434" s="22">
        <f t="shared" ca="1" si="136"/>
        <v>40951</v>
      </c>
      <c r="F1434" s="11">
        <f>DATE(71,12,31)</f>
        <v>26298</v>
      </c>
      <c r="G1434" s="12">
        <f t="shared" ref="G1434:G1497" ca="1" si="138">YEAR(E1434)-YEAR(F1434)</f>
        <v>41</v>
      </c>
      <c r="H1434" s="12">
        <f t="shared" ref="H1434:H1497" ca="1" si="139">MONTH(E1434)-MONTH(F1434)</f>
        <v>-10</v>
      </c>
      <c r="I1434" s="13">
        <f t="shared" ref="I1434:I1497" ca="1" si="140">DAY(E1434)-DAY(F1434)</f>
        <v>-19</v>
      </c>
      <c r="J1434" s="14">
        <f t="shared" ca="1" si="137"/>
        <v>40</v>
      </c>
      <c r="K1434" s="12" t="s">
        <v>40</v>
      </c>
      <c r="L1434" s="15">
        <v>112</v>
      </c>
      <c r="M1434" s="25" t="s">
        <v>40</v>
      </c>
      <c r="N1434">
        <v>304</v>
      </c>
    </row>
    <row r="1435" spans="1:14">
      <c r="A1435" s="25">
        <f t="shared" si="135"/>
        <v>1432</v>
      </c>
      <c r="B1435" s="67" t="s">
        <v>19</v>
      </c>
      <c r="C1435" s="67" t="s">
        <v>409</v>
      </c>
      <c r="D1435" s="67" t="s">
        <v>208</v>
      </c>
      <c r="E1435" s="22">
        <f t="shared" ca="1" si="136"/>
        <v>40951</v>
      </c>
      <c r="F1435" s="11">
        <f>DATE(77,3,24)</f>
        <v>28208</v>
      </c>
      <c r="G1435" s="12">
        <f t="shared" ca="1" si="138"/>
        <v>35</v>
      </c>
      <c r="H1435" s="12">
        <f t="shared" ca="1" si="139"/>
        <v>-1</v>
      </c>
      <c r="I1435" s="13">
        <f t="shared" ca="1" si="140"/>
        <v>-12</v>
      </c>
      <c r="J1435" s="14">
        <f t="shared" ca="1" si="137"/>
        <v>34</v>
      </c>
      <c r="K1435" s="12" t="s">
        <v>41</v>
      </c>
      <c r="L1435" s="15">
        <v>112</v>
      </c>
      <c r="M1435" s="25" t="s">
        <v>40</v>
      </c>
      <c r="N1435">
        <v>304</v>
      </c>
    </row>
    <row r="1436" spans="1:14">
      <c r="A1436" s="25">
        <f t="shared" si="135"/>
        <v>1433</v>
      </c>
      <c r="B1436" s="67" t="s">
        <v>19</v>
      </c>
      <c r="C1436" s="67" t="s">
        <v>346</v>
      </c>
      <c r="D1436" s="67" t="s">
        <v>208</v>
      </c>
      <c r="E1436" s="22">
        <f t="shared" ca="1" si="136"/>
        <v>40951</v>
      </c>
      <c r="F1436" s="11">
        <f>DATE(99,2,12)</f>
        <v>36203</v>
      </c>
      <c r="G1436" s="12">
        <f t="shared" ca="1" si="138"/>
        <v>13</v>
      </c>
      <c r="H1436" s="12">
        <f t="shared" ca="1" si="139"/>
        <v>0</v>
      </c>
      <c r="I1436" s="13">
        <f t="shared" ca="1" si="140"/>
        <v>0</v>
      </c>
      <c r="J1436" s="14">
        <f t="shared" ca="1" si="137"/>
        <v>13</v>
      </c>
      <c r="K1436" s="12" t="s">
        <v>40</v>
      </c>
      <c r="L1436" s="15">
        <v>112</v>
      </c>
      <c r="M1436" s="25" t="s">
        <v>44</v>
      </c>
      <c r="N1436">
        <v>304</v>
      </c>
    </row>
    <row r="1437" spans="1:14" ht="15.75" thickBot="1">
      <c r="A1437" s="26">
        <f t="shared" si="135"/>
        <v>1434</v>
      </c>
      <c r="B1437" s="67" t="s">
        <v>19</v>
      </c>
      <c r="C1437" s="68" t="s">
        <v>957</v>
      </c>
      <c r="D1437" s="68" t="s">
        <v>208</v>
      </c>
      <c r="E1437" s="23">
        <f t="shared" ca="1" si="136"/>
        <v>40951</v>
      </c>
      <c r="F1437" s="16">
        <f>DATE(2003,5,5)</f>
        <v>37746</v>
      </c>
      <c r="G1437" s="17">
        <f t="shared" ca="1" si="138"/>
        <v>9</v>
      </c>
      <c r="H1437" s="17">
        <f t="shared" ca="1" si="139"/>
        <v>-3</v>
      </c>
      <c r="I1437" s="18">
        <f t="shared" ca="1" si="140"/>
        <v>7</v>
      </c>
      <c r="J1437" s="19">
        <f t="shared" ca="1" si="137"/>
        <v>8</v>
      </c>
      <c r="K1437" s="17" t="s">
        <v>41</v>
      </c>
      <c r="L1437" s="20">
        <v>112</v>
      </c>
      <c r="M1437" s="26" t="s">
        <v>44</v>
      </c>
      <c r="N1437">
        <v>304</v>
      </c>
    </row>
    <row r="1438" spans="1:14">
      <c r="A1438" s="25">
        <f t="shared" ref="A1438:A1501" si="141">A1437+1</f>
        <v>1435</v>
      </c>
      <c r="B1438" s="67" t="s">
        <v>20</v>
      </c>
      <c r="C1438" s="67" t="s">
        <v>521</v>
      </c>
      <c r="D1438" s="67" t="s">
        <v>285</v>
      </c>
      <c r="E1438" s="22">
        <f t="shared" ca="1" si="136"/>
        <v>40951</v>
      </c>
      <c r="F1438" s="11">
        <f>DATE(73,1,30)</f>
        <v>26694</v>
      </c>
      <c r="G1438" s="12">
        <f t="shared" ca="1" si="138"/>
        <v>39</v>
      </c>
      <c r="H1438" s="12">
        <f t="shared" ca="1" si="139"/>
        <v>1</v>
      </c>
      <c r="I1438" s="13">
        <f t="shared" ca="1" si="140"/>
        <v>-18</v>
      </c>
      <c r="J1438" s="14">
        <f t="shared" ca="1" si="137"/>
        <v>39</v>
      </c>
      <c r="K1438" s="12" t="s">
        <v>40</v>
      </c>
      <c r="L1438" s="15">
        <v>113</v>
      </c>
      <c r="M1438" s="25" t="s">
        <v>40</v>
      </c>
      <c r="N1438">
        <v>305</v>
      </c>
    </row>
    <row r="1439" spans="1:14">
      <c r="A1439" s="25">
        <f t="shared" si="141"/>
        <v>1436</v>
      </c>
      <c r="B1439" s="67" t="s">
        <v>20</v>
      </c>
      <c r="C1439" s="67" t="s">
        <v>958</v>
      </c>
      <c r="D1439" s="67" t="s">
        <v>521</v>
      </c>
      <c r="E1439" s="22">
        <f t="shared" ca="1" si="136"/>
        <v>40951</v>
      </c>
      <c r="F1439" s="11">
        <f>DATE(82,2,20)</f>
        <v>30002</v>
      </c>
      <c r="G1439" s="12">
        <f t="shared" ca="1" si="138"/>
        <v>30</v>
      </c>
      <c r="H1439" s="12">
        <f t="shared" ca="1" si="139"/>
        <v>0</v>
      </c>
      <c r="I1439" s="13">
        <f t="shared" ca="1" si="140"/>
        <v>-8</v>
      </c>
      <c r="J1439" s="14">
        <f t="shared" ca="1" si="137"/>
        <v>29</v>
      </c>
      <c r="K1439" s="12" t="s">
        <v>41</v>
      </c>
      <c r="L1439" s="15">
        <v>113</v>
      </c>
      <c r="M1439" s="25" t="s">
        <v>40</v>
      </c>
      <c r="N1439">
        <v>305</v>
      </c>
    </row>
    <row r="1440" spans="1:14" ht="15.75" thickBot="1">
      <c r="A1440" s="26">
        <f t="shared" si="141"/>
        <v>1437</v>
      </c>
      <c r="B1440" s="67" t="s">
        <v>20</v>
      </c>
      <c r="C1440" s="68" t="s">
        <v>959</v>
      </c>
      <c r="D1440" s="68" t="s">
        <v>521</v>
      </c>
      <c r="E1440" s="23">
        <f t="shared" ca="1" si="136"/>
        <v>40951</v>
      </c>
      <c r="F1440" s="16">
        <f>DATE(2003,11,4)</f>
        <v>37929</v>
      </c>
      <c r="G1440" s="17">
        <f t="shared" ca="1" si="138"/>
        <v>9</v>
      </c>
      <c r="H1440" s="17">
        <f t="shared" ca="1" si="139"/>
        <v>-9</v>
      </c>
      <c r="I1440" s="18">
        <f t="shared" ca="1" si="140"/>
        <v>8</v>
      </c>
      <c r="J1440" s="19">
        <f t="shared" ca="1" si="137"/>
        <v>8</v>
      </c>
      <c r="K1440" s="17" t="s">
        <v>40</v>
      </c>
      <c r="L1440" s="20">
        <v>113</v>
      </c>
      <c r="M1440" s="26" t="s">
        <v>44</v>
      </c>
      <c r="N1440">
        <v>305</v>
      </c>
    </row>
    <row r="1441" spans="1:14">
      <c r="A1441" s="25">
        <f t="shared" si="141"/>
        <v>1438</v>
      </c>
      <c r="B1441" s="67" t="s">
        <v>20</v>
      </c>
      <c r="C1441" s="67" t="s">
        <v>960</v>
      </c>
      <c r="D1441" s="67" t="s">
        <v>134</v>
      </c>
      <c r="E1441" s="22">
        <f t="shared" ca="1" si="136"/>
        <v>40951</v>
      </c>
      <c r="F1441" s="11">
        <f>DATE(71,10,1)</f>
        <v>26207</v>
      </c>
      <c r="G1441" s="12">
        <f t="shared" ca="1" si="138"/>
        <v>41</v>
      </c>
      <c r="H1441" s="12">
        <f t="shared" ca="1" si="139"/>
        <v>-8</v>
      </c>
      <c r="I1441" s="13">
        <f t="shared" ca="1" si="140"/>
        <v>11</v>
      </c>
      <c r="J1441" s="14">
        <f t="shared" ca="1" si="137"/>
        <v>40</v>
      </c>
      <c r="K1441" s="12" t="s">
        <v>40</v>
      </c>
      <c r="L1441" s="15">
        <v>113</v>
      </c>
      <c r="M1441" s="25" t="s">
        <v>40</v>
      </c>
      <c r="N1441">
        <v>306</v>
      </c>
    </row>
    <row r="1442" spans="1:14" ht="15.75" thickBot="1">
      <c r="A1442" s="26">
        <f t="shared" si="141"/>
        <v>1439</v>
      </c>
      <c r="B1442" s="67" t="s">
        <v>20</v>
      </c>
      <c r="C1442" s="68" t="s">
        <v>125</v>
      </c>
      <c r="D1442" s="68" t="s">
        <v>961</v>
      </c>
      <c r="E1442" s="23">
        <f t="shared" ca="1" si="136"/>
        <v>40951</v>
      </c>
      <c r="F1442" s="16">
        <f>DATE(84,1,16)</f>
        <v>30697</v>
      </c>
      <c r="G1442" s="17">
        <f t="shared" ca="1" si="138"/>
        <v>28</v>
      </c>
      <c r="H1442" s="17">
        <f t="shared" ca="1" si="139"/>
        <v>1</v>
      </c>
      <c r="I1442" s="18">
        <f t="shared" ca="1" si="140"/>
        <v>-4</v>
      </c>
      <c r="J1442" s="19">
        <f t="shared" ca="1" si="137"/>
        <v>28</v>
      </c>
      <c r="K1442" s="17" t="s">
        <v>41</v>
      </c>
      <c r="L1442" s="20">
        <v>113</v>
      </c>
      <c r="M1442" s="26" t="s">
        <v>40</v>
      </c>
      <c r="N1442">
        <v>306</v>
      </c>
    </row>
    <row r="1443" spans="1:14">
      <c r="A1443" s="25">
        <f t="shared" si="141"/>
        <v>1440</v>
      </c>
      <c r="B1443" s="67" t="s">
        <v>20</v>
      </c>
      <c r="C1443" s="67" t="s">
        <v>962</v>
      </c>
      <c r="D1443" s="67" t="s">
        <v>60</v>
      </c>
      <c r="E1443" s="22">
        <f t="shared" ca="1" si="136"/>
        <v>40951</v>
      </c>
      <c r="F1443" s="11">
        <f>DATE(53,7,13)</f>
        <v>19553</v>
      </c>
      <c r="G1443" s="12">
        <f t="shared" ca="1" si="138"/>
        <v>59</v>
      </c>
      <c r="H1443" s="12">
        <f t="shared" ca="1" si="139"/>
        <v>-5</v>
      </c>
      <c r="I1443" s="13">
        <f t="shared" ca="1" si="140"/>
        <v>-1</v>
      </c>
      <c r="J1443" s="14">
        <f t="shared" ca="1" si="137"/>
        <v>58</v>
      </c>
      <c r="K1443" s="12" t="s">
        <v>40</v>
      </c>
      <c r="L1443" s="15">
        <v>113</v>
      </c>
      <c r="M1443" s="25" t="s">
        <v>40</v>
      </c>
      <c r="N1443">
        <v>307</v>
      </c>
    </row>
    <row r="1444" spans="1:14">
      <c r="A1444" s="25">
        <f t="shared" si="141"/>
        <v>1441</v>
      </c>
      <c r="B1444" s="67" t="s">
        <v>20</v>
      </c>
      <c r="C1444" s="67" t="s">
        <v>963</v>
      </c>
      <c r="D1444" s="67" t="s">
        <v>962</v>
      </c>
      <c r="E1444" s="22">
        <f t="shared" ref="E1444:E1507" ca="1" si="142">TODAY()</f>
        <v>40951</v>
      </c>
      <c r="F1444" s="11">
        <f>DATE(56,9,4)</f>
        <v>20702</v>
      </c>
      <c r="G1444" s="12">
        <f t="shared" ca="1" si="138"/>
        <v>56</v>
      </c>
      <c r="H1444" s="12">
        <f t="shared" ca="1" si="139"/>
        <v>-7</v>
      </c>
      <c r="I1444" s="13">
        <f t="shared" ca="1" si="140"/>
        <v>8</v>
      </c>
      <c r="J1444" s="14">
        <f t="shared" ca="1" si="137"/>
        <v>55</v>
      </c>
      <c r="K1444" s="12" t="s">
        <v>41</v>
      </c>
      <c r="L1444" s="15">
        <v>113</v>
      </c>
      <c r="M1444" s="25" t="s">
        <v>40</v>
      </c>
      <c r="N1444">
        <v>307</v>
      </c>
    </row>
    <row r="1445" spans="1:14">
      <c r="A1445" s="25">
        <f t="shared" si="141"/>
        <v>1442</v>
      </c>
      <c r="B1445" s="67" t="s">
        <v>20</v>
      </c>
      <c r="C1445" s="67" t="s">
        <v>964</v>
      </c>
      <c r="D1445" s="67" t="s">
        <v>962</v>
      </c>
      <c r="E1445" s="22">
        <f t="shared" ca="1" si="142"/>
        <v>40951</v>
      </c>
      <c r="F1445" s="11">
        <f>DATE(79,6,17)</f>
        <v>29023</v>
      </c>
      <c r="G1445" s="12">
        <f t="shared" ca="1" si="138"/>
        <v>33</v>
      </c>
      <c r="H1445" s="12">
        <f t="shared" ca="1" si="139"/>
        <v>-4</v>
      </c>
      <c r="I1445" s="13">
        <f t="shared" ca="1" si="140"/>
        <v>-5</v>
      </c>
      <c r="J1445" s="14">
        <f t="shared" ca="1" si="137"/>
        <v>32</v>
      </c>
      <c r="K1445" s="12" t="s">
        <v>40</v>
      </c>
      <c r="L1445" s="15">
        <v>113</v>
      </c>
      <c r="M1445" s="25" t="s">
        <v>40</v>
      </c>
      <c r="N1445">
        <v>307</v>
      </c>
    </row>
    <row r="1446" spans="1:14">
      <c r="A1446" s="25">
        <f t="shared" si="141"/>
        <v>1443</v>
      </c>
      <c r="B1446" s="67" t="s">
        <v>20</v>
      </c>
      <c r="C1446" s="67" t="s">
        <v>211</v>
      </c>
      <c r="D1446" s="67" t="s">
        <v>964</v>
      </c>
      <c r="E1446" s="22">
        <f t="shared" ca="1" si="142"/>
        <v>40951</v>
      </c>
      <c r="F1446" s="11">
        <f>DATE(79,8,28)</f>
        <v>29095</v>
      </c>
      <c r="G1446" s="12">
        <f t="shared" ca="1" si="138"/>
        <v>33</v>
      </c>
      <c r="H1446" s="12">
        <f t="shared" ca="1" si="139"/>
        <v>-6</v>
      </c>
      <c r="I1446" s="13">
        <f t="shared" ca="1" si="140"/>
        <v>-16</v>
      </c>
      <c r="J1446" s="14">
        <f t="shared" ca="1" si="137"/>
        <v>32</v>
      </c>
      <c r="K1446" s="12" t="s">
        <v>41</v>
      </c>
      <c r="L1446" s="15">
        <v>113</v>
      </c>
      <c r="M1446" s="25" t="s">
        <v>40</v>
      </c>
      <c r="N1446">
        <v>307</v>
      </c>
    </row>
    <row r="1447" spans="1:14">
      <c r="A1447" s="25">
        <f t="shared" si="141"/>
        <v>1444</v>
      </c>
      <c r="B1447" s="67" t="s">
        <v>20</v>
      </c>
      <c r="C1447" s="67"/>
      <c r="D1447" s="67"/>
      <c r="E1447" s="22"/>
      <c r="F1447" s="11"/>
      <c r="G1447" s="12"/>
      <c r="H1447" s="12"/>
      <c r="I1447" s="13"/>
      <c r="J1447" s="14"/>
      <c r="K1447" s="12"/>
      <c r="L1447" s="15"/>
      <c r="M1447" s="25"/>
      <c r="N1447">
        <v>307</v>
      </c>
    </row>
    <row r="1448" spans="1:14" ht="15.75" thickBot="1">
      <c r="A1448" s="26">
        <f t="shared" si="141"/>
        <v>1445</v>
      </c>
      <c r="B1448" s="67" t="s">
        <v>20</v>
      </c>
      <c r="C1448" s="68" t="s">
        <v>965</v>
      </c>
      <c r="D1448" s="68" t="s">
        <v>964</v>
      </c>
      <c r="E1448" s="23">
        <f t="shared" ca="1" si="142"/>
        <v>40951</v>
      </c>
      <c r="F1448" s="16">
        <f>DATE(2005,11,23)</f>
        <v>38679</v>
      </c>
      <c r="G1448" s="17">
        <f t="shared" ca="1" si="138"/>
        <v>7</v>
      </c>
      <c r="H1448" s="17">
        <f t="shared" ca="1" si="139"/>
        <v>-9</v>
      </c>
      <c r="I1448" s="18">
        <f t="shared" ca="1" si="140"/>
        <v>-11</v>
      </c>
      <c r="J1448" s="19">
        <f t="shared" ca="1" si="137"/>
        <v>6</v>
      </c>
      <c r="K1448" s="17" t="s">
        <v>40</v>
      </c>
      <c r="L1448" s="20">
        <v>113</v>
      </c>
      <c r="M1448" s="26" t="s">
        <v>44</v>
      </c>
      <c r="N1448">
        <v>307</v>
      </c>
    </row>
    <row r="1449" spans="1:14">
      <c r="A1449" s="25">
        <f t="shared" si="141"/>
        <v>1446</v>
      </c>
      <c r="B1449" s="67" t="s">
        <v>20</v>
      </c>
      <c r="C1449" s="67" t="s">
        <v>315</v>
      </c>
      <c r="D1449" s="67" t="s">
        <v>77</v>
      </c>
      <c r="E1449" s="22">
        <f t="shared" ca="1" si="142"/>
        <v>40951</v>
      </c>
      <c r="F1449" s="11">
        <f>DATE(55,10,1)</f>
        <v>20363</v>
      </c>
      <c r="G1449" s="12">
        <f t="shared" ca="1" si="138"/>
        <v>57</v>
      </c>
      <c r="H1449" s="12">
        <f t="shared" ca="1" si="139"/>
        <v>-8</v>
      </c>
      <c r="I1449" s="13">
        <f t="shared" ca="1" si="140"/>
        <v>11</v>
      </c>
      <c r="J1449" s="14">
        <f t="shared" ca="1" si="137"/>
        <v>56</v>
      </c>
      <c r="K1449" s="12" t="s">
        <v>40</v>
      </c>
      <c r="L1449" s="15">
        <v>114</v>
      </c>
      <c r="M1449" s="25" t="s">
        <v>40</v>
      </c>
      <c r="N1449">
        <v>308</v>
      </c>
    </row>
    <row r="1450" spans="1:14">
      <c r="A1450" s="25">
        <f t="shared" si="141"/>
        <v>1447</v>
      </c>
      <c r="B1450" s="67" t="s">
        <v>20</v>
      </c>
      <c r="C1450" s="67" t="s">
        <v>113</v>
      </c>
      <c r="D1450" s="67" t="s">
        <v>315</v>
      </c>
      <c r="E1450" s="22">
        <f t="shared" ca="1" si="142"/>
        <v>40951</v>
      </c>
      <c r="F1450" s="11">
        <f>DATE(66,2,2)</f>
        <v>24140</v>
      </c>
      <c r="G1450" s="12">
        <f t="shared" ca="1" si="138"/>
        <v>46</v>
      </c>
      <c r="H1450" s="12">
        <f t="shared" ca="1" si="139"/>
        <v>0</v>
      </c>
      <c r="I1450" s="13">
        <f t="shared" ca="1" si="140"/>
        <v>10</v>
      </c>
      <c r="J1450" s="14">
        <f t="shared" ca="1" si="137"/>
        <v>46</v>
      </c>
      <c r="K1450" s="12" t="s">
        <v>41</v>
      </c>
      <c r="L1450" s="15">
        <v>114</v>
      </c>
      <c r="M1450" s="25" t="s">
        <v>40</v>
      </c>
      <c r="N1450">
        <v>308</v>
      </c>
    </row>
    <row r="1451" spans="1:14">
      <c r="A1451" s="25">
        <f t="shared" si="141"/>
        <v>1448</v>
      </c>
      <c r="B1451" s="67" t="s">
        <v>20</v>
      </c>
      <c r="C1451" s="67" t="s">
        <v>180</v>
      </c>
      <c r="D1451" s="67" t="s">
        <v>315</v>
      </c>
      <c r="E1451" s="22">
        <f t="shared" ca="1" si="142"/>
        <v>40951</v>
      </c>
      <c r="F1451" s="11">
        <f>DATE(90,5,11)</f>
        <v>33004</v>
      </c>
      <c r="G1451" s="12">
        <f t="shared" ca="1" si="138"/>
        <v>22</v>
      </c>
      <c r="H1451" s="12">
        <f t="shared" ca="1" si="139"/>
        <v>-3</v>
      </c>
      <c r="I1451" s="13">
        <f t="shared" ca="1" si="140"/>
        <v>1</v>
      </c>
      <c r="J1451" s="14">
        <f t="shared" ca="1" si="137"/>
        <v>21</v>
      </c>
      <c r="K1451" s="12" t="s">
        <v>41</v>
      </c>
      <c r="L1451" s="15">
        <v>114</v>
      </c>
      <c r="M1451" s="25" t="s">
        <v>44</v>
      </c>
      <c r="N1451">
        <v>308</v>
      </c>
    </row>
    <row r="1452" spans="1:14">
      <c r="A1452" s="25">
        <f t="shared" si="141"/>
        <v>1449</v>
      </c>
      <c r="B1452" s="67" t="s">
        <v>20</v>
      </c>
      <c r="C1452" s="67" t="s">
        <v>966</v>
      </c>
      <c r="D1452" s="67" t="s">
        <v>315</v>
      </c>
      <c r="E1452" s="22">
        <f t="shared" ca="1" si="142"/>
        <v>40951</v>
      </c>
      <c r="F1452" s="11">
        <f>DATE(93,9,1)</f>
        <v>34213</v>
      </c>
      <c r="G1452" s="12">
        <f t="shared" ca="1" si="138"/>
        <v>19</v>
      </c>
      <c r="H1452" s="12">
        <f t="shared" ca="1" si="139"/>
        <v>-7</v>
      </c>
      <c r="I1452" s="13">
        <f t="shared" ca="1" si="140"/>
        <v>11</v>
      </c>
      <c r="J1452" s="14">
        <f t="shared" ca="1" si="137"/>
        <v>18</v>
      </c>
      <c r="K1452" s="12" t="s">
        <v>40</v>
      </c>
      <c r="L1452" s="15">
        <v>114</v>
      </c>
      <c r="M1452" s="25" t="s">
        <v>44</v>
      </c>
      <c r="N1452">
        <v>308</v>
      </c>
    </row>
    <row r="1453" spans="1:14" ht="15.75" thickBot="1">
      <c r="A1453" s="26">
        <f t="shared" si="141"/>
        <v>1450</v>
      </c>
      <c r="B1453" s="67" t="s">
        <v>20</v>
      </c>
      <c r="C1453" s="68" t="s">
        <v>113</v>
      </c>
      <c r="D1453" s="68" t="s">
        <v>77</v>
      </c>
      <c r="E1453" s="23">
        <f t="shared" ca="1" si="142"/>
        <v>40951</v>
      </c>
      <c r="F1453" s="33"/>
      <c r="G1453" s="17">
        <f t="shared" ca="1" si="138"/>
        <v>112</v>
      </c>
      <c r="H1453" s="17">
        <f t="shared" ca="1" si="139"/>
        <v>1</v>
      </c>
      <c r="I1453" s="18">
        <f t="shared" ca="1" si="140"/>
        <v>12</v>
      </c>
      <c r="J1453" s="19">
        <f t="shared" ca="1" si="137"/>
        <v>112</v>
      </c>
      <c r="K1453" s="17" t="s">
        <v>41</v>
      </c>
      <c r="L1453" s="20">
        <v>114</v>
      </c>
      <c r="M1453" s="26" t="s">
        <v>44</v>
      </c>
      <c r="N1453">
        <v>308</v>
      </c>
    </row>
    <row r="1454" spans="1:14">
      <c r="A1454" s="25">
        <f t="shared" si="141"/>
        <v>1451</v>
      </c>
      <c r="B1454" s="67" t="s">
        <v>20</v>
      </c>
      <c r="C1454" s="67" t="s">
        <v>967</v>
      </c>
      <c r="D1454" s="67" t="s">
        <v>969</v>
      </c>
      <c r="E1454" s="22">
        <f t="shared" ca="1" si="142"/>
        <v>40951</v>
      </c>
      <c r="F1454" s="11">
        <f>DATE(42,5,12)</f>
        <v>15473</v>
      </c>
      <c r="G1454" s="12">
        <f t="shared" ca="1" si="138"/>
        <v>70</v>
      </c>
      <c r="H1454" s="12">
        <f t="shared" ca="1" si="139"/>
        <v>-3</v>
      </c>
      <c r="I1454" s="13">
        <f t="shared" ca="1" si="140"/>
        <v>0</v>
      </c>
      <c r="J1454" s="14">
        <f t="shared" ca="1" si="137"/>
        <v>69</v>
      </c>
      <c r="K1454" s="12" t="s">
        <v>40</v>
      </c>
      <c r="L1454" s="15">
        <v>114</v>
      </c>
      <c r="M1454" s="25" t="s">
        <v>40</v>
      </c>
      <c r="N1454">
        <v>309</v>
      </c>
    </row>
    <row r="1455" spans="1:14">
      <c r="A1455" s="25">
        <f t="shared" si="141"/>
        <v>1452</v>
      </c>
      <c r="B1455" s="67" t="s">
        <v>20</v>
      </c>
      <c r="C1455" s="67" t="s">
        <v>552</v>
      </c>
      <c r="D1455" s="67" t="s">
        <v>967</v>
      </c>
      <c r="E1455" s="22">
        <f t="shared" ca="1" si="142"/>
        <v>40951</v>
      </c>
      <c r="F1455" s="11">
        <f>DATE(47,1,30)</f>
        <v>17197</v>
      </c>
      <c r="G1455" s="12">
        <f t="shared" ca="1" si="138"/>
        <v>65</v>
      </c>
      <c r="H1455" s="12">
        <f t="shared" ca="1" si="139"/>
        <v>1</v>
      </c>
      <c r="I1455" s="13">
        <f t="shared" ca="1" si="140"/>
        <v>-18</v>
      </c>
      <c r="J1455" s="14">
        <f t="shared" ca="1" si="137"/>
        <v>65</v>
      </c>
      <c r="K1455" s="12" t="s">
        <v>41</v>
      </c>
      <c r="L1455" s="15">
        <v>114</v>
      </c>
      <c r="M1455" s="25" t="s">
        <v>40</v>
      </c>
      <c r="N1455">
        <v>309</v>
      </c>
    </row>
    <row r="1456" spans="1:14">
      <c r="A1456" s="25">
        <f t="shared" si="141"/>
        <v>1453</v>
      </c>
      <c r="B1456" s="67" t="s">
        <v>20</v>
      </c>
      <c r="C1456" s="67" t="s">
        <v>968</v>
      </c>
      <c r="D1456" s="67" t="s">
        <v>969</v>
      </c>
      <c r="E1456" s="22">
        <f t="shared" ca="1" si="142"/>
        <v>40951</v>
      </c>
      <c r="F1456" s="11">
        <f>DATE(23,10,23)</f>
        <v>8697</v>
      </c>
      <c r="G1456" s="12">
        <f t="shared" ca="1" si="138"/>
        <v>89</v>
      </c>
      <c r="H1456" s="12">
        <f t="shared" ca="1" si="139"/>
        <v>-8</v>
      </c>
      <c r="I1456" s="13">
        <f t="shared" ca="1" si="140"/>
        <v>-11</v>
      </c>
      <c r="J1456" s="14">
        <f t="shared" ca="1" si="137"/>
        <v>88</v>
      </c>
      <c r="K1456" s="12" t="s">
        <v>41</v>
      </c>
      <c r="L1456" s="15">
        <v>114</v>
      </c>
      <c r="M1456" s="25" t="s">
        <v>40</v>
      </c>
      <c r="N1456">
        <v>309</v>
      </c>
    </row>
    <row r="1457" spans="1:14">
      <c r="A1457" s="25">
        <f t="shared" si="141"/>
        <v>1454</v>
      </c>
      <c r="B1457" s="67" t="s">
        <v>20</v>
      </c>
      <c r="C1457" s="67" t="s">
        <v>970</v>
      </c>
      <c r="D1457" s="67" t="s">
        <v>967</v>
      </c>
      <c r="E1457" s="22">
        <f t="shared" ca="1" si="142"/>
        <v>40951</v>
      </c>
      <c r="F1457" s="11">
        <f>DATE(71,2,22)</f>
        <v>25986</v>
      </c>
      <c r="G1457" s="12">
        <f t="shared" ca="1" si="138"/>
        <v>41</v>
      </c>
      <c r="H1457" s="12">
        <f t="shared" ca="1" si="139"/>
        <v>0</v>
      </c>
      <c r="I1457" s="13">
        <f t="shared" ca="1" si="140"/>
        <v>-10</v>
      </c>
      <c r="J1457" s="14">
        <f t="shared" ca="1" si="137"/>
        <v>40</v>
      </c>
      <c r="K1457" s="12" t="s">
        <v>40</v>
      </c>
      <c r="L1457" s="15">
        <v>114</v>
      </c>
      <c r="M1457" s="25" t="s">
        <v>40</v>
      </c>
      <c r="N1457">
        <v>309</v>
      </c>
    </row>
    <row r="1458" spans="1:14">
      <c r="A1458" s="25">
        <f t="shared" si="141"/>
        <v>1455</v>
      </c>
      <c r="B1458" s="67" t="s">
        <v>20</v>
      </c>
      <c r="C1458" s="67" t="s">
        <v>779</v>
      </c>
      <c r="D1458" s="67" t="s">
        <v>970</v>
      </c>
      <c r="E1458" s="22">
        <f t="shared" ca="1" si="142"/>
        <v>40951</v>
      </c>
      <c r="F1458" s="11">
        <f>DATE(74,8,9)</f>
        <v>27250</v>
      </c>
      <c r="G1458" s="12">
        <f t="shared" ca="1" si="138"/>
        <v>38</v>
      </c>
      <c r="H1458" s="12">
        <f t="shared" ca="1" si="139"/>
        <v>-6</v>
      </c>
      <c r="I1458" s="13">
        <f t="shared" ca="1" si="140"/>
        <v>3</v>
      </c>
      <c r="J1458" s="14">
        <f t="shared" ca="1" si="137"/>
        <v>37</v>
      </c>
      <c r="K1458" s="12" t="s">
        <v>41</v>
      </c>
      <c r="L1458" s="15">
        <v>114</v>
      </c>
      <c r="M1458" s="25" t="s">
        <v>40</v>
      </c>
      <c r="N1458">
        <v>309</v>
      </c>
    </row>
    <row r="1459" spans="1:14" ht="15.75" thickBot="1">
      <c r="A1459" s="26">
        <f t="shared" si="141"/>
        <v>1456</v>
      </c>
      <c r="B1459" s="67" t="s">
        <v>20</v>
      </c>
      <c r="C1459" s="68" t="s">
        <v>971</v>
      </c>
      <c r="D1459" s="68" t="s">
        <v>970</v>
      </c>
      <c r="E1459" s="23">
        <f t="shared" ca="1" si="142"/>
        <v>40951</v>
      </c>
      <c r="F1459" s="16">
        <f>DATE(2001,2,22)</f>
        <v>36944</v>
      </c>
      <c r="G1459" s="17">
        <f t="shared" ca="1" si="138"/>
        <v>11</v>
      </c>
      <c r="H1459" s="17">
        <f t="shared" ca="1" si="139"/>
        <v>0</v>
      </c>
      <c r="I1459" s="18">
        <f t="shared" ca="1" si="140"/>
        <v>-10</v>
      </c>
      <c r="J1459" s="19">
        <f t="shared" ca="1" si="137"/>
        <v>10</v>
      </c>
      <c r="K1459" s="17" t="s">
        <v>40</v>
      </c>
      <c r="L1459" s="20">
        <v>114</v>
      </c>
      <c r="M1459" s="26" t="s">
        <v>44</v>
      </c>
      <c r="N1459">
        <v>309</v>
      </c>
    </row>
    <row r="1460" spans="1:14">
      <c r="A1460" s="25">
        <f t="shared" si="141"/>
        <v>1457</v>
      </c>
      <c r="B1460" s="67" t="s">
        <v>20</v>
      </c>
      <c r="C1460" s="67" t="s">
        <v>972</v>
      </c>
      <c r="D1460" s="67" t="s">
        <v>973</v>
      </c>
      <c r="E1460" s="22">
        <f t="shared" ca="1" si="142"/>
        <v>40951</v>
      </c>
      <c r="F1460" s="11">
        <f>DATE(59,12,28)</f>
        <v>21912</v>
      </c>
      <c r="G1460" s="12">
        <f t="shared" ca="1" si="138"/>
        <v>53</v>
      </c>
      <c r="H1460" s="12">
        <f t="shared" ca="1" si="139"/>
        <v>-10</v>
      </c>
      <c r="I1460" s="13">
        <f t="shared" ca="1" si="140"/>
        <v>-16</v>
      </c>
      <c r="J1460" s="14">
        <f t="shared" ca="1" si="137"/>
        <v>52</v>
      </c>
      <c r="K1460" s="12" t="s">
        <v>40</v>
      </c>
      <c r="L1460" s="15">
        <v>114</v>
      </c>
      <c r="M1460" s="25" t="s">
        <v>40</v>
      </c>
      <c r="N1460">
        <v>310</v>
      </c>
    </row>
    <row r="1461" spans="1:14">
      <c r="A1461" s="25">
        <f t="shared" si="141"/>
        <v>1458</v>
      </c>
      <c r="B1461" s="67" t="s">
        <v>20</v>
      </c>
      <c r="C1461" s="67" t="s">
        <v>305</v>
      </c>
      <c r="D1461" s="67" t="s">
        <v>973</v>
      </c>
      <c r="E1461" s="22">
        <f t="shared" ca="1" si="142"/>
        <v>40951</v>
      </c>
      <c r="F1461" s="11">
        <f>DATE(82,6,280)</f>
        <v>30382</v>
      </c>
      <c r="G1461" s="12">
        <f t="shared" ca="1" si="138"/>
        <v>29</v>
      </c>
      <c r="H1461" s="12">
        <f t="shared" ca="1" si="139"/>
        <v>-1</v>
      </c>
      <c r="I1461" s="13">
        <f t="shared" ca="1" si="140"/>
        <v>5</v>
      </c>
      <c r="J1461" s="14">
        <f t="shared" ca="1" si="137"/>
        <v>28</v>
      </c>
      <c r="K1461" s="12" t="s">
        <v>40</v>
      </c>
      <c r="L1461" s="15">
        <v>114</v>
      </c>
      <c r="M1461" s="25" t="s">
        <v>44</v>
      </c>
      <c r="N1461">
        <v>310</v>
      </c>
    </row>
    <row r="1462" spans="1:14">
      <c r="A1462" s="25">
        <f t="shared" si="141"/>
        <v>1459</v>
      </c>
      <c r="B1462" s="67" t="s">
        <v>20</v>
      </c>
      <c r="C1462" s="67" t="s">
        <v>974</v>
      </c>
      <c r="D1462" s="67" t="s">
        <v>973</v>
      </c>
      <c r="E1462" s="22">
        <f t="shared" ca="1" si="142"/>
        <v>40951</v>
      </c>
      <c r="F1462" s="11">
        <f>DATE(84,11,6)</f>
        <v>30992</v>
      </c>
      <c r="G1462" s="12">
        <f t="shared" ca="1" si="138"/>
        <v>28</v>
      </c>
      <c r="H1462" s="12">
        <f t="shared" ca="1" si="139"/>
        <v>-9</v>
      </c>
      <c r="I1462" s="13">
        <f t="shared" ca="1" si="140"/>
        <v>6</v>
      </c>
      <c r="J1462" s="14">
        <f t="shared" ca="1" si="137"/>
        <v>27</v>
      </c>
      <c r="K1462" s="12" t="s">
        <v>40</v>
      </c>
      <c r="L1462" s="15">
        <v>114</v>
      </c>
      <c r="M1462" s="25" t="s">
        <v>44</v>
      </c>
      <c r="N1462">
        <v>310</v>
      </c>
    </row>
    <row r="1463" spans="1:14" ht="15.75" thickBot="1">
      <c r="A1463" s="26">
        <f t="shared" si="141"/>
        <v>1460</v>
      </c>
      <c r="B1463" s="67" t="s">
        <v>20</v>
      </c>
      <c r="C1463" s="68" t="s">
        <v>234</v>
      </c>
      <c r="D1463" s="68" t="s">
        <v>973</v>
      </c>
      <c r="E1463" s="23">
        <f t="shared" ca="1" si="142"/>
        <v>40951</v>
      </c>
      <c r="F1463" s="16">
        <f>DATE(92,12,8)</f>
        <v>33946</v>
      </c>
      <c r="G1463" s="17">
        <f t="shared" ca="1" si="138"/>
        <v>20</v>
      </c>
      <c r="H1463" s="17">
        <f t="shared" ca="1" si="139"/>
        <v>-10</v>
      </c>
      <c r="I1463" s="18">
        <f t="shared" ca="1" si="140"/>
        <v>4</v>
      </c>
      <c r="J1463" s="19">
        <f t="shared" ca="1" si="137"/>
        <v>19</v>
      </c>
      <c r="K1463" s="17" t="s">
        <v>40</v>
      </c>
      <c r="L1463" s="20">
        <v>114</v>
      </c>
      <c r="M1463" s="26" t="s">
        <v>44</v>
      </c>
      <c r="N1463">
        <v>310</v>
      </c>
    </row>
    <row r="1464" spans="1:14">
      <c r="A1464" s="25">
        <f t="shared" si="141"/>
        <v>1461</v>
      </c>
      <c r="B1464" s="67" t="s">
        <v>20</v>
      </c>
      <c r="C1464" s="67" t="s">
        <v>480</v>
      </c>
      <c r="D1464" s="67" t="s">
        <v>70</v>
      </c>
      <c r="E1464" s="22">
        <f t="shared" ca="1" si="142"/>
        <v>40951</v>
      </c>
      <c r="F1464" s="32"/>
      <c r="G1464" s="12">
        <f t="shared" ca="1" si="138"/>
        <v>112</v>
      </c>
      <c r="H1464" s="12">
        <f t="shared" ca="1" si="139"/>
        <v>1</v>
      </c>
      <c r="I1464" s="13">
        <f t="shared" ca="1" si="140"/>
        <v>12</v>
      </c>
      <c r="J1464" s="14">
        <f t="shared" ca="1" si="137"/>
        <v>112</v>
      </c>
      <c r="K1464" s="12" t="s">
        <v>41</v>
      </c>
      <c r="L1464" s="15">
        <v>115</v>
      </c>
      <c r="M1464" s="25" t="s">
        <v>40</v>
      </c>
      <c r="N1464">
        <v>311</v>
      </c>
    </row>
    <row r="1465" spans="1:14">
      <c r="A1465" s="25">
        <f t="shared" si="141"/>
        <v>1462</v>
      </c>
      <c r="B1465" s="67" t="s">
        <v>20</v>
      </c>
      <c r="C1465" s="67" t="s">
        <v>788</v>
      </c>
      <c r="D1465" s="67" t="s">
        <v>70</v>
      </c>
      <c r="E1465" s="22">
        <f t="shared" ca="1" si="142"/>
        <v>40951</v>
      </c>
      <c r="F1465" s="11">
        <f>DATE(61,1,20)</f>
        <v>22301</v>
      </c>
      <c r="G1465" s="12">
        <f t="shared" ca="1" si="138"/>
        <v>51</v>
      </c>
      <c r="H1465" s="12">
        <f t="shared" ca="1" si="139"/>
        <v>1</v>
      </c>
      <c r="I1465" s="13">
        <f t="shared" ca="1" si="140"/>
        <v>-8</v>
      </c>
      <c r="J1465" s="14">
        <f t="shared" ca="1" si="137"/>
        <v>51</v>
      </c>
      <c r="K1465" s="12" t="s">
        <v>40</v>
      </c>
      <c r="L1465" s="15">
        <v>115</v>
      </c>
      <c r="M1465" s="25" t="s">
        <v>40</v>
      </c>
      <c r="N1465">
        <v>311</v>
      </c>
    </row>
    <row r="1466" spans="1:14">
      <c r="A1466" s="25">
        <f t="shared" si="141"/>
        <v>1463</v>
      </c>
      <c r="B1466" s="67" t="s">
        <v>20</v>
      </c>
      <c r="C1466" s="67" t="s">
        <v>810</v>
      </c>
      <c r="D1466" s="67" t="s">
        <v>892</v>
      </c>
      <c r="E1466" s="22">
        <f t="shared" ca="1" si="142"/>
        <v>40951</v>
      </c>
      <c r="F1466" s="11">
        <f>DATE(66,2,26)</f>
        <v>24164</v>
      </c>
      <c r="G1466" s="12">
        <f t="shared" ca="1" si="138"/>
        <v>46</v>
      </c>
      <c r="H1466" s="12">
        <f t="shared" ca="1" si="139"/>
        <v>0</v>
      </c>
      <c r="I1466" s="13">
        <f t="shared" ca="1" si="140"/>
        <v>-14</v>
      </c>
      <c r="J1466" s="14">
        <f t="shared" ca="1" si="137"/>
        <v>45</v>
      </c>
      <c r="K1466" s="12" t="s">
        <v>41</v>
      </c>
      <c r="L1466" s="15">
        <v>115</v>
      </c>
      <c r="M1466" s="25" t="s">
        <v>40</v>
      </c>
      <c r="N1466">
        <v>311</v>
      </c>
    </row>
    <row r="1467" spans="1:14">
      <c r="A1467" s="25">
        <f t="shared" si="141"/>
        <v>1464</v>
      </c>
      <c r="B1467" s="67" t="s">
        <v>20</v>
      </c>
      <c r="C1467" s="67" t="s">
        <v>392</v>
      </c>
      <c r="D1467" s="67" t="s">
        <v>892</v>
      </c>
      <c r="E1467" s="22">
        <f t="shared" ca="1" si="142"/>
        <v>40951</v>
      </c>
      <c r="F1467" s="11">
        <f>DATE(2004,12,210)</f>
        <v>38531</v>
      </c>
      <c r="G1467" s="12">
        <f t="shared" ca="1" si="138"/>
        <v>7</v>
      </c>
      <c r="H1467" s="12">
        <f t="shared" ca="1" si="139"/>
        <v>-4</v>
      </c>
      <c r="I1467" s="13">
        <f t="shared" ca="1" si="140"/>
        <v>-16</v>
      </c>
      <c r="J1467" s="14">
        <f t="shared" ca="1" si="137"/>
        <v>6</v>
      </c>
      <c r="K1467" s="12" t="s">
        <v>40</v>
      </c>
      <c r="L1467" s="15">
        <v>115</v>
      </c>
      <c r="M1467" s="25" t="s">
        <v>44</v>
      </c>
      <c r="N1467">
        <v>311</v>
      </c>
    </row>
    <row r="1468" spans="1:14">
      <c r="A1468" s="25">
        <f t="shared" si="141"/>
        <v>1465</v>
      </c>
      <c r="B1468" s="67" t="s">
        <v>20</v>
      </c>
      <c r="C1468" s="67" t="s">
        <v>975</v>
      </c>
      <c r="D1468" s="67" t="s">
        <v>892</v>
      </c>
      <c r="E1468" s="22">
        <f t="shared" ca="1" si="142"/>
        <v>40951</v>
      </c>
      <c r="F1468" s="11">
        <f>DATE(63,6,12)</f>
        <v>23174</v>
      </c>
      <c r="G1468" s="12">
        <f t="shared" ca="1" si="138"/>
        <v>49</v>
      </c>
      <c r="H1468" s="12">
        <f t="shared" ca="1" si="139"/>
        <v>-4</v>
      </c>
      <c r="I1468" s="13">
        <f t="shared" ca="1" si="140"/>
        <v>0</v>
      </c>
      <c r="J1468" s="14">
        <f t="shared" ca="1" si="137"/>
        <v>48</v>
      </c>
      <c r="K1468" s="12" t="s">
        <v>40</v>
      </c>
      <c r="L1468" s="15">
        <v>115</v>
      </c>
      <c r="M1468" s="25" t="s">
        <v>40</v>
      </c>
      <c r="N1468">
        <v>311</v>
      </c>
    </row>
    <row r="1469" spans="1:14">
      <c r="A1469" s="25">
        <f t="shared" si="141"/>
        <v>1466</v>
      </c>
      <c r="B1469" s="67" t="s">
        <v>20</v>
      </c>
      <c r="C1469" s="67" t="s">
        <v>976</v>
      </c>
      <c r="D1469" s="67" t="s">
        <v>975</v>
      </c>
      <c r="E1469" s="22">
        <f t="shared" ca="1" si="142"/>
        <v>40951</v>
      </c>
      <c r="F1469" s="11">
        <f>DATE(71,5,1)</f>
        <v>26054</v>
      </c>
      <c r="G1469" s="12">
        <f t="shared" ca="1" si="138"/>
        <v>41</v>
      </c>
      <c r="H1469" s="12">
        <f t="shared" ca="1" si="139"/>
        <v>-3</v>
      </c>
      <c r="I1469" s="13">
        <f t="shared" ca="1" si="140"/>
        <v>11</v>
      </c>
      <c r="J1469" s="14">
        <f t="shared" ca="1" si="137"/>
        <v>40</v>
      </c>
      <c r="K1469" s="12" t="s">
        <v>41</v>
      </c>
      <c r="L1469" s="15">
        <v>115</v>
      </c>
      <c r="M1469" s="25" t="s">
        <v>40</v>
      </c>
      <c r="N1469">
        <v>311</v>
      </c>
    </row>
    <row r="1470" spans="1:14">
      <c r="A1470" s="25">
        <f t="shared" si="141"/>
        <v>1467</v>
      </c>
      <c r="B1470" s="67" t="s">
        <v>20</v>
      </c>
      <c r="C1470" s="67" t="s">
        <v>977</v>
      </c>
      <c r="D1470" s="67" t="s">
        <v>975</v>
      </c>
      <c r="E1470" s="22">
        <f t="shared" ca="1" si="142"/>
        <v>40951</v>
      </c>
      <c r="F1470" s="11">
        <f>DATE(90,8,4)</f>
        <v>33089</v>
      </c>
      <c r="G1470" s="12">
        <f t="shared" ca="1" si="138"/>
        <v>22</v>
      </c>
      <c r="H1470" s="12">
        <f t="shared" ca="1" si="139"/>
        <v>-6</v>
      </c>
      <c r="I1470" s="13">
        <f t="shared" ca="1" si="140"/>
        <v>8</v>
      </c>
      <c r="J1470" s="14">
        <f t="shared" ca="1" si="137"/>
        <v>21</v>
      </c>
      <c r="K1470" s="12" t="s">
        <v>40</v>
      </c>
      <c r="L1470" s="15">
        <v>115</v>
      </c>
      <c r="M1470" s="25" t="s">
        <v>44</v>
      </c>
      <c r="N1470">
        <v>311</v>
      </c>
    </row>
    <row r="1471" spans="1:14">
      <c r="A1471" s="25">
        <f t="shared" si="141"/>
        <v>1468</v>
      </c>
      <c r="B1471" s="67" t="s">
        <v>20</v>
      </c>
      <c r="C1471" s="67" t="s">
        <v>978</v>
      </c>
      <c r="D1471" s="67" t="s">
        <v>975</v>
      </c>
      <c r="E1471" s="22">
        <f t="shared" ca="1" si="142"/>
        <v>40951</v>
      </c>
      <c r="F1471" s="11">
        <f>DATE(93,2,27)</f>
        <v>34027</v>
      </c>
      <c r="G1471" s="12">
        <f t="shared" ca="1" si="138"/>
        <v>19</v>
      </c>
      <c r="H1471" s="12">
        <f t="shared" ca="1" si="139"/>
        <v>0</v>
      </c>
      <c r="I1471" s="13">
        <f t="shared" ca="1" si="140"/>
        <v>-15</v>
      </c>
      <c r="J1471" s="14">
        <f t="shared" ca="1" si="137"/>
        <v>18</v>
      </c>
      <c r="K1471" s="12" t="s">
        <v>40</v>
      </c>
      <c r="L1471" s="15">
        <v>115</v>
      </c>
      <c r="M1471" s="25" t="s">
        <v>44</v>
      </c>
      <c r="N1471">
        <v>311</v>
      </c>
    </row>
    <row r="1472" spans="1:14" ht="15.75" thickBot="1">
      <c r="A1472" s="26">
        <f t="shared" si="141"/>
        <v>1469</v>
      </c>
      <c r="B1472" s="67" t="s">
        <v>20</v>
      </c>
      <c r="C1472" s="68" t="s">
        <v>979</v>
      </c>
      <c r="D1472" s="68" t="s">
        <v>975</v>
      </c>
      <c r="E1472" s="23">
        <f t="shared" ca="1" si="142"/>
        <v>40951</v>
      </c>
      <c r="F1472" s="16">
        <f>DATE(96,12,18)</f>
        <v>35417</v>
      </c>
      <c r="G1472" s="17">
        <f t="shared" ca="1" si="138"/>
        <v>16</v>
      </c>
      <c r="H1472" s="17">
        <f t="shared" ca="1" si="139"/>
        <v>-10</v>
      </c>
      <c r="I1472" s="18">
        <f t="shared" ca="1" si="140"/>
        <v>-6</v>
      </c>
      <c r="J1472" s="19">
        <f t="shared" ca="1" si="137"/>
        <v>15</v>
      </c>
      <c r="K1472" s="17" t="s">
        <v>41</v>
      </c>
      <c r="L1472" s="20">
        <v>115</v>
      </c>
      <c r="M1472" s="26" t="s">
        <v>44</v>
      </c>
      <c r="N1472">
        <v>311</v>
      </c>
    </row>
    <row r="1473" spans="1:14">
      <c r="A1473" s="25">
        <f t="shared" si="141"/>
        <v>1470</v>
      </c>
      <c r="B1473" s="67" t="s">
        <v>20</v>
      </c>
      <c r="C1473" s="67" t="s">
        <v>193</v>
      </c>
      <c r="D1473" s="67" t="s">
        <v>316</v>
      </c>
      <c r="E1473" s="22">
        <f t="shared" ca="1" si="142"/>
        <v>40951</v>
      </c>
      <c r="F1473" s="11">
        <f>DATE(48,7,24)</f>
        <v>17738</v>
      </c>
      <c r="G1473" s="12">
        <f t="shared" ca="1" si="138"/>
        <v>64</v>
      </c>
      <c r="H1473" s="12">
        <f t="shared" ca="1" si="139"/>
        <v>-5</v>
      </c>
      <c r="I1473" s="13">
        <f t="shared" ca="1" si="140"/>
        <v>-12</v>
      </c>
      <c r="J1473" s="14">
        <f t="shared" ca="1" si="137"/>
        <v>63</v>
      </c>
      <c r="K1473" s="12" t="s">
        <v>40</v>
      </c>
      <c r="L1473" s="15">
        <v>115</v>
      </c>
      <c r="M1473" s="25" t="s">
        <v>40</v>
      </c>
      <c r="N1473">
        <v>312</v>
      </c>
    </row>
    <row r="1474" spans="1:14">
      <c r="A1474" s="25">
        <f t="shared" si="141"/>
        <v>1471</v>
      </c>
      <c r="B1474" s="67" t="s">
        <v>20</v>
      </c>
      <c r="C1474" s="67" t="s">
        <v>980</v>
      </c>
      <c r="D1474" s="67" t="s">
        <v>193</v>
      </c>
      <c r="E1474" s="22">
        <f t="shared" ca="1" si="142"/>
        <v>40951</v>
      </c>
      <c r="F1474" s="11">
        <f>DATE(51,12,24)</f>
        <v>18986</v>
      </c>
      <c r="G1474" s="12">
        <f t="shared" ca="1" si="138"/>
        <v>61</v>
      </c>
      <c r="H1474" s="12">
        <f t="shared" ca="1" si="139"/>
        <v>-10</v>
      </c>
      <c r="I1474" s="13">
        <f t="shared" ca="1" si="140"/>
        <v>-12</v>
      </c>
      <c r="J1474" s="14">
        <f t="shared" ca="1" si="137"/>
        <v>60</v>
      </c>
      <c r="K1474" s="12" t="s">
        <v>41</v>
      </c>
      <c r="L1474" s="15">
        <v>115</v>
      </c>
      <c r="M1474" s="25" t="s">
        <v>40</v>
      </c>
      <c r="N1474">
        <v>312</v>
      </c>
    </row>
    <row r="1475" spans="1:14" ht="15.75" thickBot="1">
      <c r="A1475" s="26">
        <f t="shared" si="141"/>
        <v>1472</v>
      </c>
      <c r="B1475" s="67" t="s">
        <v>20</v>
      </c>
      <c r="C1475" s="68" t="s">
        <v>981</v>
      </c>
      <c r="D1475" s="68" t="s">
        <v>193</v>
      </c>
      <c r="E1475" s="23">
        <f t="shared" ca="1" si="142"/>
        <v>40951</v>
      </c>
      <c r="F1475" s="16">
        <f>DATE(83,11,1)</f>
        <v>30621</v>
      </c>
      <c r="G1475" s="17">
        <f t="shared" ca="1" si="138"/>
        <v>29</v>
      </c>
      <c r="H1475" s="17">
        <f t="shared" ca="1" si="139"/>
        <v>-9</v>
      </c>
      <c r="I1475" s="18">
        <f t="shared" ca="1" si="140"/>
        <v>11</v>
      </c>
      <c r="J1475" s="19">
        <f t="shared" ca="1" si="137"/>
        <v>28</v>
      </c>
      <c r="K1475" s="17" t="s">
        <v>41</v>
      </c>
      <c r="L1475" s="20">
        <v>115</v>
      </c>
      <c r="M1475" s="26" t="s">
        <v>44</v>
      </c>
      <c r="N1475">
        <v>312</v>
      </c>
    </row>
    <row r="1476" spans="1:14">
      <c r="A1476" s="25">
        <f t="shared" si="141"/>
        <v>1473</v>
      </c>
      <c r="B1476" s="67" t="s">
        <v>20</v>
      </c>
      <c r="C1476" s="67" t="s">
        <v>885</v>
      </c>
      <c r="D1476" s="67" t="s">
        <v>417</v>
      </c>
      <c r="E1476" s="22">
        <f t="shared" ca="1" si="142"/>
        <v>40951</v>
      </c>
      <c r="F1476" s="32"/>
      <c r="G1476" s="12">
        <f t="shared" ca="1" si="138"/>
        <v>112</v>
      </c>
      <c r="H1476" s="12">
        <f t="shared" ca="1" si="139"/>
        <v>1</v>
      </c>
      <c r="I1476" s="13">
        <f t="shared" ca="1" si="140"/>
        <v>12</v>
      </c>
      <c r="J1476" s="14">
        <f t="shared" ref="J1476:J1539" ca="1" si="143">IF(H1476&lt;0,G1476-1,IF(H1476&gt;0,G1476,IF(I1476&lt;0,G1476-1,G1476)))</f>
        <v>112</v>
      </c>
      <c r="K1476" s="12" t="s">
        <v>40</v>
      </c>
      <c r="L1476" s="15">
        <v>116</v>
      </c>
      <c r="M1476" s="25" t="s">
        <v>40</v>
      </c>
      <c r="N1476">
        <v>313</v>
      </c>
    </row>
    <row r="1477" spans="1:14">
      <c r="A1477" s="25">
        <f t="shared" si="141"/>
        <v>1474</v>
      </c>
      <c r="B1477" s="67" t="s">
        <v>20</v>
      </c>
      <c r="C1477" s="67" t="s">
        <v>439</v>
      </c>
      <c r="D1477" s="67" t="s">
        <v>885</v>
      </c>
      <c r="E1477" s="22">
        <f t="shared" ca="1" si="142"/>
        <v>40951</v>
      </c>
      <c r="F1477" s="11">
        <f>DATE(60,10,30)</f>
        <v>22219</v>
      </c>
      <c r="G1477" s="12">
        <f t="shared" ca="1" si="138"/>
        <v>52</v>
      </c>
      <c r="H1477" s="12">
        <f t="shared" ca="1" si="139"/>
        <v>-8</v>
      </c>
      <c r="I1477" s="13">
        <f t="shared" ca="1" si="140"/>
        <v>-18</v>
      </c>
      <c r="J1477" s="14">
        <f t="shared" ca="1" si="143"/>
        <v>51</v>
      </c>
      <c r="K1477" s="12" t="s">
        <v>40</v>
      </c>
      <c r="L1477" s="15">
        <v>116</v>
      </c>
      <c r="M1477" s="25" t="s">
        <v>40</v>
      </c>
      <c r="N1477">
        <v>313</v>
      </c>
    </row>
    <row r="1478" spans="1:14">
      <c r="A1478" s="25">
        <f t="shared" si="141"/>
        <v>1475</v>
      </c>
      <c r="B1478" s="67" t="s">
        <v>20</v>
      </c>
      <c r="C1478" s="67" t="s">
        <v>62</v>
      </c>
      <c r="D1478" s="67" t="s">
        <v>439</v>
      </c>
      <c r="E1478" s="22">
        <f t="shared" ca="1" si="142"/>
        <v>40951</v>
      </c>
      <c r="F1478" s="11">
        <f>DATE(65,4,28)</f>
        <v>23860</v>
      </c>
      <c r="G1478" s="12">
        <f t="shared" ca="1" si="138"/>
        <v>47</v>
      </c>
      <c r="H1478" s="12">
        <f t="shared" ca="1" si="139"/>
        <v>-2</v>
      </c>
      <c r="I1478" s="13">
        <f t="shared" ca="1" si="140"/>
        <v>-16</v>
      </c>
      <c r="J1478" s="14">
        <f t="shared" ca="1" si="143"/>
        <v>46</v>
      </c>
      <c r="K1478" s="12" t="s">
        <v>41</v>
      </c>
      <c r="L1478" s="15">
        <v>116</v>
      </c>
      <c r="M1478" s="25" t="s">
        <v>40</v>
      </c>
      <c r="N1478">
        <v>313</v>
      </c>
    </row>
    <row r="1479" spans="1:14">
      <c r="A1479" s="25">
        <f t="shared" si="141"/>
        <v>1476</v>
      </c>
      <c r="B1479" s="67" t="s">
        <v>20</v>
      </c>
      <c r="C1479" s="67" t="s">
        <v>125</v>
      </c>
      <c r="D1479" s="67" t="s">
        <v>439</v>
      </c>
      <c r="E1479" s="22">
        <f t="shared" ca="1" si="142"/>
        <v>40951</v>
      </c>
      <c r="F1479" s="11">
        <f>DATE(2001,11,16)</f>
        <v>37211</v>
      </c>
      <c r="G1479" s="12">
        <f t="shared" ca="1" si="138"/>
        <v>11</v>
      </c>
      <c r="H1479" s="12">
        <f t="shared" ca="1" si="139"/>
        <v>-9</v>
      </c>
      <c r="I1479" s="13">
        <f t="shared" ca="1" si="140"/>
        <v>-4</v>
      </c>
      <c r="J1479" s="14">
        <f t="shared" ca="1" si="143"/>
        <v>10</v>
      </c>
      <c r="K1479" s="12" t="s">
        <v>40</v>
      </c>
      <c r="L1479" s="15">
        <v>116</v>
      </c>
      <c r="M1479" s="25" t="s">
        <v>44</v>
      </c>
      <c r="N1479">
        <v>313</v>
      </c>
    </row>
    <row r="1480" spans="1:14">
      <c r="A1480" s="25">
        <f t="shared" si="141"/>
        <v>1477</v>
      </c>
      <c r="B1480" s="67" t="s">
        <v>20</v>
      </c>
      <c r="C1480" s="67" t="s">
        <v>142</v>
      </c>
      <c r="D1480" s="67" t="s">
        <v>885</v>
      </c>
      <c r="E1480" s="22">
        <f t="shared" ca="1" si="142"/>
        <v>40951</v>
      </c>
      <c r="F1480" s="11">
        <f>DATE(64,11,9)</f>
        <v>23690</v>
      </c>
      <c r="G1480" s="12">
        <f t="shared" ca="1" si="138"/>
        <v>48</v>
      </c>
      <c r="H1480" s="12">
        <f t="shared" ca="1" si="139"/>
        <v>-9</v>
      </c>
      <c r="I1480" s="13">
        <f t="shared" ca="1" si="140"/>
        <v>3</v>
      </c>
      <c r="J1480" s="14">
        <f t="shared" ca="1" si="143"/>
        <v>47</v>
      </c>
      <c r="K1480" s="12" t="s">
        <v>40</v>
      </c>
      <c r="L1480" s="15">
        <v>116</v>
      </c>
      <c r="M1480" s="25" t="s">
        <v>40</v>
      </c>
      <c r="N1480">
        <v>313</v>
      </c>
    </row>
    <row r="1481" spans="1:14">
      <c r="A1481" s="25">
        <f t="shared" si="141"/>
        <v>1478</v>
      </c>
      <c r="B1481" s="67" t="s">
        <v>20</v>
      </c>
      <c r="C1481" s="67" t="s">
        <v>175</v>
      </c>
      <c r="D1481" s="67" t="s">
        <v>142</v>
      </c>
      <c r="E1481" s="22">
        <f t="shared" ca="1" si="142"/>
        <v>40951</v>
      </c>
      <c r="F1481" s="11">
        <f>DATE(73,3,16)</f>
        <v>26739</v>
      </c>
      <c r="G1481" s="12">
        <f t="shared" ca="1" si="138"/>
        <v>39</v>
      </c>
      <c r="H1481" s="12">
        <f t="shared" ca="1" si="139"/>
        <v>-1</v>
      </c>
      <c r="I1481" s="13">
        <f t="shared" ca="1" si="140"/>
        <v>-4</v>
      </c>
      <c r="J1481" s="14">
        <f t="shared" ca="1" si="143"/>
        <v>38</v>
      </c>
      <c r="K1481" s="12" t="s">
        <v>41</v>
      </c>
      <c r="L1481" s="15">
        <v>116</v>
      </c>
      <c r="M1481" s="25" t="s">
        <v>40</v>
      </c>
      <c r="N1481">
        <v>313</v>
      </c>
    </row>
    <row r="1482" spans="1:14">
      <c r="A1482" s="25">
        <f t="shared" si="141"/>
        <v>1479</v>
      </c>
      <c r="B1482" s="67" t="s">
        <v>20</v>
      </c>
      <c r="C1482" s="67" t="s">
        <v>770</v>
      </c>
      <c r="D1482" s="67" t="s">
        <v>142</v>
      </c>
      <c r="E1482" s="22">
        <f t="shared" ca="1" si="142"/>
        <v>40951</v>
      </c>
      <c r="F1482" s="11">
        <f>DATE(99,9,26)</f>
        <v>36429</v>
      </c>
      <c r="G1482" s="12">
        <f t="shared" ca="1" si="138"/>
        <v>13</v>
      </c>
      <c r="H1482" s="12">
        <f t="shared" ca="1" si="139"/>
        <v>-7</v>
      </c>
      <c r="I1482" s="13">
        <f t="shared" ca="1" si="140"/>
        <v>-14</v>
      </c>
      <c r="J1482" s="14">
        <f t="shared" ca="1" si="143"/>
        <v>12</v>
      </c>
      <c r="K1482" s="12" t="s">
        <v>40</v>
      </c>
      <c r="L1482" s="15">
        <v>116</v>
      </c>
      <c r="M1482" s="25" t="s">
        <v>44</v>
      </c>
      <c r="N1482">
        <v>313</v>
      </c>
    </row>
    <row r="1483" spans="1:14">
      <c r="A1483" s="25">
        <f t="shared" si="141"/>
        <v>1480</v>
      </c>
      <c r="B1483" s="67" t="s">
        <v>20</v>
      </c>
      <c r="C1483" s="67" t="s">
        <v>206</v>
      </c>
      <c r="D1483" s="67" t="s">
        <v>885</v>
      </c>
      <c r="E1483" s="22">
        <f t="shared" ca="1" si="142"/>
        <v>40951</v>
      </c>
      <c r="F1483" s="11">
        <f>DATE(2001,7,30)</f>
        <v>37102</v>
      </c>
      <c r="G1483" s="12">
        <f t="shared" ca="1" si="138"/>
        <v>11</v>
      </c>
      <c r="H1483" s="12">
        <f t="shared" ca="1" si="139"/>
        <v>-5</v>
      </c>
      <c r="I1483" s="13">
        <f t="shared" ca="1" si="140"/>
        <v>-18</v>
      </c>
      <c r="J1483" s="14">
        <f t="shared" ca="1" si="143"/>
        <v>10</v>
      </c>
      <c r="K1483" s="12" t="s">
        <v>41</v>
      </c>
      <c r="L1483" s="15">
        <v>116</v>
      </c>
      <c r="M1483" s="25" t="s">
        <v>44</v>
      </c>
      <c r="N1483">
        <v>313</v>
      </c>
    </row>
    <row r="1484" spans="1:14">
      <c r="A1484" s="25">
        <f t="shared" si="141"/>
        <v>1481</v>
      </c>
      <c r="B1484" s="67" t="s">
        <v>20</v>
      </c>
      <c r="C1484" s="67" t="s">
        <v>367</v>
      </c>
      <c r="D1484" s="67" t="s">
        <v>367</v>
      </c>
      <c r="E1484" s="22">
        <f t="shared" ca="1" si="142"/>
        <v>40951</v>
      </c>
      <c r="F1484" s="11">
        <f>DATE(67,4,24)</f>
        <v>24586</v>
      </c>
      <c r="G1484" s="12">
        <f t="shared" ca="1" si="138"/>
        <v>45</v>
      </c>
      <c r="H1484" s="12">
        <f t="shared" ca="1" si="139"/>
        <v>-2</v>
      </c>
      <c r="I1484" s="13">
        <f t="shared" ca="1" si="140"/>
        <v>-12</v>
      </c>
      <c r="J1484" s="14">
        <f t="shared" ca="1" si="143"/>
        <v>44</v>
      </c>
      <c r="K1484" s="12" t="s">
        <v>40</v>
      </c>
      <c r="L1484" s="15">
        <v>116</v>
      </c>
      <c r="M1484" s="25" t="s">
        <v>40</v>
      </c>
      <c r="N1484">
        <v>313</v>
      </c>
    </row>
    <row r="1485" spans="1:14">
      <c r="A1485" s="25">
        <f t="shared" si="141"/>
        <v>1482</v>
      </c>
      <c r="B1485" s="67" t="s">
        <v>20</v>
      </c>
      <c r="C1485" s="67" t="s">
        <v>194</v>
      </c>
      <c r="D1485" s="67" t="s">
        <v>367</v>
      </c>
      <c r="E1485" s="22">
        <f t="shared" ca="1" si="142"/>
        <v>40951</v>
      </c>
      <c r="F1485" s="11">
        <f>DATE(68,12,18)</f>
        <v>25190</v>
      </c>
      <c r="G1485" s="12">
        <f t="shared" ca="1" si="138"/>
        <v>44</v>
      </c>
      <c r="H1485" s="12">
        <f t="shared" ca="1" si="139"/>
        <v>-10</v>
      </c>
      <c r="I1485" s="13">
        <f t="shared" ca="1" si="140"/>
        <v>-6</v>
      </c>
      <c r="J1485" s="14">
        <f t="shared" ca="1" si="143"/>
        <v>43</v>
      </c>
      <c r="K1485" s="12" t="s">
        <v>41</v>
      </c>
      <c r="L1485" s="15">
        <v>116</v>
      </c>
      <c r="M1485" s="25" t="s">
        <v>40</v>
      </c>
      <c r="N1485">
        <v>313</v>
      </c>
    </row>
    <row r="1486" spans="1:14">
      <c r="A1486" s="25">
        <f t="shared" si="141"/>
        <v>1483</v>
      </c>
      <c r="B1486" s="67" t="s">
        <v>20</v>
      </c>
      <c r="C1486" s="67" t="s">
        <v>263</v>
      </c>
      <c r="D1486" s="67" t="s">
        <v>367</v>
      </c>
      <c r="E1486" s="22">
        <f t="shared" ca="1" si="142"/>
        <v>40951</v>
      </c>
      <c r="F1486" s="11">
        <f>DATE(2002,3,27)</f>
        <v>37342</v>
      </c>
      <c r="G1486" s="12">
        <f t="shared" ca="1" si="138"/>
        <v>10</v>
      </c>
      <c r="H1486" s="12">
        <f t="shared" ca="1" si="139"/>
        <v>-1</v>
      </c>
      <c r="I1486" s="13">
        <f t="shared" ca="1" si="140"/>
        <v>-15</v>
      </c>
      <c r="J1486" s="14">
        <f t="shared" ca="1" si="143"/>
        <v>9</v>
      </c>
      <c r="K1486" s="12" t="s">
        <v>40</v>
      </c>
      <c r="L1486" s="15">
        <v>116</v>
      </c>
      <c r="M1486" s="25" t="s">
        <v>44</v>
      </c>
      <c r="N1486">
        <v>313</v>
      </c>
    </row>
    <row r="1487" spans="1:14">
      <c r="A1487" s="25">
        <f t="shared" si="141"/>
        <v>1484</v>
      </c>
      <c r="B1487" s="67" t="s">
        <v>20</v>
      </c>
      <c r="C1487" s="67" t="s">
        <v>341</v>
      </c>
      <c r="D1487" s="67" t="s">
        <v>885</v>
      </c>
      <c r="E1487" s="22">
        <f t="shared" ca="1" si="142"/>
        <v>40951</v>
      </c>
      <c r="F1487" s="11">
        <f>DATE(68,8,9)</f>
        <v>25059</v>
      </c>
      <c r="G1487" s="12">
        <f t="shared" ca="1" si="138"/>
        <v>44</v>
      </c>
      <c r="H1487" s="12">
        <f t="shared" ca="1" si="139"/>
        <v>-6</v>
      </c>
      <c r="I1487" s="13">
        <f t="shared" ca="1" si="140"/>
        <v>3</v>
      </c>
      <c r="J1487" s="14">
        <f t="shared" ca="1" si="143"/>
        <v>43</v>
      </c>
      <c r="K1487" s="12" t="s">
        <v>40</v>
      </c>
      <c r="L1487" s="15">
        <v>116</v>
      </c>
      <c r="M1487" s="25" t="s">
        <v>40</v>
      </c>
      <c r="N1487">
        <v>313</v>
      </c>
    </row>
    <row r="1488" spans="1:14">
      <c r="A1488" s="25">
        <f t="shared" si="141"/>
        <v>1485</v>
      </c>
      <c r="B1488" s="67" t="s">
        <v>20</v>
      </c>
      <c r="C1488" s="67" t="s">
        <v>626</v>
      </c>
      <c r="D1488" s="67" t="s">
        <v>341</v>
      </c>
      <c r="E1488" s="22">
        <f t="shared" ca="1" si="142"/>
        <v>40951</v>
      </c>
      <c r="F1488" s="11">
        <f>DATE(70,7,1)</f>
        <v>25750</v>
      </c>
      <c r="G1488" s="12">
        <f t="shared" ca="1" si="138"/>
        <v>42</v>
      </c>
      <c r="H1488" s="12">
        <f t="shared" ca="1" si="139"/>
        <v>-5</v>
      </c>
      <c r="I1488" s="13">
        <f t="shared" ca="1" si="140"/>
        <v>11</v>
      </c>
      <c r="J1488" s="14">
        <f t="shared" ca="1" si="143"/>
        <v>41</v>
      </c>
      <c r="K1488" s="12" t="s">
        <v>41</v>
      </c>
      <c r="L1488" s="15">
        <v>116</v>
      </c>
      <c r="M1488" s="25" t="s">
        <v>40</v>
      </c>
      <c r="N1488">
        <v>313</v>
      </c>
    </row>
    <row r="1489" spans="1:14">
      <c r="A1489" s="25">
        <f t="shared" si="141"/>
        <v>1486</v>
      </c>
      <c r="B1489" s="67" t="s">
        <v>20</v>
      </c>
      <c r="C1489" s="67" t="s">
        <v>613</v>
      </c>
      <c r="D1489" s="67" t="s">
        <v>341</v>
      </c>
      <c r="E1489" s="22">
        <f t="shared" ca="1" si="142"/>
        <v>40951</v>
      </c>
      <c r="F1489" s="11">
        <f>DATE(98,1,28)</f>
        <v>35823</v>
      </c>
      <c r="G1489" s="12">
        <f t="shared" ca="1" si="138"/>
        <v>14</v>
      </c>
      <c r="H1489" s="12">
        <f t="shared" ca="1" si="139"/>
        <v>1</v>
      </c>
      <c r="I1489" s="13">
        <f t="shared" ca="1" si="140"/>
        <v>-16</v>
      </c>
      <c r="J1489" s="14">
        <f t="shared" ca="1" si="143"/>
        <v>14</v>
      </c>
      <c r="K1489" s="12" t="s">
        <v>41</v>
      </c>
      <c r="L1489" s="15">
        <v>116</v>
      </c>
      <c r="M1489" s="25" t="s">
        <v>40</v>
      </c>
      <c r="N1489">
        <v>313</v>
      </c>
    </row>
    <row r="1490" spans="1:14" ht="15.75" thickBot="1">
      <c r="A1490" s="26">
        <f t="shared" si="141"/>
        <v>1487</v>
      </c>
      <c r="B1490" s="67" t="s">
        <v>20</v>
      </c>
      <c r="C1490" s="68" t="s">
        <v>202</v>
      </c>
      <c r="D1490" s="68" t="s">
        <v>341</v>
      </c>
      <c r="E1490" s="23">
        <f t="shared" ca="1" si="142"/>
        <v>40951</v>
      </c>
      <c r="F1490" s="16">
        <f>DATE(2002,5,27)</f>
        <v>37403</v>
      </c>
      <c r="G1490" s="17">
        <f t="shared" ca="1" si="138"/>
        <v>10</v>
      </c>
      <c r="H1490" s="17">
        <f t="shared" ca="1" si="139"/>
        <v>-3</v>
      </c>
      <c r="I1490" s="18">
        <f t="shared" ca="1" si="140"/>
        <v>-15</v>
      </c>
      <c r="J1490" s="19">
        <f t="shared" ca="1" si="143"/>
        <v>9</v>
      </c>
      <c r="K1490" s="17" t="s">
        <v>41</v>
      </c>
      <c r="L1490" s="20">
        <v>116</v>
      </c>
      <c r="M1490" s="26" t="s">
        <v>40</v>
      </c>
      <c r="N1490">
        <v>313</v>
      </c>
    </row>
    <row r="1491" spans="1:14">
      <c r="A1491" s="25">
        <f t="shared" si="141"/>
        <v>1488</v>
      </c>
      <c r="B1491" s="67" t="s">
        <v>20</v>
      </c>
      <c r="C1491" s="67" t="s">
        <v>277</v>
      </c>
      <c r="D1491" s="67" t="s">
        <v>60</v>
      </c>
      <c r="E1491" s="22">
        <f t="shared" ca="1" si="142"/>
        <v>40951</v>
      </c>
      <c r="F1491" s="11">
        <f>DATE(60,6,22)</f>
        <v>22089</v>
      </c>
      <c r="G1491" s="12">
        <f t="shared" ca="1" si="138"/>
        <v>52</v>
      </c>
      <c r="H1491" s="12">
        <f t="shared" ca="1" si="139"/>
        <v>-4</v>
      </c>
      <c r="I1491" s="13">
        <f t="shared" ca="1" si="140"/>
        <v>-10</v>
      </c>
      <c r="J1491" s="14">
        <f t="shared" ca="1" si="143"/>
        <v>51</v>
      </c>
      <c r="K1491" s="12" t="s">
        <v>40</v>
      </c>
      <c r="L1491" s="15">
        <v>116</v>
      </c>
      <c r="M1491" s="25" t="s">
        <v>40</v>
      </c>
      <c r="N1491">
        <v>314</v>
      </c>
    </row>
    <row r="1492" spans="1:14">
      <c r="A1492" s="25">
        <f t="shared" si="141"/>
        <v>1489</v>
      </c>
      <c r="B1492" s="67" t="s">
        <v>20</v>
      </c>
      <c r="C1492" s="67" t="s">
        <v>810</v>
      </c>
      <c r="D1492" s="67" t="s">
        <v>277</v>
      </c>
      <c r="E1492" s="22">
        <f t="shared" ca="1" si="142"/>
        <v>40951</v>
      </c>
      <c r="F1492" s="11">
        <f>DATE(66,12,6)</f>
        <v>24447</v>
      </c>
      <c r="G1492" s="12">
        <f t="shared" ca="1" si="138"/>
        <v>46</v>
      </c>
      <c r="H1492" s="12">
        <f t="shared" ca="1" si="139"/>
        <v>-10</v>
      </c>
      <c r="I1492" s="13">
        <f t="shared" ca="1" si="140"/>
        <v>6</v>
      </c>
      <c r="J1492" s="14">
        <f t="shared" ca="1" si="143"/>
        <v>45</v>
      </c>
      <c r="K1492" s="12" t="s">
        <v>41</v>
      </c>
      <c r="L1492" s="15">
        <v>116</v>
      </c>
      <c r="M1492" s="25" t="s">
        <v>40</v>
      </c>
      <c r="N1492">
        <v>314</v>
      </c>
    </row>
    <row r="1493" spans="1:14">
      <c r="A1493" s="25">
        <f t="shared" si="141"/>
        <v>1490</v>
      </c>
      <c r="B1493" s="67" t="s">
        <v>20</v>
      </c>
      <c r="C1493" s="67" t="s">
        <v>376</v>
      </c>
      <c r="D1493" s="67" t="s">
        <v>277</v>
      </c>
      <c r="E1493" s="22">
        <f t="shared" ca="1" si="142"/>
        <v>40951</v>
      </c>
      <c r="F1493" s="11">
        <f>DATE(86,4,24)</f>
        <v>31526</v>
      </c>
      <c r="G1493" s="12">
        <f t="shared" ca="1" si="138"/>
        <v>26</v>
      </c>
      <c r="H1493" s="12">
        <f t="shared" ca="1" si="139"/>
        <v>-2</v>
      </c>
      <c r="I1493" s="13">
        <f t="shared" ca="1" si="140"/>
        <v>-12</v>
      </c>
      <c r="J1493" s="14">
        <f t="shared" ca="1" si="143"/>
        <v>25</v>
      </c>
      <c r="K1493" s="12" t="s">
        <v>40</v>
      </c>
      <c r="L1493" s="15">
        <v>116</v>
      </c>
      <c r="M1493" s="25" t="s">
        <v>44</v>
      </c>
      <c r="N1493">
        <v>314</v>
      </c>
    </row>
    <row r="1494" spans="1:14" ht="15.75" thickBot="1">
      <c r="A1494" s="26">
        <f t="shared" si="141"/>
        <v>1491</v>
      </c>
      <c r="B1494" s="67" t="s">
        <v>20</v>
      </c>
      <c r="C1494" s="68" t="s">
        <v>824</v>
      </c>
      <c r="D1494" s="68" t="s">
        <v>277</v>
      </c>
      <c r="E1494" s="23">
        <f t="shared" ca="1" si="142"/>
        <v>40951</v>
      </c>
      <c r="F1494" s="16">
        <f>DATE(93,4,15)</f>
        <v>34074</v>
      </c>
      <c r="G1494" s="17">
        <f t="shared" ca="1" si="138"/>
        <v>19</v>
      </c>
      <c r="H1494" s="17">
        <f t="shared" ca="1" si="139"/>
        <v>-2</v>
      </c>
      <c r="I1494" s="18">
        <f t="shared" ca="1" si="140"/>
        <v>-3</v>
      </c>
      <c r="J1494" s="19">
        <f t="shared" ca="1" si="143"/>
        <v>18</v>
      </c>
      <c r="K1494" s="17" t="s">
        <v>40</v>
      </c>
      <c r="L1494" s="20">
        <v>116</v>
      </c>
      <c r="M1494" s="26" t="s">
        <v>44</v>
      </c>
      <c r="N1494">
        <v>314</v>
      </c>
    </row>
    <row r="1495" spans="1:14">
      <c r="A1495" s="25">
        <f t="shared" si="141"/>
        <v>1492</v>
      </c>
      <c r="B1495" s="67" t="s">
        <v>20</v>
      </c>
      <c r="C1495" s="67" t="s">
        <v>208</v>
      </c>
      <c r="D1495" s="67" t="s">
        <v>60</v>
      </c>
      <c r="E1495" s="22">
        <f t="shared" ca="1" si="142"/>
        <v>40951</v>
      </c>
      <c r="F1495" s="11">
        <f>DATE(47,5,15)</f>
        <v>17302</v>
      </c>
      <c r="G1495" s="12">
        <f t="shared" ca="1" si="138"/>
        <v>65</v>
      </c>
      <c r="H1495" s="12">
        <f t="shared" ca="1" si="139"/>
        <v>-3</v>
      </c>
      <c r="I1495" s="13">
        <f t="shared" ca="1" si="140"/>
        <v>-3</v>
      </c>
      <c r="J1495" s="14">
        <f t="shared" ca="1" si="143"/>
        <v>64</v>
      </c>
      <c r="K1495" s="12" t="s">
        <v>40</v>
      </c>
      <c r="L1495" s="15">
        <v>117</v>
      </c>
      <c r="M1495" s="25" t="s">
        <v>40</v>
      </c>
      <c r="N1495">
        <v>315</v>
      </c>
    </row>
    <row r="1496" spans="1:14">
      <c r="A1496" s="25">
        <f t="shared" si="141"/>
        <v>1493</v>
      </c>
      <c r="B1496" s="67" t="s">
        <v>20</v>
      </c>
      <c r="C1496" s="67" t="s">
        <v>261</v>
      </c>
      <c r="D1496" s="67" t="s">
        <v>208</v>
      </c>
      <c r="E1496" s="22">
        <f t="shared" ca="1" si="142"/>
        <v>40951</v>
      </c>
      <c r="F1496" s="11">
        <f>DATE(55,4,28)</f>
        <v>20207</v>
      </c>
      <c r="G1496" s="12">
        <f t="shared" ca="1" si="138"/>
        <v>57</v>
      </c>
      <c r="H1496" s="12">
        <f t="shared" ca="1" si="139"/>
        <v>-2</v>
      </c>
      <c r="I1496" s="13">
        <f t="shared" ca="1" si="140"/>
        <v>-16</v>
      </c>
      <c r="J1496" s="14">
        <f t="shared" ca="1" si="143"/>
        <v>56</v>
      </c>
      <c r="K1496" s="12" t="s">
        <v>41</v>
      </c>
      <c r="L1496" s="15">
        <v>117</v>
      </c>
      <c r="M1496" s="25" t="s">
        <v>40</v>
      </c>
      <c r="N1496">
        <v>315</v>
      </c>
    </row>
    <row r="1497" spans="1:14">
      <c r="A1497" s="25">
        <f t="shared" si="141"/>
        <v>1494</v>
      </c>
      <c r="B1497" s="67" t="s">
        <v>20</v>
      </c>
      <c r="C1497" s="67" t="s">
        <v>982</v>
      </c>
      <c r="D1497" s="67" t="s">
        <v>208</v>
      </c>
      <c r="E1497" s="22">
        <f t="shared" ca="1" si="142"/>
        <v>40951</v>
      </c>
      <c r="F1497" s="11">
        <f>DATE(80,10,12)</f>
        <v>29506</v>
      </c>
      <c r="G1497" s="12">
        <f t="shared" ca="1" si="138"/>
        <v>32</v>
      </c>
      <c r="H1497" s="12">
        <f t="shared" ca="1" si="139"/>
        <v>-8</v>
      </c>
      <c r="I1497" s="13">
        <f t="shared" ca="1" si="140"/>
        <v>0</v>
      </c>
      <c r="J1497" s="14">
        <f t="shared" ca="1" si="143"/>
        <v>31</v>
      </c>
      <c r="K1497" s="12" t="s">
        <v>40</v>
      </c>
      <c r="L1497" s="15">
        <v>117</v>
      </c>
      <c r="M1497" s="25" t="s">
        <v>44</v>
      </c>
      <c r="N1497">
        <v>315</v>
      </c>
    </row>
    <row r="1498" spans="1:14" ht="15.75" thickBot="1">
      <c r="A1498" s="26">
        <f t="shared" si="141"/>
        <v>1495</v>
      </c>
      <c r="B1498" s="67" t="s">
        <v>20</v>
      </c>
      <c r="C1498" s="68" t="s">
        <v>246</v>
      </c>
      <c r="D1498" s="68" t="s">
        <v>208</v>
      </c>
      <c r="E1498" s="23">
        <f t="shared" ca="1" si="142"/>
        <v>40951</v>
      </c>
      <c r="F1498" s="16">
        <f>DATE(86,1,23)</f>
        <v>31435</v>
      </c>
      <c r="G1498" s="17">
        <f t="shared" ref="G1498:G1561" ca="1" si="144">YEAR(E1498)-YEAR(F1498)</f>
        <v>26</v>
      </c>
      <c r="H1498" s="17">
        <f t="shared" ref="H1498:H1561" ca="1" si="145">MONTH(E1498)-MONTH(F1498)</f>
        <v>1</v>
      </c>
      <c r="I1498" s="18">
        <f t="shared" ref="I1498:I1561" ca="1" si="146">DAY(E1498)-DAY(F1498)</f>
        <v>-11</v>
      </c>
      <c r="J1498" s="19">
        <f t="shared" ca="1" si="143"/>
        <v>26</v>
      </c>
      <c r="K1498" s="17" t="s">
        <v>41</v>
      </c>
      <c r="L1498" s="20">
        <v>117</v>
      </c>
      <c r="M1498" s="26" t="s">
        <v>44</v>
      </c>
      <c r="N1498">
        <v>315</v>
      </c>
    </row>
    <row r="1499" spans="1:14">
      <c r="A1499" s="25">
        <f t="shared" si="141"/>
        <v>1496</v>
      </c>
      <c r="B1499" s="67" t="s">
        <v>20</v>
      </c>
      <c r="C1499" s="67" t="s">
        <v>503</v>
      </c>
      <c r="D1499" s="67" t="s">
        <v>983</v>
      </c>
      <c r="E1499" s="22">
        <f t="shared" ca="1" si="142"/>
        <v>40951</v>
      </c>
      <c r="F1499" s="32"/>
      <c r="G1499" s="12">
        <f t="shared" ca="1" si="144"/>
        <v>112</v>
      </c>
      <c r="H1499" s="12">
        <f t="shared" ca="1" si="145"/>
        <v>1</v>
      </c>
      <c r="I1499" s="13">
        <f t="shared" ca="1" si="146"/>
        <v>12</v>
      </c>
      <c r="J1499" s="14">
        <f t="shared" ca="1" si="143"/>
        <v>112</v>
      </c>
      <c r="K1499" s="12" t="s">
        <v>41</v>
      </c>
      <c r="L1499" s="15">
        <v>117</v>
      </c>
      <c r="M1499" s="25" t="s">
        <v>44</v>
      </c>
      <c r="N1499">
        <v>316</v>
      </c>
    </row>
    <row r="1500" spans="1:14" ht="15.75" thickBot="1">
      <c r="A1500" s="26">
        <f t="shared" si="141"/>
        <v>1497</v>
      </c>
      <c r="B1500" s="67" t="s">
        <v>20</v>
      </c>
      <c r="C1500" s="68" t="s">
        <v>984</v>
      </c>
      <c r="D1500" s="68" t="s">
        <v>983</v>
      </c>
      <c r="E1500" s="23">
        <f t="shared" ca="1" si="142"/>
        <v>40951</v>
      </c>
      <c r="F1500" s="33"/>
      <c r="G1500" s="17">
        <f t="shared" ca="1" si="144"/>
        <v>112</v>
      </c>
      <c r="H1500" s="17">
        <f t="shared" ca="1" si="145"/>
        <v>1</v>
      </c>
      <c r="I1500" s="18">
        <f t="shared" ca="1" si="146"/>
        <v>12</v>
      </c>
      <c r="J1500" s="19">
        <f t="shared" ca="1" si="143"/>
        <v>112</v>
      </c>
      <c r="K1500" s="17" t="s">
        <v>41</v>
      </c>
      <c r="L1500" s="20">
        <v>117</v>
      </c>
      <c r="M1500" s="26" t="s">
        <v>44</v>
      </c>
      <c r="N1500">
        <v>316</v>
      </c>
    </row>
    <row r="1501" spans="1:14">
      <c r="A1501" s="25">
        <f t="shared" si="141"/>
        <v>1498</v>
      </c>
      <c r="B1501" s="67" t="s">
        <v>20</v>
      </c>
      <c r="C1501" s="67" t="s">
        <v>591</v>
      </c>
      <c r="D1501" s="67" t="s">
        <v>985</v>
      </c>
      <c r="E1501" s="22">
        <f t="shared" ca="1" si="142"/>
        <v>40951</v>
      </c>
      <c r="F1501" s="11">
        <f>DATE(52,7,20)</f>
        <v>19195</v>
      </c>
      <c r="G1501" s="12">
        <f t="shared" ca="1" si="144"/>
        <v>60</v>
      </c>
      <c r="H1501" s="12">
        <f t="shared" ca="1" si="145"/>
        <v>-5</v>
      </c>
      <c r="I1501" s="13">
        <f t="shared" ca="1" si="146"/>
        <v>-8</v>
      </c>
      <c r="J1501" s="14">
        <f t="shared" ca="1" si="143"/>
        <v>59</v>
      </c>
      <c r="K1501" s="12" t="s">
        <v>40</v>
      </c>
      <c r="L1501" s="15">
        <v>117</v>
      </c>
      <c r="M1501" s="25" t="s">
        <v>40</v>
      </c>
      <c r="N1501">
        <v>317</v>
      </c>
    </row>
    <row r="1502" spans="1:14">
      <c r="A1502" s="25">
        <f t="shared" ref="A1502:A1565" si="147">A1501+1</f>
        <v>1499</v>
      </c>
      <c r="B1502" s="67" t="s">
        <v>20</v>
      </c>
      <c r="C1502" s="67" t="s">
        <v>200</v>
      </c>
      <c r="D1502" s="67" t="s">
        <v>591</v>
      </c>
      <c r="E1502" s="22">
        <f t="shared" ca="1" si="142"/>
        <v>40951</v>
      </c>
      <c r="F1502" s="11">
        <f>DATE(54,11,23)</f>
        <v>20051</v>
      </c>
      <c r="G1502" s="12">
        <f t="shared" ca="1" si="144"/>
        <v>58</v>
      </c>
      <c r="H1502" s="12">
        <f t="shared" ca="1" si="145"/>
        <v>-9</v>
      </c>
      <c r="I1502" s="13">
        <f t="shared" ca="1" si="146"/>
        <v>-11</v>
      </c>
      <c r="J1502" s="14">
        <f t="shared" ca="1" si="143"/>
        <v>57</v>
      </c>
      <c r="K1502" s="12" t="s">
        <v>41</v>
      </c>
      <c r="L1502" s="15">
        <v>117</v>
      </c>
      <c r="M1502" s="25" t="s">
        <v>40</v>
      </c>
      <c r="N1502">
        <v>317</v>
      </c>
    </row>
    <row r="1503" spans="1:14">
      <c r="A1503" s="25">
        <f t="shared" si="147"/>
        <v>1500</v>
      </c>
      <c r="B1503" s="67" t="s">
        <v>20</v>
      </c>
      <c r="C1503" s="67" t="s">
        <v>986</v>
      </c>
      <c r="D1503" s="67" t="s">
        <v>591</v>
      </c>
      <c r="E1503" s="22">
        <f t="shared" ca="1" si="142"/>
        <v>40951</v>
      </c>
      <c r="F1503" s="11">
        <f>DATE(81,8,22)</f>
        <v>29820</v>
      </c>
      <c r="G1503" s="12">
        <f t="shared" ca="1" si="144"/>
        <v>31</v>
      </c>
      <c r="H1503" s="12">
        <f t="shared" ca="1" si="145"/>
        <v>-6</v>
      </c>
      <c r="I1503" s="13">
        <f t="shared" ca="1" si="146"/>
        <v>-10</v>
      </c>
      <c r="J1503" s="14">
        <f t="shared" ca="1" si="143"/>
        <v>30</v>
      </c>
      <c r="K1503" s="12" t="s">
        <v>40</v>
      </c>
      <c r="L1503" s="15">
        <v>117</v>
      </c>
      <c r="M1503" s="25" t="s">
        <v>44</v>
      </c>
      <c r="N1503">
        <v>317</v>
      </c>
    </row>
    <row r="1504" spans="1:14" ht="15.75" thickBot="1">
      <c r="A1504" s="26">
        <f t="shared" si="147"/>
        <v>1501</v>
      </c>
      <c r="B1504" s="67" t="s">
        <v>20</v>
      </c>
      <c r="C1504" s="68" t="s">
        <v>987</v>
      </c>
      <c r="D1504" s="68" t="s">
        <v>591</v>
      </c>
      <c r="E1504" s="23">
        <f t="shared" ca="1" si="142"/>
        <v>40951</v>
      </c>
      <c r="F1504" s="16">
        <f>DATE(94,2,24)</f>
        <v>34389</v>
      </c>
      <c r="G1504" s="17">
        <f t="shared" ca="1" si="144"/>
        <v>18</v>
      </c>
      <c r="H1504" s="17">
        <f t="shared" ca="1" si="145"/>
        <v>0</v>
      </c>
      <c r="I1504" s="18">
        <f t="shared" ca="1" si="146"/>
        <v>-12</v>
      </c>
      <c r="J1504" s="19">
        <f t="shared" ca="1" si="143"/>
        <v>17</v>
      </c>
      <c r="K1504" s="17" t="s">
        <v>41</v>
      </c>
      <c r="L1504" s="20">
        <v>117</v>
      </c>
      <c r="M1504" s="26" t="s">
        <v>44</v>
      </c>
      <c r="N1504">
        <v>317</v>
      </c>
    </row>
    <row r="1505" spans="1:14">
      <c r="A1505" s="25">
        <f t="shared" si="147"/>
        <v>1502</v>
      </c>
      <c r="B1505" s="67" t="s">
        <v>20</v>
      </c>
      <c r="C1505" s="67" t="s">
        <v>988</v>
      </c>
      <c r="D1505" s="67" t="s">
        <v>99</v>
      </c>
      <c r="E1505" s="22">
        <f t="shared" ca="1" si="142"/>
        <v>40951</v>
      </c>
      <c r="F1505" s="11">
        <f>DATE(40,9,11)</f>
        <v>14865</v>
      </c>
      <c r="G1505" s="12">
        <f t="shared" ca="1" si="144"/>
        <v>72</v>
      </c>
      <c r="H1505" s="12">
        <f t="shared" ca="1" si="145"/>
        <v>-7</v>
      </c>
      <c r="I1505" s="13">
        <f t="shared" ca="1" si="146"/>
        <v>1</v>
      </c>
      <c r="J1505" s="14">
        <f t="shared" ca="1" si="143"/>
        <v>71</v>
      </c>
      <c r="K1505" s="12" t="s">
        <v>41</v>
      </c>
      <c r="L1505" s="15">
        <v>118</v>
      </c>
      <c r="M1505" s="25" t="s">
        <v>40</v>
      </c>
      <c r="N1505">
        <v>318</v>
      </c>
    </row>
    <row r="1506" spans="1:14">
      <c r="A1506" s="25">
        <f t="shared" si="147"/>
        <v>1503</v>
      </c>
      <c r="B1506" s="67" t="s">
        <v>20</v>
      </c>
      <c r="C1506" s="67" t="s">
        <v>210</v>
      </c>
      <c r="D1506" s="67" t="s">
        <v>99</v>
      </c>
      <c r="E1506" s="22">
        <f t="shared" ca="1" si="142"/>
        <v>40951</v>
      </c>
      <c r="F1506" s="11">
        <f>DATE(68,4,2)</f>
        <v>24930</v>
      </c>
      <c r="G1506" s="12">
        <f t="shared" ca="1" si="144"/>
        <v>44</v>
      </c>
      <c r="H1506" s="12">
        <f t="shared" ca="1" si="145"/>
        <v>-2</v>
      </c>
      <c r="I1506" s="13">
        <f t="shared" ca="1" si="146"/>
        <v>10</v>
      </c>
      <c r="J1506" s="14">
        <f t="shared" ca="1" si="143"/>
        <v>43</v>
      </c>
      <c r="K1506" s="12" t="s">
        <v>40</v>
      </c>
      <c r="L1506" s="15">
        <v>118</v>
      </c>
      <c r="M1506" s="25" t="s">
        <v>40</v>
      </c>
      <c r="N1506">
        <v>318</v>
      </c>
    </row>
    <row r="1507" spans="1:14">
      <c r="A1507" s="25">
        <f t="shared" si="147"/>
        <v>1504</v>
      </c>
      <c r="B1507" s="67" t="s">
        <v>20</v>
      </c>
      <c r="C1507" s="67" t="s">
        <v>583</v>
      </c>
      <c r="D1507" s="67" t="s">
        <v>210</v>
      </c>
      <c r="E1507" s="22">
        <f t="shared" ca="1" si="142"/>
        <v>40951</v>
      </c>
      <c r="F1507" s="11">
        <f>DATE(75,1,25)</f>
        <v>27419</v>
      </c>
      <c r="G1507" s="12">
        <f t="shared" ca="1" si="144"/>
        <v>37</v>
      </c>
      <c r="H1507" s="12">
        <f t="shared" ca="1" si="145"/>
        <v>1</v>
      </c>
      <c r="I1507" s="13">
        <f t="shared" ca="1" si="146"/>
        <v>-13</v>
      </c>
      <c r="J1507" s="14">
        <f t="shared" ca="1" si="143"/>
        <v>37</v>
      </c>
      <c r="K1507" s="12" t="s">
        <v>41</v>
      </c>
      <c r="L1507" s="15">
        <v>118</v>
      </c>
      <c r="M1507" s="25" t="s">
        <v>40</v>
      </c>
      <c r="N1507">
        <v>318</v>
      </c>
    </row>
    <row r="1508" spans="1:14">
      <c r="A1508" s="25">
        <f t="shared" si="147"/>
        <v>1505</v>
      </c>
      <c r="B1508" s="67" t="s">
        <v>20</v>
      </c>
      <c r="C1508" s="67" t="s">
        <v>145</v>
      </c>
      <c r="D1508" s="67" t="s">
        <v>210</v>
      </c>
      <c r="E1508" s="22">
        <f t="shared" ref="E1508:E1571" ca="1" si="148">TODAY()</f>
        <v>40951</v>
      </c>
      <c r="F1508" s="11">
        <f>DATE(95,12,31)</f>
        <v>35064</v>
      </c>
      <c r="G1508" s="12">
        <f t="shared" ca="1" si="144"/>
        <v>17</v>
      </c>
      <c r="H1508" s="12">
        <f t="shared" ca="1" si="145"/>
        <v>-10</v>
      </c>
      <c r="I1508" s="13">
        <f t="shared" ca="1" si="146"/>
        <v>-19</v>
      </c>
      <c r="J1508" s="14">
        <f t="shared" ca="1" si="143"/>
        <v>16</v>
      </c>
      <c r="K1508" s="12" t="s">
        <v>41</v>
      </c>
      <c r="L1508" s="15">
        <v>118</v>
      </c>
      <c r="M1508" s="25" t="s">
        <v>44</v>
      </c>
      <c r="N1508">
        <v>318</v>
      </c>
    </row>
    <row r="1509" spans="1:14">
      <c r="A1509" s="25">
        <f t="shared" si="147"/>
        <v>1506</v>
      </c>
      <c r="B1509" s="67" t="s">
        <v>20</v>
      </c>
      <c r="C1509" s="67" t="s">
        <v>228</v>
      </c>
      <c r="D1509" s="67" t="s">
        <v>210</v>
      </c>
      <c r="E1509" s="22">
        <f t="shared" ca="1" si="148"/>
        <v>40951</v>
      </c>
      <c r="F1509" s="11">
        <f>DATE(98,2,2)</f>
        <v>35828</v>
      </c>
      <c r="G1509" s="12">
        <f t="shared" ca="1" si="144"/>
        <v>14</v>
      </c>
      <c r="H1509" s="12">
        <f t="shared" ca="1" si="145"/>
        <v>0</v>
      </c>
      <c r="I1509" s="13">
        <f t="shared" ca="1" si="146"/>
        <v>10</v>
      </c>
      <c r="J1509" s="14">
        <f t="shared" ca="1" si="143"/>
        <v>14</v>
      </c>
      <c r="K1509" s="12" t="s">
        <v>40</v>
      </c>
      <c r="L1509" s="15">
        <v>118</v>
      </c>
      <c r="M1509" s="25" t="s">
        <v>44</v>
      </c>
      <c r="N1509">
        <v>318</v>
      </c>
    </row>
    <row r="1510" spans="1:14">
      <c r="A1510" s="25">
        <f t="shared" si="147"/>
        <v>1507</v>
      </c>
      <c r="B1510" s="67" t="s">
        <v>20</v>
      </c>
      <c r="C1510" s="67" t="s">
        <v>989</v>
      </c>
      <c r="D1510" s="67" t="s">
        <v>99</v>
      </c>
      <c r="E1510" s="22">
        <f t="shared" ca="1" si="148"/>
        <v>40951</v>
      </c>
      <c r="F1510" s="11">
        <f>DATE(70,7,5)</f>
        <v>25754</v>
      </c>
      <c r="G1510" s="12">
        <f t="shared" ca="1" si="144"/>
        <v>42</v>
      </c>
      <c r="H1510" s="12">
        <f t="shared" ca="1" si="145"/>
        <v>-5</v>
      </c>
      <c r="I1510" s="13">
        <f t="shared" ca="1" si="146"/>
        <v>7</v>
      </c>
      <c r="J1510" s="14">
        <f t="shared" ca="1" si="143"/>
        <v>41</v>
      </c>
      <c r="K1510" s="12" t="s">
        <v>40</v>
      </c>
      <c r="L1510" s="15">
        <v>118</v>
      </c>
      <c r="M1510" s="25" t="s">
        <v>40</v>
      </c>
      <c r="N1510">
        <v>318</v>
      </c>
    </row>
    <row r="1511" spans="1:14">
      <c r="A1511" s="25">
        <f t="shared" si="147"/>
        <v>1508</v>
      </c>
      <c r="B1511" s="67" t="s">
        <v>20</v>
      </c>
      <c r="C1511" s="67" t="s">
        <v>167</v>
      </c>
      <c r="D1511" s="67" t="s">
        <v>989</v>
      </c>
      <c r="E1511" s="22">
        <f t="shared" ca="1" si="148"/>
        <v>40951</v>
      </c>
      <c r="F1511" s="11">
        <f>DATE(77,3,23)</f>
        <v>28207</v>
      </c>
      <c r="G1511" s="12">
        <f t="shared" ca="1" si="144"/>
        <v>35</v>
      </c>
      <c r="H1511" s="12">
        <f t="shared" ca="1" si="145"/>
        <v>-1</v>
      </c>
      <c r="I1511" s="13">
        <f t="shared" ca="1" si="146"/>
        <v>-11</v>
      </c>
      <c r="J1511" s="14">
        <f t="shared" ca="1" si="143"/>
        <v>34</v>
      </c>
      <c r="K1511" s="12" t="s">
        <v>41</v>
      </c>
      <c r="L1511" s="15">
        <v>118</v>
      </c>
      <c r="M1511" s="25" t="s">
        <v>40</v>
      </c>
      <c r="N1511">
        <v>318</v>
      </c>
    </row>
    <row r="1512" spans="1:14" ht="15.75" thickBot="1">
      <c r="A1512" s="26">
        <f t="shared" si="147"/>
        <v>1509</v>
      </c>
      <c r="B1512" s="67" t="s">
        <v>20</v>
      </c>
      <c r="C1512" s="68" t="s">
        <v>151</v>
      </c>
      <c r="D1512" s="68" t="s">
        <v>989</v>
      </c>
      <c r="E1512" s="23">
        <f t="shared" ca="1" si="148"/>
        <v>40951</v>
      </c>
      <c r="F1512" s="16">
        <f>DATE(2000,2,27)</f>
        <v>36583</v>
      </c>
      <c r="G1512" s="17">
        <f t="shared" ca="1" si="144"/>
        <v>12</v>
      </c>
      <c r="H1512" s="17">
        <f t="shared" ca="1" si="145"/>
        <v>0</v>
      </c>
      <c r="I1512" s="18">
        <f t="shared" ca="1" si="146"/>
        <v>-15</v>
      </c>
      <c r="J1512" s="19">
        <f t="shared" ca="1" si="143"/>
        <v>11</v>
      </c>
      <c r="K1512" s="17" t="s">
        <v>40</v>
      </c>
      <c r="L1512" s="20">
        <v>118</v>
      </c>
      <c r="M1512" s="26" t="s">
        <v>44</v>
      </c>
      <c r="N1512">
        <v>318</v>
      </c>
    </row>
    <row r="1513" spans="1:14">
      <c r="A1513" s="25">
        <f t="shared" si="147"/>
        <v>1510</v>
      </c>
      <c r="B1513" s="67" t="s">
        <v>20</v>
      </c>
      <c r="C1513" s="67" t="s">
        <v>600</v>
      </c>
      <c r="D1513" s="67" t="s">
        <v>985</v>
      </c>
      <c r="E1513" s="22">
        <f t="shared" ca="1" si="148"/>
        <v>40951</v>
      </c>
      <c r="F1513" s="11">
        <f>DATE(59,10,19)</f>
        <v>21842</v>
      </c>
      <c r="G1513" s="12">
        <f t="shared" ca="1" si="144"/>
        <v>53</v>
      </c>
      <c r="H1513" s="12">
        <f t="shared" ca="1" si="145"/>
        <v>-8</v>
      </c>
      <c r="I1513" s="13">
        <f t="shared" ca="1" si="146"/>
        <v>-7</v>
      </c>
      <c r="J1513" s="14">
        <f t="shared" ca="1" si="143"/>
        <v>52</v>
      </c>
      <c r="K1513" s="12" t="s">
        <v>40</v>
      </c>
      <c r="L1513" s="15">
        <v>118</v>
      </c>
      <c r="M1513" s="25" t="s">
        <v>40</v>
      </c>
      <c r="N1513">
        <v>319</v>
      </c>
    </row>
    <row r="1514" spans="1:14">
      <c r="A1514" s="25">
        <f t="shared" si="147"/>
        <v>1511</v>
      </c>
      <c r="B1514" s="67" t="s">
        <v>20</v>
      </c>
      <c r="C1514" s="67" t="s">
        <v>991</v>
      </c>
      <c r="D1514" s="67" t="s">
        <v>463</v>
      </c>
      <c r="E1514" s="22">
        <f t="shared" ca="1" si="148"/>
        <v>40951</v>
      </c>
      <c r="F1514" s="32"/>
      <c r="G1514" s="12">
        <f t="shared" ca="1" si="144"/>
        <v>112</v>
      </c>
      <c r="H1514" s="12">
        <f t="shared" ca="1" si="145"/>
        <v>1</v>
      </c>
      <c r="I1514" s="13">
        <f t="shared" ca="1" si="146"/>
        <v>12</v>
      </c>
      <c r="J1514" s="14">
        <f t="shared" ca="1" si="143"/>
        <v>112</v>
      </c>
      <c r="K1514" s="12" t="s">
        <v>41</v>
      </c>
      <c r="L1514" s="15">
        <v>118</v>
      </c>
      <c r="M1514" s="25" t="s">
        <v>40</v>
      </c>
      <c r="N1514">
        <v>319</v>
      </c>
    </row>
    <row r="1515" spans="1:14">
      <c r="A1515" s="25">
        <f t="shared" si="147"/>
        <v>1512</v>
      </c>
      <c r="B1515" s="67" t="s">
        <v>20</v>
      </c>
      <c r="C1515" s="67" t="s">
        <v>992</v>
      </c>
      <c r="D1515" s="67" t="s">
        <v>463</v>
      </c>
      <c r="E1515" s="22">
        <f t="shared" ca="1" si="148"/>
        <v>40951</v>
      </c>
      <c r="F1515" s="11">
        <f>DATE(89,12,8)</f>
        <v>32850</v>
      </c>
      <c r="G1515" s="12">
        <f t="shared" ca="1" si="144"/>
        <v>23</v>
      </c>
      <c r="H1515" s="12">
        <f t="shared" ca="1" si="145"/>
        <v>-10</v>
      </c>
      <c r="I1515" s="13">
        <f t="shared" ca="1" si="146"/>
        <v>4</v>
      </c>
      <c r="J1515" s="14">
        <f t="shared" ca="1" si="143"/>
        <v>22</v>
      </c>
      <c r="K1515" s="12" t="s">
        <v>41</v>
      </c>
      <c r="L1515" s="15">
        <v>118</v>
      </c>
      <c r="M1515" s="25" t="s">
        <v>44</v>
      </c>
      <c r="N1515">
        <v>319</v>
      </c>
    </row>
    <row r="1516" spans="1:14">
      <c r="A1516" s="25">
        <f t="shared" si="147"/>
        <v>1513</v>
      </c>
      <c r="B1516" s="67" t="s">
        <v>20</v>
      </c>
      <c r="C1516" s="67" t="s">
        <v>993</v>
      </c>
      <c r="D1516" s="67" t="s">
        <v>463</v>
      </c>
      <c r="E1516" s="22">
        <f t="shared" ca="1" si="148"/>
        <v>40951</v>
      </c>
      <c r="F1516" s="11">
        <f>DATE(91,1,19)</f>
        <v>33257</v>
      </c>
      <c r="G1516" s="12">
        <f t="shared" ca="1" si="144"/>
        <v>21</v>
      </c>
      <c r="H1516" s="12">
        <f t="shared" ca="1" si="145"/>
        <v>1</v>
      </c>
      <c r="I1516" s="13">
        <f t="shared" ca="1" si="146"/>
        <v>-7</v>
      </c>
      <c r="J1516" s="14">
        <f t="shared" ca="1" si="143"/>
        <v>21</v>
      </c>
      <c r="K1516" s="12" t="s">
        <v>41</v>
      </c>
      <c r="L1516" s="15">
        <v>118</v>
      </c>
      <c r="M1516" s="25" t="s">
        <v>44</v>
      </c>
      <c r="N1516">
        <v>319</v>
      </c>
    </row>
    <row r="1517" spans="1:14" ht="15.75" thickBot="1">
      <c r="A1517" s="26">
        <f t="shared" si="147"/>
        <v>1514</v>
      </c>
      <c r="B1517" s="67" t="s">
        <v>20</v>
      </c>
      <c r="C1517" s="68" t="s">
        <v>722</v>
      </c>
      <c r="D1517" s="68" t="s">
        <v>463</v>
      </c>
      <c r="E1517" s="23">
        <f t="shared" ca="1" si="148"/>
        <v>40951</v>
      </c>
      <c r="F1517" s="16">
        <f>DATE(93,2,3)</f>
        <v>34003</v>
      </c>
      <c r="G1517" s="17">
        <f t="shared" ca="1" si="144"/>
        <v>19</v>
      </c>
      <c r="H1517" s="17">
        <f t="shared" ca="1" si="145"/>
        <v>0</v>
      </c>
      <c r="I1517" s="18">
        <f t="shared" ca="1" si="146"/>
        <v>9</v>
      </c>
      <c r="J1517" s="19">
        <f t="shared" ca="1" si="143"/>
        <v>19</v>
      </c>
      <c r="K1517" s="17" t="s">
        <v>41</v>
      </c>
      <c r="L1517" s="20">
        <v>118</v>
      </c>
      <c r="M1517" s="26" t="s">
        <v>44</v>
      </c>
      <c r="N1517">
        <v>319</v>
      </c>
    </row>
    <row r="1518" spans="1:14">
      <c r="A1518" s="25">
        <f t="shared" si="147"/>
        <v>1515</v>
      </c>
      <c r="B1518" s="67" t="s">
        <v>20</v>
      </c>
      <c r="C1518" s="67" t="s">
        <v>903</v>
      </c>
      <c r="D1518" s="67" t="s">
        <v>316</v>
      </c>
      <c r="E1518" s="22">
        <f t="shared" ca="1" si="148"/>
        <v>40951</v>
      </c>
      <c r="F1518" s="11">
        <f>DATE(51,10,150)</f>
        <v>19051</v>
      </c>
      <c r="G1518" s="12">
        <f t="shared" ca="1" si="144"/>
        <v>60</v>
      </c>
      <c r="H1518" s="12">
        <f t="shared" ca="1" si="145"/>
        <v>0</v>
      </c>
      <c r="I1518" s="13">
        <f t="shared" ca="1" si="146"/>
        <v>-15</v>
      </c>
      <c r="J1518" s="14">
        <f t="shared" ca="1" si="143"/>
        <v>59</v>
      </c>
      <c r="K1518" s="12" t="s">
        <v>40</v>
      </c>
      <c r="L1518" s="15">
        <v>118</v>
      </c>
      <c r="M1518" s="25" t="s">
        <v>40</v>
      </c>
      <c r="N1518">
        <v>320</v>
      </c>
    </row>
    <row r="1519" spans="1:14">
      <c r="A1519" s="25">
        <f t="shared" si="147"/>
        <v>1516</v>
      </c>
      <c r="B1519" s="67" t="s">
        <v>20</v>
      </c>
      <c r="C1519" s="67" t="s">
        <v>990</v>
      </c>
      <c r="D1519" s="67" t="s">
        <v>903</v>
      </c>
      <c r="E1519" s="22">
        <f t="shared" ca="1" si="148"/>
        <v>40951</v>
      </c>
      <c r="F1519" s="11">
        <f>DATE(57,3,16)</f>
        <v>20895</v>
      </c>
      <c r="G1519" s="12">
        <f t="shared" ca="1" si="144"/>
        <v>55</v>
      </c>
      <c r="H1519" s="12">
        <f t="shared" ca="1" si="145"/>
        <v>-1</v>
      </c>
      <c r="I1519" s="13">
        <f t="shared" ca="1" si="146"/>
        <v>-4</v>
      </c>
      <c r="J1519" s="14">
        <f t="shared" ca="1" si="143"/>
        <v>54</v>
      </c>
      <c r="K1519" s="12" t="s">
        <v>41</v>
      </c>
      <c r="L1519" s="15">
        <v>118</v>
      </c>
      <c r="M1519" s="25" t="s">
        <v>40</v>
      </c>
      <c r="N1519">
        <v>320</v>
      </c>
    </row>
    <row r="1520" spans="1:14">
      <c r="A1520" s="25">
        <f t="shared" si="147"/>
        <v>1517</v>
      </c>
      <c r="B1520" s="67" t="s">
        <v>20</v>
      </c>
      <c r="C1520" s="67" t="s">
        <v>118</v>
      </c>
      <c r="D1520" s="67" t="s">
        <v>903</v>
      </c>
      <c r="E1520" s="22">
        <f t="shared" ca="1" si="148"/>
        <v>40951</v>
      </c>
      <c r="F1520" s="11">
        <f>DATE(80,7,16)</f>
        <v>29418</v>
      </c>
      <c r="G1520" s="12">
        <f t="shared" ca="1" si="144"/>
        <v>32</v>
      </c>
      <c r="H1520" s="12">
        <f t="shared" ca="1" si="145"/>
        <v>-5</v>
      </c>
      <c r="I1520" s="13">
        <f t="shared" ca="1" si="146"/>
        <v>-4</v>
      </c>
      <c r="J1520" s="14">
        <f t="shared" ca="1" si="143"/>
        <v>31</v>
      </c>
      <c r="K1520" s="12" t="s">
        <v>40</v>
      </c>
      <c r="L1520" s="15">
        <v>118</v>
      </c>
      <c r="M1520" s="25" t="s">
        <v>44</v>
      </c>
      <c r="N1520">
        <v>320</v>
      </c>
    </row>
    <row r="1521" spans="1:14" ht="15.75" thickBot="1">
      <c r="A1521" s="26">
        <f t="shared" si="147"/>
        <v>1518</v>
      </c>
      <c r="B1521" s="67" t="s">
        <v>20</v>
      </c>
      <c r="C1521" s="68" t="s">
        <v>920</v>
      </c>
      <c r="D1521" s="68" t="s">
        <v>903</v>
      </c>
      <c r="E1521" s="23">
        <f t="shared" ca="1" si="148"/>
        <v>40951</v>
      </c>
      <c r="F1521" s="16">
        <f>DATE(82,6,11)</f>
        <v>30113</v>
      </c>
      <c r="G1521" s="17">
        <f t="shared" ca="1" si="144"/>
        <v>30</v>
      </c>
      <c r="H1521" s="17">
        <f t="shared" ca="1" si="145"/>
        <v>-4</v>
      </c>
      <c r="I1521" s="18">
        <f t="shared" ca="1" si="146"/>
        <v>1</v>
      </c>
      <c r="J1521" s="19">
        <f t="shared" ca="1" si="143"/>
        <v>29</v>
      </c>
      <c r="K1521" s="17" t="s">
        <v>41</v>
      </c>
      <c r="L1521" s="20">
        <v>118</v>
      </c>
      <c r="M1521" s="26" t="s">
        <v>44</v>
      </c>
      <c r="N1521">
        <v>320</v>
      </c>
    </row>
    <row r="1522" spans="1:14">
      <c r="A1522" s="25">
        <f t="shared" si="147"/>
        <v>1519</v>
      </c>
      <c r="B1522" s="67" t="s">
        <v>20</v>
      </c>
      <c r="C1522" s="67" t="s">
        <v>743</v>
      </c>
      <c r="D1522" s="67" t="s">
        <v>286</v>
      </c>
      <c r="E1522" s="22">
        <f t="shared" ca="1" si="148"/>
        <v>40951</v>
      </c>
      <c r="F1522" s="11">
        <f>DATE(37,2,1)</f>
        <v>13547</v>
      </c>
      <c r="G1522" s="12">
        <f t="shared" ca="1" si="144"/>
        <v>75</v>
      </c>
      <c r="H1522" s="12">
        <f t="shared" ca="1" si="145"/>
        <v>0</v>
      </c>
      <c r="I1522" s="13">
        <f t="shared" ca="1" si="146"/>
        <v>11</v>
      </c>
      <c r="J1522" s="14">
        <f t="shared" ca="1" si="143"/>
        <v>75</v>
      </c>
      <c r="K1522" s="12" t="s">
        <v>40</v>
      </c>
      <c r="L1522" s="15">
        <v>119</v>
      </c>
      <c r="M1522" s="25" t="s">
        <v>40</v>
      </c>
      <c r="N1522">
        <v>321</v>
      </c>
    </row>
    <row r="1523" spans="1:14">
      <c r="A1523" s="25">
        <f t="shared" si="147"/>
        <v>1520</v>
      </c>
      <c r="B1523" s="67" t="s">
        <v>20</v>
      </c>
      <c r="C1523" s="67" t="s">
        <v>994</v>
      </c>
      <c r="D1523" s="67" t="s">
        <v>743</v>
      </c>
      <c r="E1523" s="22">
        <f t="shared" ca="1" si="148"/>
        <v>40951</v>
      </c>
      <c r="F1523" s="32"/>
      <c r="G1523" s="12">
        <f t="shared" ca="1" si="144"/>
        <v>112</v>
      </c>
      <c r="H1523" s="12">
        <f t="shared" ca="1" si="145"/>
        <v>1</v>
      </c>
      <c r="I1523" s="13">
        <f t="shared" ca="1" si="146"/>
        <v>12</v>
      </c>
      <c r="J1523" s="14">
        <f t="shared" ca="1" si="143"/>
        <v>112</v>
      </c>
      <c r="K1523" s="12" t="s">
        <v>41</v>
      </c>
      <c r="L1523" s="15">
        <v>119</v>
      </c>
      <c r="M1523" s="25" t="s">
        <v>40</v>
      </c>
      <c r="N1523">
        <v>321</v>
      </c>
    </row>
    <row r="1524" spans="1:14">
      <c r="A1524" s="25">
        <f t="shared" si="147"/>
        <v>1521</v>
      </c>
      <c r="B1524" s="67" t="s">
        <v>20</v>
      </c>
      <c r="C1524" s="67" t="s">
        <v>767</v>
      </c>
      <c r="D1524" s="67" t="s">
        <v>743</v>
      </c>
      <c r="E1524" s="22">
        <f t="shared" ca="1" si="148"/>
        <v>40951</v>
      </c>
      <c r="F1524" s="11">
        <f>DATE(63,12,29)</f>
        <v>23374</v>
      </c>
      <c r="G1524" s="12">
        <f t="shared" ca="1" si="144"/>
        <v>49</v>
      </c>
      <c r="H1524" s="12">
        <f t="shared" ca="1" si="145"/>
        <v>-10</v>
      </c>
      <c r="I1524" s="13">
        <f t="shared" ca="1" si="146"/>
        <v>-17</v>
      </c>
      <c r="J1524" s="14">
        <f t="shared" ca="1" si="143"/>
        <v>48</v>
      </c>
      <c r="K1524" s="12" t="s">
        <v>40</v>
      </c>
      <c r="L1524" s="15">
        <v>119</v>
      </c>
      <c r="M1524" s="25" t="s">
        <v>40</v>
      </c>
      <c r="N1524">
        <v>321</v>
      </c>
    </row>
    <row r="1525" spans="1:14">
      <c r="A1525" s="25">
        <f t="shared" si="147"/>
        <v>1522</v>
      </c>
      <c r="B1525" s="67" t="s">
        <v>20</v>
      </c>
      <c r="C1525" s="67" t="s">
        <v>487</v>
      </c>
      <c r="D1525" s="67" t="s">
        <v>767</v>
      </c>
      <c r="E1525" s="22">
        <f t="shared" ca="1" si="148"/>
        <v>40951</v>
      </c>
      <c r="F1525" s="11">
        <f>DATE(68,12,150)</f>
        <v>25322</v>
      </c>
      <c r="G1525" s="12">
        <f t="shared" ca="1" si="144"/>
        <v>43</v>
      </c>
      <c r="H1525" s="12">
        <f t="shared" ca="1" si="145"/>
        <v>-2</v>
      </c>
      <c r="I1525" s="13">
        <f t="shared" ca="1" si="146"/>
        <v>-17</v>
      </c>
      <c r="J1525" s="14">
        <f t="shared" ca="1" si="143"/>
        <v>42</v>
      </c>
      <c r="K1525" s="12" t="s">
        <v>41</v>
      </c>
      <c r="L1525" s="15">
        <v>119</v>
      </c>
      <c r="M1525" s="25" t="s">
        <v>40</v>
      </c>
      <c r="N1525">
        <v>321</v>
      </c>
    </row>
    <row r="1526" spans="1:14">
      <c r="A1526" s="25">
        <f t="shared" si="147"/>
        <v>1523</v>
      </c>
      <c r="B1526" s="67" t="s">
        <v>20</v>
      </c>
      <c r="C1526" s="67" t="s">
        <v>995</v>
      </c>
      <c r="D1526" s="67" t="s">
        <v>767</v>
      </c>
      <c r="E1526" s="22">
        <f t="shared" ca="1" si="148"/>
        <v>40951</v>
      </c>
      <c r="F1526" s="11">
        <f>DATE(92,8,3)</f>
        <v>33819</v>
      </c>
      <c r="G1526" s="12">
        <f t="shared" ca="1" si="144"/>
        <v>20</v>
      </c>
      <c r="H1526" s="12">
        <f t="shared" ca="1" si="145"/>
        <v>-6</v>
      </c>
      <c r="I1526" s="13">
        <f t="shared" ca="1" si="146"/>
        <v>9</v>
      </c>
      <c r="J1526" s="14">
        <f t="shared" ca="1" si="143"/>
        <v>19</v>
      </c>
      <c r="K1526" s="12" t="s">
        <v>41</v>
      </c>
      <c r="L1526" s="15">
        <v>119</v>
      </c>
      <c r="M1526" s="25" t="s">
        <v>44</v>
      </c>
      <c r="N1526">
        <v>321</v>
      </c>
    </row>
    <row r="1527" spans="1:14" ht="15.75" thickBot="1">
      <c r="A1527" s="26">
        <f t="shared" si="147"/>
        <v>1524</v>
      </c>
      <c r="B1527" s="67" t="s">
        <v>20</v>
      </c>
      <c r="C1527" s="68" t="s">
        <v>211</v>
      </c>
      <c r="D1527" s="68" t="s">
        <v>767</v>
      </c>
      <c r="E1527" s="23">
        <f t="shared" ca="1" si="148"/>
        <v>40951</v>
      </c>
      <c r="F1527" s="16">
        <f>DATE(94,9,16)</f>
        <v>34593</v>
      </c>
      <c r="G1527" s="17">
        <f t="shared" ca="1" si="144"/>
        <v>18</v>
      </c>
      <c r="H1527" s="17">
        <f t="shared" ca="1" si="145"/>
        <v>-7</v>
      </c>
      <c r="I1527" s="18">
        <f t="shared" ca="1" si="146"/>
        <v>-4</v>
      </c>
      <c r="J1527" s="19">
        <f t="shared" ca="1" si="143"/>
        <v>17</v>
      </c>
      <c r="K1527" s="17" t="s">
        <v>41</v>
      </c>
      <c r="L1527" s="20">
        <v>119</v>
      </c>
      <c r="M1527" s="26" t="s">
        <v>44</v>
      </c>
      <c r="N1527">
        <v>321</v>
      </c>
    </row>
    <row r="1528" spans="1:14">
      <c r="A1528" s="25">
        <f t="shared" si="147"/>
        <v>1525</v>
      </c>
      <c r="B1528" s="67" t="s">
        <v>20</v>
      </c>
      <c r="C1528" s="67" t="s">
        <v>865</v>
      </c>
      <c r="D1528" s="67" t="s">
        <v>996</v>
      </c>
      <c r="E1528" s="22">
        <f t="shared" ca="1" si="148"/>
        <v>40951</v>
      </c>
      <c r="F1528" s="11">
        <f>DATE(60,1,17)</f>
        <v>21932</v>
      </c>
      <c r="G1528" s="12">
        <f t="shared" ca="1" si="144"/>
        <v>52</v>
      </c>
      <c r="H1528" s="12">
        <f t="shared" ca="1" si="145"/>
        <v>1</v>
      </c>
      <c r="I1528" s="13">
        <f t="shared" ca="1" si="146"/>
        <v>-5</v>
      </c>
      <c r="J1528" s="14">
        <f t="shared" ca="1" si="143"/>
        <v>52</v>
      </c>
      <c r="K1528" s="12" t="s">
        <v>41</v>
      </c>
      <c r="L1528" s="15">
        <v>119</v>
      </c>
      <c r="M1528" s="25" t="s">
        <v>40</v>
      </c>
      <c r="N1528">
        <v>322</v>
      </c>
    </row>
    <row r="1529" spans="1:14">
      <c r="A1529" s="25">
        <f t="shared" si="147"/>
        <v>1526</v>
      </c>
      <c r="B1529" s="67" t="s">
        <v>20</v>
      </c>
      <c r="C1529" s="67" t="s">
        <v>403</v>
      </c>
      <c r="D1529" s="67" t="s">
        <v>996</v>
      </c>
      <c r="E1529" s="22">
        <f t="shared" ca="1" si="148"/>
        <v>40951</v>
      </c>
      <c r="F1529" s="11">
        <f>DATE(83,5,24)</f>
        <v>30460</v>
      </c>
      <c r="G1529" s="12">
        <f t="shared" ca="1" si="144"/>
        <v>29</v>
      </c>
      <c r="H1529" s="12">
        <f t="shared" ca="1" si="145"/>
        <v>-3</v>
      </c>
      <c r="I1529" s="13">
        <f t="shared" ca="1" si="146"/>
        <v>-12</v>
      </c>
      <c r="J1529" s="14">
        <f t="shared" ca="1" si="143"/>
        <v>28</v>
      </c>
      <c r="K1529" s="12" t="s">
        <v>41</v>
      </c>
      <c r="L1529" s="15">
        <v>119</v>
      </c>
      <c r="M1529" s="25" t="s">
        <v>44</v>
      </c>
      <c r="N1529">
        <v>322</v>
      </c>
    </row>
    <row r="1530" spans="1:14">
      <c r="A1530" s="25">
        <f t="shared" si="147"/>
        <v>1527</v>
      </c>
      <c r="B1530" s="67" t="s">
        <v>20</v>
      </c>
      <c r="C1530" s="67" t="s">
        <v>776</v>
      </c>
      <c r="D1530" s="67" t="s">
        <v>996</v>
      </c>
      <c r="E1530" s="22">
        <f t="shared" ca="1" si="148"/>
        <v>40951</v>
      </c>
      <c r="F1530" s="11">
        <f>DATE(84,9,28)</f>
        <v>30953</v>
      </c>
      <c r="G1530" s="12">
        <f t="shared" ca="1" si="144"/>
        <v>28</v>
      </c>
      <c r="H1530" s="12">
        <f t="shared" ca="1" si="145"/>
        <v>-7</v>
      </c>
      <c r="I1530" s="13">
        <f t="shared" ca="1" si="146"/>
        <v>-16</v>
      </c>
      <c r="J1530" s="14">
        <f t="shared" ca="1" si="143"/>
        <v>27</v>
      </c>
      <c r="K1530" s="12" t="s">
        <v>41</v>
      </c>
      <c r="L1530" s="15">
        <v>119</v>
      </c>
      <c r="M1530" s="25" t="s">
        <v>44</v>
      </c>
      <c r="N1530">
        <v>322</v>
      </c>
    </row>
    <row r="1531" spans="1:14" ht="15.75" thickBot="1">
      <c r="A1531" s="26">
        <f t="shared" si="147"/>
        <v>1528</v>
      </c>
      <c r="B1531" s="67" t="s">
        <v>20</v>
      </c>
      <c r="C1531" s="68" t="s">
        <v>376</v>
      </c>
      <c r="D1531" s="68" t="s">
        <v>996</v>
      </c>
      <c r="E1531" s="23">
        <f t="shared" ca="1" si="148"/>
        <v>40951</v>
      </c>
      <c r="F1531" s="16">
        <f>DATE(88,8,6)</f>
        <v>32361</v>
      </c>
      <c r="G1531" s="17">
        <f t="shared" ca="1" si="144"/>
        <v>24</v>
      </c>
      <c r="H1531" s="17">
        <f t="shared" ca="1" si="145"/>
        <v>-6</v>
      </c>
      <c r="I1531" s="18">
        <f t="shared" ca="1" si="146"/>
        <v>6</v>
      </c>
      <c r="J1531" s="19">
        <f t="shared" ca="1" si="143"/>
        <v>23</v>
      </c>
      <c r="K1531" s="17" t="s">
        <v>40</v>
      </c>
      <c r="L1531" s="20">
        <v>119</v>
      </c>
      <c r="M1531" s="26" t="s">
        <v>44</v>
      </c>
      <c r="N1531">
        <v>322</v>
      </c>
    </row>
    <row r="1532" spans="1:14">
      <c r="A1532" s="25">
        <f t="shared" si="147"/>
        <v>1529</v>
      </c>
      <c r="B1532" s="67" t="s">
        <v>20</v>
      </c>
      <c r="C1532" s="67" t="s">
        <v>997</v>
      </c>
      <c r="D1532" s="67" t="s">
        <v>134</v>
      </c>
      <c r="E1532" s="22">
        <f t="shared" ca="1" si="148"/>
        <v>40951</v>
      </c>
      <c r="F1532" s="11">
        <f>DATE(60,12,17)</f>
        <v>22267</v>
      </c>
      <c r="G1532" s="12">
        <f t="shared" ca="1" si="144"/>
        <v>52</v>
      </c>
      <c r="H1532" s="12">
        <f t="shared" ca="1" si="145"/>
        <v>-10</v>
      </c>
      <c r="I1532" s="13">
        <f t="shared" ca="1" si="146"/>
        <v>-5</v>
      </c>
      <c r="J1532" s="14">
        <f t="shared" ca="1" si="143"/>
        <v>51</v>
      </c>
      <c r="K1532" s="12" t="s">
        <v>40</v>
      </c>
      <c r="L1532" s="15">
        <v>119</v>
      </c>
      <c r="M1532" s="25" t="s">
        <v>40</v>
      </c>
      <c r="N1532">
        <v>323</v>
      </c>
    </row>
    <row r="1533" spans="1:14">
      <c r="A1533" s="25">
        <f t="shared" si="147"/>
        <v>1530</v>
      </c>
      <c r="B1533" s="67" t="s">
        <v>20</v>
      </c>
      <c r="C1533" s="67" t="s">
        <v>62</v>
      </c>
      <c r="D1533" s="67" t="s">
        <v>997</v>
      </c>
      <c r="E1533" s="22">
        <f t="shared" ca="1" si="148"/>
        <v>40951</v>
      </c>
      <c r="F1533" s="11">
        <f>DATE(68,2,21)</f>
        <v>24889</v>
      </c>
      <c r="G1533" s="12">
        <f t="shared" ca="1" si="144"/>
        <v>44</v>
      </c>
      <c r="H1533" s="12">
        <f t="shared" ca="1" si="145"/>
        <v>0</v>
      </c>
      <c r="I1533" s="13">
        <f t="shared" ca="1" si="146"/>
        <v>-9</v>
      </c>
      <c r="J1533" s="14">
        <f t="shared" ca="1" si="143"/>
        <v>43</v>
      </c>
      <c r="K1533" s="12" t="s">
        <v>41</v>
      </c>
      <c r="L1533" s="15">
        <v>119</v>
      </c>
      <c r="M1533" s="25" t="s">
        <v>40</v>
      </c>
      <c r="N1533">
        <v>323</v>
      </c>
    </row>
    <row r="1534" spans="1:14">
      <c r="A1534" s="25">
        <f t="shared" si="147"/>
        <v>1531</v>
      </c>
      <c r="B1534" s="67" t="s">
        <v>20</v>
      </c>
      <c r="C1534" s="67" t="s">
        <v>998</v>
      </c>
      <c r="D1534" s="67" t="s">
        <v>997</v>
      </c>
      <c r="E1534" s="22">
        <f t="shared" ca="1" si="148"/>
        <v>40951</v>
      </c>
      <c r="F1534" s="11">
        <f>DATE(87,11,1)</f>
        <v>32082</v>
      </c>
      <c r="G1534" s="12">
        <f t="shared" ca="1" si="144"/>
        <v>25</v>
      </c>
      <c r="H1534" s="12">
        <f t="shared" ca="1" si="145"/>
        <v>-9</v>
      </c>
      <c r="I1534" s="13">
        <f t="shared" ca="1" si="146"/>
        <v>11</v>
      </c>
      <c r="J1534" s="14">
        <f t="shared" ca="1" si="143"/>
        <v>24</v>
      </c>
      <c r="K1534" s="12" t="s">
        <v>41</v>
      </c>
      <c r="L1534" s="15">
        <v>119</v>
      </c>
      <c r="M1534" s="25" t="s">
        <v>44</v>
      </c>
      <c r="N1534">
        <v>323</v>
      </c>
    </row>
    <row r="1535" spans="1:14" ht="15.75" thickBot="1">
      <c r="A1535" s="26">
        <f t="shared" si="147"/>
        <v>1532</v>
      </c>
      <c r="B1535" s="67" t="s">
        <v>20</v>
      </c>
      <c r="C1535" s="68" t="s">
        <v>999</v>
      </c>
      <c r="D1535" s="68" t="s">
        <v>997</v>
      </c>
      <c r="E1535" s="23">
        <f t="shared" ca="1" si="148"/>
        <v>40951</v>
      </c>
      <c r="F1535" s="16">
        <f>DATE(94,2,24)</f>
        <v>34389</v>
      </c>
      <c r="G1535" s="17">
        <f t="shared" ca="1" si="144"/>
        <v>18</v>
      </c>
      <c r="H1535" s="17">
        <f t="shared" ca="1" si="145"/>
        <v>0</v>
      </c>
      <c r="I1535" s="18">
        <f t="shared" ca="1" si="146"/>
        <v>-12</v>
      </c>
      <c r="J1535" s="19">
        <f t="shared" ca="1" si="143"/>
        <v>17</v>
      </c>
      <c r="K1535" s="17" t="s">
        <v>41</v>
      </c>
      <c r="L1535" s="20">
        <v>119</v>
      </c>
      <c r="M1535" s="26" t="s">
        <v>44</v>
      </c>
      <c r="N1535">
        <v>323</v>
      </c>
    </row>
    <row r="1536" spans="1:14">
      <c r="A1536" s="25">
        <f t="shared" si="147"/>
        <v>1533</v>
      </c>
      <c r="B1536" s="67" t="s">
        <v>20</v>
      </c>
      <c r="C1536" s="67" t="s">
        <v>1000</v>
      </c>
      <c r="D1536" s="67" t="s">
        <v>60</v>
      </c>
      <c r="E1536" s="22">
        <f t="shared" ca="1" si="148"/>
        <v>40951</v>
      </c>
      <c r="F1536" s="11">
        <f>DATE(46,1,16)</f>
        <v>16818</v>
      </c>
      <c r="G1536" s="12">
        <f t="shared" ca="1" si="144"/>
        <v>66</v>
      </c>
      <c r="H1536" s="12">
        <f t="shared" ca="1" si="145"/>
        <v>1</v>
      </c>
      <c r="I1536" s="13">
        <f t="shared" ca="1" si="146"/>
        <v>-4</v>
      </c>
      <c r="J1536" s="14">
        <f t="shared" ca="1" si="143"/>
        <v>66</v>
      </c>
      <c r="K1536" s="12" t="s">
        <v>40</v>
      </c>
      <c r="L1536" s="15">
        <v>120</v>
      </c>
      <c r="M1536" s="25" t="s">
        <v>40</v>
      </c>
      <c r="N1536">
        <v>324</v>
      </c>
    </row>
    <row r="1537" spans="1:14">
      <c r="A1537" s="25">
        <f t="shared" si="147"/>
        <v>1534</v>
      </c>
      <c r="B1537" s="67" t="s">
        <v>20</v>
      </c>
      <c r="C1537" s="67" t="s">
        <v>1001</v>
      </c>
      <c r="D1537" s="67" t="s">
        <v>1000</v>
      </c>
      <c r="E1537" s="22">
        <f t="shared" ca="1" si="148"/>
        <v>40951</v>
      </c>
      <c r="F1537" s="11">
        <f>DATE(53,7,15)</f>
        <v>19555</v>
      </c>
      <c r="G1537" s="12">
        <f t="shared" ca="1" si="144"/>
        <v>59</v>
      </c>
      <c r="H1537" s="12">
        <f t="shared" ca="1" si="145"/>
        <v>-5</v>
      </c>
      <c r="I1537" s="13">
        <f t="shared" ca="1" si="146"/>
        <v>-3</v>
      </c>
      <c r="J1537" s="14">
        <f t="shared" ca="1" si="143"/>
        <v>58</v>
      </c>
      <c r="K1537" s="12" t="s">
        <v>40</v>
      </c>
      <c r="L1537" s="15">
        <v>120</v>
      </c>
      <c r="M1537" s="25" t="s">
        <v>40</v>
      </c>
      <c r="N1537">
        <v>324</v>
      </c>
    </row>
    <row r="1538" spans="1:14">
      <c r="A1538" s="25">
        <f t="shared" si="147"/>
        <v>1535</v>
      </c>
      <c r="B1538" s="67" t="s">
        <v>20</v>
      </c>
      <c r="C1538" s="67" t="s">
        <v>986</v>
      </c>
      <c r="D1538" s="67" t="s">
        <v>1000</v>
      </c>
      <c r="E1538" s="22">
        <f t="shared" ca="1" si="148"/>
        <v>40951</v>
      </c>
      <c r="F1538" s="11">
        <f>DATE(76,9,14)</f>
        <v>28017</v>
      </c>
      <c r="G1538" s="12">
        <f t="shared" ca="1" si="144"/>
        <v>36</v>
      </c>
      <c r="H1538" s="12">
        <f t="shared" ca="1" si="145"/>
        <v>-7</v>
      </c>
      <c r="I1538" s="13">
        <f t="shared" ca="1" si="146"/>
        <v>-2</v>
      </c>
      <c r="J1538" s="14">
        <f t="shared" ca="1" si="143"/>
        <v>35</v>
      </c>
      <c r="K1538" s="12" t="s">
        <v>41</v>
      </c>
      <c r="L1538" s="15">
        <v>120</v>
      </c>
      <c r="M1538" s="25" t="s">
        <v>44</v>
      </c>
      <c r="N1538">
        <v>324</v>
      </c>
    </row>
    <row r="1539" spans="1:14">
      <c r="A1539" s="25">
        <f t="shared" si="147"/>
        <v>1536</v>
      </c>
      <c r="B1539" s="67" t="s">
        <v>20</v>
      </c>
      <c r="C1539" s="67" t="s">
        <v>1002</v>
      </c>
      <c r="D1539" s="67" t="s">
        <v>1000</v>
      </c>
      <c r="E1539" s="22">
        <f t="shared" ca="1" si="148"/>
        <v>40951</v>
      </c>
      <c r="F1539" s="11">
        <f>DATE(80,7,7)</f>
        <v>29409</v>
      </c>
      <c r="G1539" s="12">
        <f t="shared" ca="1" si="144"/>
        <v>32</v>
      </c>
      <c r="H1539" s="12">
        <f t="shared" ca="1" si="145"/>
        <v>-5</v>
      </c>
      <c r="I1539" s="13">
        <f t="shared" ca="1" si="146"/>
        <v>5</v>
      </c>
      <c r="J1539" s="14">
        <f t="shared" ca="1" si="143"/>
        <v>31</v>
      </c>
      <c r="K1539" s="12" t="s">
        <v>41</v>
      </c>
      <c r="L1539" s="15">
        <v>120</v>
      </c>
      <c r="M1539" s="25" t="s">
        <v>44</v>
      </c>
      <c r="N1539">
        <v>324</v>
      </c>
    </row>
    <row r="1540" spans="1:14">
      <c r="A1540" s="25">
        <f t="shared" si="147"/>
        <v>1537</v>
      </c>
      <c r="B1540" s="67" t="s">
        <v>20</v>
      </c>
      <c r="C1540" s="67" t="s">
        <v>1003</v>
      </c>
      <c r="D1540" s="67" t="s">
        <v>1002</v>
      </c>
      <c r="E1540" s="22">
        <f t="shared" ca="1" si="148"/>
        <v>40951</v>
      </c>
      <c r="F1540" s="11">
        <f>DATE(83,10,14)</f>
        <v>30603</v>
      </c>
      <c r="G1540" s="12">
        <f t="shared" ca="1" si="144"/>
        <v>29</v>
      </c>
      <c r="H1540" s="12">
        <f t="shared" ca="1" si="145"/>
        <v>-8</v>
      </c>
      <c r="I1540" s="13">
        <f t="shared" ca="1" si="146"/>
        <v>-2</v>
      </c>
      <c r="J1540" s="14">
        <f t="shared" ref="J1540:J1603" ca="1" si="149">IF(H1540&lt;0,G1540-1,IF(H1540&gt;0,G1540,IF(I1540&lt;0,G1540-1,G1540)))</f>
        <v>28</v>
      </c>
      <c r="K1540" s="12" t="s">
        <v>40</v>
      </c>
      <c r="L1540" s="15">
        <v>120</v>
      </c>
      <c r="M1540" s="25" t="s">
        <v>40</v>
      </c>
      <c r="N1540">
        <v>324</v>
      </c>
    </row>
    <row r="1541" spans="1:14" ht="15.75" thickBot="1">
      <c r="A1541" s="26">
        <f t="shared" si="147"/>
        <v>1538</v>
      </c>
      <c r="B1541" s="67" t="s">
        <v>20</v>
      </c>
      <c r="C1541" s="68" t="s">
        <v>1004</v>
      </c>
      <c r="D1541" s="68" t="s">
        <v>60</v>
      </c>
      <c r="E1541" s="23">
        <f t="shared" ca="1" si="148"/>
        <v>40951</v>
      </c>
      <c r="F1541" s="16">
        <f>DATE(59,4,4)</f>
        <v>21644</v>
      </c>
      <c r="G1541" s="17">
        <f t="shared" ca="1" si="144"/>
        <v>53</v>
      </c>
      <c r="H1541" s="17">
        <f t="shared" ca="1" si="145"/>
        <v>-2</v>
      </c>
      <c r="I1541" s="18">
        <f t="shared" ca="1" si="146"/>
        <v>8</v>
      </c>
      <c r="J1541" s="19">
        <f t="shared" ca="1" si="149"/>
        <v>52</v>
      </c>
      <c r="K1541" s="17" t="s">
        <v>41</v>
      </c>
      <c r="L1541" s="20">
        <v>120</v>
      </c>
      <c r="M1541" s="26" t="s">
        <v>44</v>
      </c>
      <c r="N1541">
        <v>324</v>
      </c>
    </row>
    <row r="1542" spans="1:14">
      <c r="A1542" s="25">
        <f t="shared" si="147"/>
        <v>1539</v>
      </c>
      <c r="B1542" s="67" t="s">
        <v>20</v>
      </c>
      <c r="C1542" s="67" t="s">
        <v>933</v>
      </c>
      <c r="D1542" s="67" t="s">
        <v>77</v>
      </c>
      <c r="E1542" s="22">
        <f t="shared" ca="1" si="148"/>
        <v>40951</v>
      </c>
      <c r="F1542" s="11">
        <f>DATE(46,10,25)</f>
        <v>17100</v>
      </c>
      <c r="G1542" s="12">
        <f t="shared" ca="1" si="144"/>
        <v>66</v>
      </c>
      <c r="H1542" s="12">
        <f t="shared" ca="1" si="145"/>
        <v>-8</v>
      </c>
      <c r="I1542" s="13">
        <f t="shared" ca="1" si="146"/>
        <v>-13</v>
      </c>
      <c r="J1542" s="14">
        <f t="shared" ca="1" si="149"/>
        <v>65</v>
      </c>
      <c r="K1542" s="12" t="s">
        <v>40</v>
      </c>
      <c r="L1542" s="15">
        <v>120</v>
      </c>
      <c r="M1542" s="25" t="s">
        <v>40</v>
      </c>
      <c r="N1542">
        <v>325</v>
      </c>
    </row>
    <row r="1543" spans="1:14">
      <c r="A1543" s="25">
        <f t="shared" si="147"/>
        <v>1540</v>
      </c>
      <c r="B1543" s="67" t="s">
        <v>20</v>
      </c>
      <c r="C1543" s="67" t="s">
        <v>1005</v>
      </c>
      <c r="D1543" s="67" t="s">
        <v>933</v>
      </c>
      <c r="E1543" s="22">
        <f t="shared" ca="1" si="148"/>
        <v>40951</v>
      </c>
      <c r="F1543" s="11">
        <f>DATE(51,10,90)</f>
        <v>18991</v>
      </c>
      <c r="G1543" s="12">
        <f t="shared" ca="1" si="144"/>
        <v>61</v>
      </c>
      <c r="H1543" s="12">
        <f t="shared" ca="1" si="145"/>
        <v>-10</v>
      </c>
      <c r="I1543" s="13">
        <f t="shared" ca="1" si="146"/>
        <v>-17</v>
      </c>
      <c r="J1543" s="14">
        <f t="shared" ca="1" si="149"/>
        <v>60</v>
      </c>
      <c r="K1543" s="12" t="s">
        <v>40</v>
      </c>
      <c r="L1543" s="15">
        <v>120</v>
      </c>
      <c r="M1543" s="25" t="s">
        <v>40</v>
      </c>
      <c r="N1543">
        <v>325</v>
      </c>
    </row>
    <row r="1544" spans="1:14">
      <c r="A1544" s="25">
        <f t="shared" si="147"/>
        <v>1541</v>
      </c>
      <c r="B1544" s="67" t="s">
        <v>20</v>
      </c>
      <c r="C1544" s="67" t="s">
        <v>228</v>
      </c>
      <c r="D1544" s="67" t="s">
        <v>933</v>
      </c>
      <c r="E1544" s="22">
        <f t="shared" ca="1" si="148"/>
        <v>40951</v>
      </c>
      <c r="F1544" s="11">
        <f>DATE(75,11,24)</f>
        <v>27722</v>
      </c>
      <c r="G1544" s="12">
        <f t="shared" ca="1" si="144"/>
        <v>37</v>
      </c>
      <c r="H1544" s="12">
        <f t="shared" ca="1" si="145"/>
        <v>-9</v>
      </c>
      <c r="I1544" s="13">
        <f t="shared" ca="1" si="146"/>
        <v>-12</v>
      </c>
      <c r="J1544" s="14">
        <f t="shared" ca="1" si="149"/>
        <v>36</v>
      </c>
      <c r="K1544" s="12" t="s">
        <v>40</v>
      </c>
      <c r="L1544" s="15">
        <v>120</v>
      </c>
      <c r="M1544" s="25" t="s">
        <v>40</v>
      </c>
      <c r="N1544">
        <v>325</v>
      </c>
    </row>
    <row r="1545" spans="1:14">
      <c r="A1545" s="25">
        <f t="shared" si="147"/>
        <v>1542</v>
      </c>
      <c r="B1545" s="67" t="s">
        <v>20</v>
      </c>
      <c r="C1545" s="67" t="s">
        <v>1006</v>
      </c>
      <c r="D1545" s="67" t="s">
        <v>748</v>
      </c>
      <c r="E1545" s="22">
        <f t="shared" ca="1" si="148"/>
        <v>40951</v>
      </c>
      <c r="F1545" s="11">
        <f>DATE(78,10,26)</f>
        <v>28789</v>
      </c>
      <c r="G1545" s="12">
        <f t="shared" ca="1" si="144"/>
        <v>34</v>
      </c>
      <c r="H1545" s="12">
        <f t="shared" ca="1" si="145"/>
        <v>-8</v>
      </c>
      <c r="I1545" s="13">
        <f t="shared" ca="1" si="146"/>
        <v>-14</v>
      </c>
      <c r="J1545" s="14">
        <f t="shared" ca="1" si="149"/>
        <v>33</v>
      </c>
      <c r="K1545" s="12" t="s">
        <v>40</v>
      </c>
      <c r="L1545" s="15">
        <v>120</v>
      </c>
      <c r="M1545" s="25" t="s">
        <v>40</v>
      </c>
      <c r="N1545">
        <v>325</v>
      </c>
    </row>
    <row r="1546" spans="1:14">
      <c r="A1546" s="25">
        <f t="shared" si="147"/>
        <v>1543</v>
      </c>
      <c r="B1546" s="67" t="s">
        <v>20</v>
      </c>
      <c r="C1546" s="67" t="s">
        <v>486</v>
      </c>
      <c r="D1546" s="67" t="s">
        <v>933</v>
      </c>
      <c r="E1546" s="22">
        <f t="shared" ca="1" si="148"/>
        <v>40951</v>
      </c>
      <c r="F1546" s="11">
        <f>DATE(84,1,10)</f>
        <v>30691</v>
      </c>
      <c r="G1546" s="12">
        <f t="shared" ca="1" si="144"/>
        <v>28</v>
      </c>
      <c r="H1546" s="12">
        <f t="shared" ca="1" si="145"/>
        <v>1</v>
      </c>
      <c r="I1546" s="13">
        <f t="shared" ca="1" si="146"/>
        <v>2</v>
      </c>
      <c r="J1546" s="14">
        <f t="shared" ca="1" si="149"/>
        <v>28</v>
      </c>
      <c r="K1546" s="12" t="s">
        <v>41</v>
      </c>
      <c r="L1546" s="15">
        <v>120</v>
      </c>
      <c r="M1546" s="25" t="s">
        <v>44</v>
      </c>
      <c r="N1546">
        <v>325</v>
      </c>
    </row>
    <row r="1547" spans="1:14" ht="15.75" thickBot="1">
      <c r="A1547" s="26">
        <f t="shared" si="147"/>
        <v>1544</v>
      </c>
      <c r="B1547" s="67" t="s">
        <v>20</v>
      </c>
      <c r="C1547" s="68" t="s">
        <v>1007</v>
      </c>
      <c r="D1547" s="68" t="s">
        <v>933</v>
      </c>
      <c r="E1547" s="23">
        <f t="shared" ca="1" si="148"/>
        <v>40951</v>
      </c>
      <c r="F1547" s="16">
        <f>DATE(85,2,20)</f>
        <v>31098</v>
      </c>
      <c r="G1547" s="17">
        <f t="shared" ca="1" si="144"/>
        <v>27</v>
      </c>
      <c r="H1547" s="17">
        <f t="shared" ca="1" si="145"/>
        <v>0</v>
      </c>
      <c r="I1547" s="18">
        <f t="shared" ca="1" si="146"/>
        <v>-8</v>
      </c>
      <c r="J1547" s="19">
        <f t="shared" ca="1" si="149"/>
        <v>26</v>
      </c>
      <c r="K1547" s="17" t="s">
        <v>41</v>
      </c>
      <c r="L1547" s="20">
        <v>120</v>
      </c>
      <c r="M1547" s="26" t="s">
        <v>44</v>
      </c>
      <c r="N1547">
        <v>325</v>
      </c>
    </row>
    <row r="1548" spans="1:14">
      <c r="A1548" s="25">
        <f t="shared" si="147"/>
        <v>1545</v>
      </c>
      <c r="B1548" s="67" t="s">
        <v>20</v>
      </c>
      <c r="C1548" s="67" t="s">
        <v>507</v>
      </c>
      <c r="D1548" s="67" t="s">
        <v>1008</v>
      </c>
      <c r="E1548" s="22">
        <f t="shared" ca="1" si="148"/>
        <v>40951</v>
      </c>
      <c r="F1548" s="11">
        <f>DATE(64,5,22)</f>
        <v>23519</v>
      </c>
      <c r="G1548" s="12">
        <f t="shared" ca="1" si="144"/>
        <v>48</v>
      </c>
      <c r="H1548" s="12">
        <f t="shared" ca="1" si="145"/>
        <v>-3</v>
      </c>
      <c r="I1548" s="13">
        <f t="shared" ca="1" si="146"/>
        <v>-10</v>
      </c>
      <c r="J1548" s="14">
        <f t="shared" ca="1" si="149"/>
        <v>47</v>
      </c>
      <c r="K1548" s="12" t="s">
        <v>40</v>
      </c>
      <c r="L1548" s="15">
        <v>120</v>
      </c>
      <c r="M1548" s="25" t="s">
        <v>40</v>
      </c>
      <c r="N1548">
        <v>326</v>
      </c>
    </row>
    <row r="1549" spans="1:14">
      <c r="A1549" s="25">
        <f t="shared" si="147"/>
        <v>1546</v>
      </c>
      <c r="B1549" s="67" t="s">
        <v>20</v>
      </c>
      <c r="C1549" s="67" t="s">
        <v>884</v>
      </c>
      <c r="D1549" s="67" t="s">
        <v>507</v>
      </c>
      <c r="E1549" s="22">
        <f t="shared" ca="1" si="148"/>
        <v>40951</v>
      </c>
      <c r="F1549" s="11">
        <f>DATE(69,12,1)</f>
        <v>25538</v>
      </c>
      <c r="G1549" s="12">
        <f t="shared" ca="1" si="144"/>
        <v>43</v>
      </c>
      <c r="H1549" s="12">
        <f t="shared" ca="1" si="145"/>
        <v>-10</v>
      </c>
      <c r="I1549" s="13">
        <f t="shared" ca="1" si="146"/>
        <v>11</v>
      </c>
      <c r="J1549" s="14">
        <f t="shared" ca="1" si="149"/>
        <v>42</v>
      </c>
      <c r="K1549" s="12" t="s">
        <v>40</v>
      </c>
      <c r="L1549" s="15">
        <v>120</v>
      </c>
      <c r="M1549" s="25" t="s">
        <v>40</v>
      </c>
      <c r="N1549">
        <v>326</v>
      </c>
    </row>
    <row r="1550" spans="1:14">
      <c r="A1550" s="25">
        <f t="shared" si="147"/>
        <v>1547</v>
      </c>
      <c r="B1550" s="67" t="s">
        <v>20</v>
      </c>
      <c r="C1550" s="67" t="s">
        <v>986</v>
      </c>
      <c r="D1550" s="67" t="s">
        <v>507</v>
      </c>
      <c r="E1550" s="22">
        <f t="shared" ca="1" si="148"/>
        <v>40951</v>
      </c>
      <c r="F1550" s="11">
        <f>DATE(90,12,4)</f>
        <v>33211</v>
      </c>
      <c r="G1550" s="12">
        <f t="shared" ca="1" si="144"/>
        <v>22</v>
      </c>
      <c r="H1550" s="12">
        <f t="shared" ca="1" si="145"/>
        <v>-10</v>
      </c>
      <c r="I1550" s="13">
        <f t="shared" ca="1" si="146"/>
        <v>8</v>
      </c>
      <c r="J1550" s="14">
        <f t="shared" ca="1" si="149"/>
        <v>21</v>
      </c>
      <c r="K1550" s="12" t="s">
        <v>41</v>
      </c>
      <c r="L1550" s="15">
        <v>120</v>
      </c>
      <c r="M1550" s="25" t="s">
        <v>44</v>
      </c>
      <c r="N1550">
        <v>326</v>
      </c>
    </row>
    <row r="1551" spans="1:14">
      <c r="A1551" s="25">
        <f t="shared" si="147"/>
        <v>1548</v>
      </c>
      <c r="B1551" s="67" t="s">
        <v>20</v>
      </c>
      <c r="C1551" s="67" t="s">
        <v>1009</v>
      </c>
      <c r="D1551" s="67" t="s">
        <v>507</v>
      </c>
      <c r="E1551" s="22">
        <f t="shared" ca="1" si="148"/>
        <v>40951</v>
      </c>
      <c r="F1551" s="11">
        <f>DATE(96,1,10)</f>
        <v>35074</v>
      </c>
      <c r="G1551" s="12">
        <f t="shared" ca="1" si="144"/>
        <v>16</v>
      </c>
      <c r="H1551" s="12">
        <f t="shared" ca="1" si="145"/>
        <v>1</v>
      </c>
      <c r="I1551" s="13">
        <f t="shared" ca="1" si="146"/>
        <v>2</v>
      </c>
      <c r="J1551" s="14">
        <f t="shared" ca="1" si="149"/>
        <v>16</v>
      </c>
      <c r="K1551" s="12" t="s">
        <v>41</v>
      </c>
      <c r="L1551" s="15">
        <v>120</v>
      </c>
      <c r="M1551" s="25" t="s">
        <v>44</v>
      </c>
      <c r="N1551">
        <v>326</v>
      </c>
    </row>
    <row r="1552" spans="1:14">
      <c r="A1552" s="25">
        <f t="shared" si="147"/>
        <v>1549</v>
      </c>
      <c r="B1552" s="67" t="s">
        <v>20</v>
      </c>
      <c r="C1552" s="67" t="s">
        <v>1010</v>
      </c>
      <c r="D1552" s="67" t="s">
        <v>507</v>
      </c>
      <c r="E1552" s="22">
        <f t="shared" ca="1" si="148"/>
        <v>40951</v>
      </c>
      <c r="F1552" s="11">
        <f>DATE(96,1,10)</f>
        <v>35074</v>
      </c>
      <c r="G1552" s="12">
        <f t="shared" ca="1" si="144"/>
        <v>16</v>
      </c>
      <c r="H1552" s="12">
        <f t="shared" ca="1" si="145"/>
        <v>1</v>
      </c>
      <c r="I1552" s="13">
        <f t="shared" ca="1" si="146"/>
        <v>2</v>
      </c>
      <c r="J1552" s="14">
        <f t="shared" ca="1" si="149"/>
        <v>16</v>
      </c>
      <c r="K1552" s="12" t="s">
        <v>41</v>
      </c>
      <c r="L1552" s="15">
        <v>120</v>
      </c>
      <c r="M1552" s="25" t="s">
        <v>44</v>
      </c>
      <c r="N1552">
        <v>326</v>
      </c>
    </row>
    <row r="1553" spans="1:14" ht="15.75" thickBot="1">
      <c r="A1553" s="26">
        <f t="shared" si="147"/>
        <v>1550</v>
      </c>
      <c r="B1553" s="67" t="s">
        <v>20</v>
      </c>
      <c r="C1553" s="68" t="s">
        <v>188</v>
      </c>
      <c r="D1553" s="68" t="s">
        <v>1008</v>
      </c>
      <c r="E1553" s="23">
        <f t="shared" ca="1" si="148"/>
        <v>40951</v>
      </c>
      <c r="F1553" s="33">
        <f>DATE(34,1,1)</f>
        <v>12420</v>
      </c>
      <c r="G1553" s="17">
        <f t="shared" ca="1" si="144"/>
        <v>78</v>
      </c>
      <c r="H1553" s="17">
        <f t="shared" ca="1" si="145"/>
        <v>1</v>
      </c>
      <c r="I1553" s="18">
        <f t="shared" ca="1" si="146"/>
        <v>11</v>
      </c>
      <c r="J1553" s="19">
        <f t="shared" ca="1" si="149"/>
        <v>78</v>
      </c>
      <c r="K1553" s="17" t="s">
        <v>40</v>
      </c>
      <c r="L1553" s="20">
        <v>120</v>
      </c>
      <c r="M1553" s="26" t="s">
        <v>40</v>
      </c>
      <c r="N1553">
        <v>326</v>
      </c>
    </row>
    <row r="1554" spans="1:14">
      <c r="A1554" s="25">
        <f t="shared" si="147"/>
        <v>1551</v>
      </c>
      <c r="B1554" s="67" t="s">
        <v>20</v>
      </c>
      <c r="C1554" s="67" t="s">
        <v>93</v>
      </c>
      <c r="D1554" s="67" t="s">
        <v>316</v>
      </c>
      <c r="E1554" s="22">
        <f t="shared" ca="1" si="148"/>
        <v>40951</v>
      </c>
      <c r="F1554" s="11">
        <f>DATE(62,1,4)</f>
        <v>22650</v>
      </c>
      <c r="G1554" s="12">
        <f t="shared" ca="1" si="144"/>
        <v>50</v>
      </c>
      <c r="H1554" s="12">
        <f t="shared" ca="1" si="145"/>
        <v>1</v>
      </c>
      <c r="I1554" s="13">
        <f t="shared" ca="1" si="146"/>
        <v>8</v>
      </c>
      <c r="J1554" s="14">
        <f t="shared" ca="1" si="149"/>
        <v>50</v>
      </c>
      <c r="K1554" s="12" t="s">
        <v>40</v>
      </c>
      <c r="L1554" s="15">
        <v>121</v>
      </c>
      <c r="M1554" s="25" t="s">
        <v>40</v>
      </c>
      <c r="N1554">
        <v>327</v>
      </c>
    </row>
    <row r="1555" spans="1:14">
      <c r="A1555" s="25">
        <f t="shared" si="147"/>
        <v>1552</v>
      </c>
      <c r="B1555" s="67" t="s">
        <v>20</v>
      </c>
      <c r="C1555" s="67" t="s">
        <v>1011</v>
      </c>
      <c r="D1555" s="67" t="s">
        <v>93</v>
      </c>
      <c r="E1555" s="22">
        <f t="shared" ca="1" si="148"/>
        <v>40951</v>
      </c>
      <c r="F1555" s="11">
        <f>DATE(69,8,280)</f>
        <v>25695</v>
      </c>
      <c r="G1555" s="12">
        <f t="shared" ca="1" si="144"/>
        <v>42</v>
      </c>
      <c r="H1555" s="12">
        <f t="shared" ca="1" si="145"/>
        <v>-3</v>
      </c>
      <c r="I1555" s="13">
        <f t="shared" ca="1" si="146"/>
        <v>5</v>
      </c>
      <c r="J1555" s="14">
        <f t="shared" ca="1" si="149"/>
        <v>41</v>
      </c>
      <c r="K1555" s="12" t="s">
        <v>40</v>
      </c>
      <c r="L1555" s="15">
        <v>121</v>
      </c>
      <c r="M1555" s="25" t="s">
        <v>40</v>
      </c>
      <c r="N1555">
        <v>327</v>
      </c>
    </row>
    <row r="1556" spans="1:14">
      <c r="A1556" s="25">
        <f t="shared" si="147"/>
        <v>1553</v>
      </c>
      <c r="B1556" s="67" t="s">
        <v>20</v>
      </c>
      <c r="C1556" s="67" t="s">
        <v>344</v>
      </c>
      <c r="D1556" s="67" t="s">
        <v>93</v>
      </c>
      <c r="E1556" s="22">
        <f t="shared" ca="1" si="148"/>
        <v>40951</v>
      </c>
      <c r="F1556" s="11">
        <f>DATE(91,12,280)</f>
        <v>33852</v>
      </c>
      <c r="G1556" s="12">
        <f t="shared" ca="1" si="144"/>
        <v>20</v>
      </c>
      <c r="H1556" s="12">
        <f t="shared" ca="1" si="145"/>
        <v>-7</v>
      </c>
      <c r="I1556" s="13">
        <f t="shared" ca="1" si="146"/>
        <v>7</v>
      </c>
      <c r="J1556" s="14">
        <f t="shared" ca="1" si="149"/>
        <v>19</v>
      </c>
      <c r="K1556" s="12" t="s">
        <v>41</v>
      </c>
      <c r="L1556" s="15">
        <v>121</v>
      </c>
      <c r="M1556" s="25" t="s">
        <v>44</v>
      </c>
      <c r="N1556">
        <v>327</v>
      </c>
    </row>
    <row r="1557" spans="1:14" ht="15.75" thickBot="1">
      <c r="A1557" s="26">
        <f t="shared" si="147"/>
        <v>1554</v>
      </c>
      <c r="B1557" s="67" t="s">
        <v>20</v>
      </c>
      <c r="C1557" s="68" t="s">
        <v>151</v>
      </c>
      <c r="D1557" s="68" t="s">
        <v>93</v>
      </c>
      <c r="E1557" s="23">
        <f t="shared" ca="1" si="148"/>
        <v>40951</v>
      </c>
      <c r="F1557" s="16">
        <f>DATE(95,10,25)</f>
        <v>34997</v>
      </c>
      <c r="G1557" s="17">
        <f t="shared" ca="1" si="144"/>
        <v>17</v>
      </c>
      <c r="H1557" s="17">
        <f t="shared" ca="1" si="145"/>
        <v>-8</v>
      </c>
      <c r="I1557" s="18">
        <f t="shared" ca="1" si="146"/>
        <v>-13</v>
      </c>
      <c r="J1557" s="19">
        <f t="shared" ca="1" si="149"/>
        <v>16</v>
      </c>
      <c r="K1557" s="17" t="s">
        <v>41</v>
      </c>
      <c r="L1557" s="20">
        <v>121</v>
      </c>
      <c r="M1557" s="26" t="s">
        <v>44</v>
      </c>
      <c r="N1557">
        <v>327</v>
      </c>
    </row>
    <row r="1558" spans="1:14">
      <c r="A1558" s="25">
        <f t="shared" si="147"/>
        <v>1555</v>
      </c>
      <c r="B1558" s="67" t="s">
        <v>20</v>
      </c>
      <c r="C1558" s="67" t="s">
        <v>90</v>
      </c>
      <c r="D1558" s="67" t="s">
        <v>642</v>
      </c>
      <c r="E1558" s="22">
        <f t="shared" ca="1" si="148"/>
        <v>40951</v>
      </c>
      <c r="F1558" s="11">
        <f>DATE(53,9,7)</f>
        <v>19609</v>
      </c>
      <c r="G1558" s="12">
        <f t="shared" ca="1" si="144"/>
        <v>59</v>
      </c>
      <c r="H1558" s="12">
        <f t="shared" ca="1" si="145"/>
        <v>-7</v>
      </c>
      <c r="I1558" s="13">
        <f t="shared" ca="1" si="146"/>
        <v>5</v>
      </c>
      <c r="J1558" s="14">
        <f t="shared" ca="1" si="149"/>
        <v>58</v>
      </c>
      <c r="K1558" s="12" t="s">
        <v>40</v>
      </c>
      <c r="L1558" s="15">
        <v>121</v>
      </c>
      <c r="M1558" s="25" t="s">
        <v>40</v>
      </c>
      <c r="N1558">
        <v>328</v>
      </c>
    </row>
    <row r="1559" spans="1:14">
      <c r="A1559" s="25">
        <f t="shared" si="147"/>
        <v>1556</v>
      </c>
      <c r="B1559" s="67" t="s">
        <v>20</v>
      </c>
      <c r="C1559" s="67" t="s">
        <v>1012</v>
      </c>
      <c r="D1559" s="67" t="s">
        <v>90</v>
      </c>
      <c r="E1559" s="22">
        <f t="shared" ca="1" si="148"/>
        <v>40951</v>
      </c>
      <c r="F1559" s="11">
        <f>DATE(57,9,9)</f>
        <v>21072</v>
      </c>
      <c r="G1559" s="12">
        <f t="shared" ca="1" si="144"/>
        <v>55</v>
      </c>
      <c r="H1559" s="12">
        <f t="shared" ca="1" si="145"/>
        <v>-7</v>
      </c>
      <c r="I1559" s="13">
        <f t="shared" ca="1" si="146"/>
        <v>3</v>
      </c>
      <c r="J1559" s="14">
        <f t="shared" ca="1" si="149"/>
        <v>54</v>
      </c>
      <c r="K1559" s="12" t="s">
        <v>41</v>
      </c>
      <c r="L1559" s="15">
        <v>121</v>
      </c>
      <c r="M1559" s="25" t="s">
        <v>40</v>
      </c>
      <c r="N1559">
        <v>328</v>
      </c>
    </row>
    <row r="1560" spans="1:14" ht="15.75" thickBot="1">
      <c r="A1560" s="26">
        <f t="shared" si="147"/>
        <v>1557</v>
      </c>
      <c r="B1560" s="67" t="s">
        <v>20</v>
      </c>
      <c r="C1560" s="68" t="s">
        <v>1013</v>
      </c>
      <c r="D1560" s="68" t="s">
        <v>642</v>
      </c>
      <c r="E1560" s="23">
        <f t="shared" ca="1" si="148"/>
        <v>40951</v>
      </c>
      <c r="F1560" s="16">
        <f>DATE(32,1,24)</f>
        <v>11712</v>
      </c>
      <c r="G1560" s="17">
        <f t="shared" ca="1" si="144"/>
        <v>80</v>
      </c>
      <c r="H1560" s="17">
        <f t="shared" ca="1" si="145"/>
        <v>1</v>
      </c>
      <c r="I1560" s="18">
        <f t="shared" ca="1" si="146"/>
        <v>-12</v>
      </c>
      <c r="J1560" s="19">
        <f t="shared" ca="1" si="149"/>
        <v>80</v>
      </c>
      <c r="K1560" s="17" t="s">
        <v>40</v>
      </c>
      <c r="L1560" s="20">
        <v>121</v>
      </c>
      <c r="M1560" s="26" t="s">
        <v>40</v>
      </c>
      <c r="N1560">
        <v>328</v>
      </c>
    </row>
    <row r="1561" spans="1:14">
      <c r="A1561" s="25">
        <f t="shared" si="147"/>
        <v>1558</v>
      </c>
      <c r="B1561" s="67" t="s">
        <v>20</v>
      </c>
      <c r="C1561" s="67" t="s">
        <v>90</v>
      </c>
      <c r="D1561" s="67" t="s">
        <v>1014</v>
      </c>
      <c r="E1561" s="22">
        <f t="shared" ca="1" si="148"/>
        <v>40951</v>
      </c>
      <c r="F1561" s="11">
        <f>DATE(37,2,1)</f>
        <v>13547</v>
      </c>
      <c r="G1561" s="12">
        <f t="shared" ca="1" si="144"/>
        <v>75</v>
      </c>
      <c r="H1561" s="12">
        <f t="shared" ca="1" si="145"/>
        <v>0</v>
      </c>
      <c r="I1561" s="13">
        <f t="shared" ca="1" si="146"/>
        <v>11</v>
      </c>
      <c r="J1561" s="14">
        <f t="shared" ca="1" si="149"/>
        <v>75</v>
      </c>
      <c r="K1561" s="12" t="s">
        <v>40</v>
      </c>
      <c r="L1561" s="15">
        <v>121</v>
      </c>
      <c r="M1561" s="25" t="s">
        <v>40</v>
      </c>
      <c r="N1561">
        <v>329</v>
      </c>
    </row>
    <row r="1562" spans="1:14">
      <c r="A1562" s="25">
        <f t="shared" si="147"/>
        <v>1559</v>
      </c>
      <c r="B1562" s="67" t="s">
        <v>20</v>
      </c>
      <c r="C1562" s="67" t="s">
        <v>1015</v>
      </c>
      <c r="D1562" s="67" t="s">
        <v>90</v>
      </c>
      <c r="E1562" s="22">
        <f t="shared" ca="1" si="148"/>
        <v>40951</v>
      </c>
      <c r="F1562" s="32"/>
      <c r="G1562" s="12">
        <f t="shared" ref="G1562:G1625" ca="1" si="150">YEAR(E1562)-YEAR(F1562)</f>
        <v>112</v>
      </c>
      <c r="H1562" s="12">
        <f t="shared" ref="H1562:H1625" ca="1" si="151">MONTH(E1562)-MONTH(F1562)</f>
        <v>1</v>
      </c>
      <c r="I1562" s="13">
        <f t="shared" ref="I1562:I1625" ca="1" si="152">DAY(E1562)-DAY(F1562)</f>
        <v>12</v>
      </c>
      <c r="J1562" s="14">
        <f t="shared" ca="1" si="149"/>
        <v>112</v>
      </c>
      <c r="K1562" s="12" t="s">
        <v>40</v>
      </c>
      <c r="L1562" s="15">
        <v>121</v>
      </c>
      <c r="M1562" s="25" t="s">
        <v>40</v>
      </c>
      <c r="N1562">
        <v>329</v>
      </c>
    </row>
    <row r="1563" spans="1:14">
      <c r="A1563" s="25">
        <f t="shared" si="147"/>
        <v>1560</v>
      </c>
      <c r="B1563" s="67" t="s">
        <v>20</v>
      </c>
      <c r="C1563" s="67" t="s">
        <v>49</v>
      </c>
      <c r="D1563" s="67" t="s">
        <v>90</v>
      </c>
      <c r="E1563" s="22">
        <f t="shared" ca="1" si="148"/>
        <v>40951</v>
      </c>
      <c r="F1563" s="11">
        <f>DATE(64,4,24)</f>
        <v>23491</v>
      </c>
      <c r="G1563" s="12">
        <f t="shared" ca="1" si="150"/>
        <v>48</v>
      </c>
      <c r="H1563" s="12">
        <f t="shared" ca="1" si="151"/>
        <v>-2</v>
      </c>
      <c r="I1563" s="13">
        <f t="shared" ca="1" si="152"/>
        <v>-12</v>
      </c>
      <c r="J1563" s="14">
        <f t="shared" ca="1" si="149"/>
        <v>47</v>
      </c>
      <c r="K1563" s="12" t="s">
        <v>40</v>
      </c>
      <c r="L1563" s="15">
        <v>121</v>
      </c>
      <c r="M1563" s="25" t="s">
        <v>40</v>
      </c>
      <c r="N1563">
        <v>329</v>
      </c>
    </row>
    <row r="1564" spans="1:14">
      <c r="A1564" s="25">
        <f t="shared" si="147"/>
        <v>1561</v>
      </c>
      <c r="B1564" s="67" t="s">
        <v>20</v>
      </c>
      <c r="C1564" s="67" t="s">
        <v>755</v>
      </c>
      <c r="D1564" s="67" t="s">
        <v>49</v>
      </c>
      <c r="E1564" s="22">
        <f t="shared" ca="1" si="148"/>
        <v>40951</v>
      </c>
      <c r="F1564" s="11">
        <f>DATE(70,3,30)</f>
        <v>25657</v>
      </c>
      <c r="G1564" s="12">
        <f t="shared" ca="1" si="150"/>
        <v>42</v>
      </c>
      <c r="H1564" s="12">
        <f t="shared" ca="1" si="151"/>
        <v>-1</v>
      </c>
      <c r="I1564" s="13">
        <f t="shared" ca="1" si="152"/>
        <v>-18</v>
      </c>
      <c r="J1564" s="14">
        <f t="shared" ca="1" si="149"/>
        <v>41</v>
      </c>
      <c r="K1564" s="12" t="s">
        <v>40</v>
      </c>
      <c r="L1564" s="15">
        <v>121</v>
      </c>
      <c r="M1564" s="25" t="s">
        <v>40</v>
      </c>
      <c r="N1564">
        <v>329</v>
      </c>
    </row>
    <row r="1565" spans="1:14">
      <c r="A1565" s="25">
        <f t="shared" si="147"/>
        <v>1562</v>
      </c>
      <c r="B1565" s="67" t="s">
        <v>20</v>
      </c>
      <c r="C1565" s="67" t="s">
        <v>1016</v>
      </c>
      <c r="D1565" s="67" t="s">
        <v>49</v>
      </c>
      <c r="E1565" s="22">
        <f t="shared" ca="1" si="148"/>
        <v>40951</v>
      </c>
      <c r="F1565" s="11">
        <f>DATE(95,7,21)</f>
        <v>34901</v>
      </c>
      <c r="G1565" s="12">
        <f t="shared" ca="1" si="150"/>
        <v>17</v>
      </c>
      <c r="H1565" s="12">
        <f t="shared" ca="1" si="151"/>
        <v>-5</v>
      </c>
      <c r="I1565" s="13">
        <f t="shared" ca="1" si="152"/>
        <v>-9</v>
      </c>
      <c r="J1565" s="14">
        <f t="shared" ca="1" si="149"/>
        <v>16</v>
      </c>
      <c r="K1565" s="12" t="s">
        <v>41</v>
      </c>
      <c r="L1565" s="15">
        <v>121</v>
      </c>
      <c r="M1565" s="25" t="s">
        <v>44</v>
      </c>
      <c r="N1565">
        <v>329</v>
      </c>
    </row>
    <row r="1566" spans="1:14">
      <c r="A1566" s="25">
        <f t="shared" ref="A1566:A1629" si="153">A1565+1</f>
        <v>1563</v>
      </c>
      <c r="B1566" s="67" t="s">
        <v>20</v>
      </c>
      <c r="C1566" s="67" t="s">
        <v>1017</v>
      </c>
      <c r="D1566" s="67" t="s">
        <v>49</v>
      </c>
      <c r="E1566" s="22">
        <f t="shared" ca="1" si="148"/>
        <v>40951</v>
      </c>
      <c r="F1566" s="11">
        <f>DATE(2002,7,7)</f>
        <v>37444</v>
      </c>
      <c r="G1566" s="12">
        <f t="shared" ca="1" si="150"/>
        <v>10</v>
      </c>
      <c r="H1566" s="12">
        <f t="shared" ca="1" si="151"/>
        <v>-5</v>
      </c>
      <c r="I1566" s="13">
        <f t="shared" ca="1" si="152"/>
        <v>5</v>
      </c>
      <c r="J1566" s="14">
        <f t="shared" ca="1" si="149"/>
        <v>9</v>
      </c>
      <c r="K1566" s="12" t="s">
        <v>41</v>
      </c>
      <c r="L1566" s="15">
        <v>121</v>
      </c>
      <c r="M1566" s="25" t="s">
        <v>44</v>
      </c>
      <c r="N1566">
        <v>329</v>
      </c>
    </row>
    <row r="1567" spans="1:14" ht="15.75" thickBot="1">
      <c r="A1567" s="26">
        <f t="shared" si="153"/>
        <v>1564</v>
      </c>
      <c r="B1567" s="67" t="s">
        <v>20</v>
      </c>
      <c r="C1567" s="68" t="s">
        <v>554</v>
      </c>
      <c r="D1567" s="68" t="s">
        <v>49</v>
      </c>
      <c r="E1567" s="23">
        <f t="shared" ca="1" si="148"/>
        <v>40951</v>
      </c>
      <c r="F1567" s="16">
        <f>DATE(2005,5,17)</f>
        <v>38489</v>
      </c>
      <c r="G1567" s="17">
        <f t="shared" ca="1" si="150"/>
        <v>7</v>
      </c>
      <c r="H1567" s="17">
        <f t="shared" ca="1" si="151"/>
        <v>-3</v>
      </c>
      <c r="I1567" s="18">
        <f t="shared" ca="1" si="152"/>
        <v>-5</v>
      </c>
      <c r="J1567" s="19">
        <f t="shared" ca="1" si="149"/>
        <v>6</v>
      </c>
      <c r="K1567" s="17" t="s">
        <v>41</v>
      </c>
      <c r="L1567" s="20">
        <v>121</v>
      </c>
      <c r="M1567" s="26" t="s">
        <v>44</v>
      </c>
      <c r="N1567">
        <v>329</v>
      </c>
    </row>
    <row r="1568" spans="1:14">
      <c r="A1568" s="25">
        <f t="shared" si="153"/>
        <v>1565</v>
      </c>
      <c r="B1568" s="67" t="s">
        <v>20</v>
      </c>
      <c r="C1568" s="67" t="s">
        <v>1018</v>
      </c>
      <c r="D1568" s="67" t="s">
        <v>423</v>
      </c>
      <c r="E1568" s="22">
        <f t="shared" ca="1" si="148"/>
        <v>40951</v>
      </c>
      <c r="F1568" s="11">
        <f>DATE(61,9,19)</f>
        <v>22543</v>
      </c>
      <c r="G1568" s="12">
        <f t="shared" ca="1" si="150"/>
        <v>51</v>
      </c>
      <c r="H1568" s="12">
        <f t="shared" ca="1" si="151"/>
        <v>-7</v>
      </c>
      <c r="I1568" s="13">
        <f t="shared" ca="1" si="152"/>
        <v>-7</v>
      </c>
      <c r="J1568" s="14">
        <f t="shared" ca="1" si="149"/>
        <v>50</v>
      </c>
      <c r="K1568" s="12" t="s">
        <v>40</v>
      </c>
      <c r="L1568" s="15">
        <v>122</v>
      </c>
      <c r="M1568" s="25" t="s">
        <v>40</v>
      </c>
      <c r="N1568">
        <v>330</v>
      </c>
    </row>
    <row r="1569" spans="1:14">
      <c r="A1569" s="25">
        <f t="shared" si="153"/>
        <v>1566</v>
      </c>
      <c r="B1569" s="67" t="s">
        <v>20</v>
      </c>
      <c r="C1569" s="67" t="s">
        <v>523</v>
      </c>
      <c r="D1569" s="67" t="s">
        <v>93</v>
      </c>
      <c r="E1569" s="22">
        <f t="shared" ca="1" si="148"/>
        <v>40951</v>
      </c>
      <c r="F1569" s="11">
        <f>DATE(61,10,22)</f>
        <v>22576</v>
      </c>
      <c r="G1569" s="12">
        <f t="shared" ca="1" si="150"/>
        <v>51</v>
      </c>
      <c r="H1569" s="12">
        <f t="shared" ca="1" si="151"/>
        <v>-8</v>
      </c>
      <c r="I1569" s="13">
        <f t="shared" ca="1" si="152"/>
        <v>-10</v>
      </c>
      <c r="J1569" s="14">
        <f t="shared" ca="1" si="149"/>
        <v>50</v>
      </c>
      <c r="K1569" s="12" t="s">
        <v>41</v>
      </c>
      <c r="L1569" s="15">
        <v>122</v>
      </c>
      <c r="M1569" s="25" t="s">
        <v>40</v>
      </c>
      <c r="N1569">
        <v>330</v>
      </c>
    </row>
    <row r="1570" spans="1:14">
      <c r="A1570" s="25">
        <f t="shared" si="153"/>
        <v>1567</v>
      </c>
      <c r="B1570" s="67" t="s">
        <v>20</v>
      </c>
      <c r="C1570" s="67" t="s">
        <v>344</v>
      </c>
      <c r="D1570" s="67" t="s">
        <v>93</v>
      </c>
      <c r="E1570" s="22">
        <f t="shared" ca="1" si="148"/>
        <v>40951</v>
      </c>
      <c r="F1570" s="11">
        <f>DATE(88,8,19)</f>
        <v>32374</v>
      </c>
      <c r="G1570" s="12">
        <f t="shared" ca="1" si="150"/>
        <v>24</v>
      </c>
      <c r="H1570" s="12">
        <f t="shared" ca="1" si="151"/>
        <v>-6</v>
      </c>
      <c r="I1570" s="13">
        <f t="shared" ca="1" si="152"/>
        <v>-7</v>
      </c>
      <c r="J1570" s="14">
        <f t="shared" ca="1" si="149"/>
        <v>23</v>
      </c>
      <c r="K1570" s="12" t="s">
        <v>41</v>
      </c>
      <c r="L1570" s="15">
        <v>122</v>
      </c>
      <c r="M1570" s="25" t="s">
        <v>44</v>
      </c>
      <c r="N1570">
        <v>330</v>
      </c>
    </row>
    <row r="1571" spans="1:14" ht="15.75" thickBot="1">
      <c r="A1571" s="26">
        <f t="shared" si="153"/>
        <v>1568</v>
      </c>
      <c r="B1571" s="67" t="s">
        <v>20</v>
      </c>
      <c r="C1571" s="68" t="s">
        <v>1019</v>
      </c>
      <c r="D1571" s="68" t="s">
        <v>93</v>
      </c>
      <c r="E1571" s="23">
        <f t="shared" ca="1" si="148"/>
        <v>40951</v>
      </c>
      <c r="F1571" s="16">
        <f>DATE(90,11,2)</f>
        <v>33179</v>
      </c>
      <c r="G1571" s="17">
        <f t="shared" ca="1" si="150"/>
        <v>22</v>
      </c>
      <c r="H1571" s="17">
        <f t="shared" ca="1" si="151"/>
        <v>-9</v>
      </c>
      <c r="I1571" s="18">
        <f t="shared" ca="1" si="152"/>
        <v>10</v>
      </c>
      <c r="J1571" s="19">
        <f t="shared" ca="1" si="149"/>
        <v>21</v>
      </c>
      <c r="K1571" s="17" t="s">
        <v>41</v>
      </c>
      <c r="L1571" s="20">
        <v>122</v>
      </c>
      <c r="M1571" s="26" t="s">
        <v>44</v>
      </c>
      <c r="N1571">
        <v>330</v>
      </c>
    </row>
    <row r="1572" spans="1:14">
      <c r="A1572" s="25">
        <f t="shared" si="153"/>
        <v>1569</v>
      </c>
      <c r="B1572" s="67" t="s">
        <v>20</v>
      </c>
      <c r="C1572" s="67" t="s">
        <v>109</v>
      </c>
      <c r="D1572" s="67" t="s">
        <v>985</v>
      </c>
      <c r="E1572" s="22">
        <f t="shared" ref="E1572:E1636" ca="1" si="154">TODAY()</f>
        <v>40951</v>
      </c>
      <c r="F1572" s="11">
        <f>DATE(57,11,2)</f>
        <v>21126</v>
      </c>
      <c r="G1572" s="12">
        <f t="shared" ca="1" si="150"/>
        <v>55</v>
      </c>
      <c r="H1572" s="12">
        <f t="shared" ca="1" si="151"/>
        <v>-9</v>
      </c>
      <c r="I1572" s="13">
        <f t="shared" ca="1" si="152"/>
        <v>10</v>
      </c>
      <c r="J1572" s="14">
        <f t="shared" ca="1" si="149"/>
        <v>54</v>
      </c>
      <c r="K1572" s="12" t="s">
        <v>40</v>
      </c>
      <c r="L1572" s="15">
        <v>122</v>
      </c>
      <c r="M1572" s="25" t="s">
        <v>40</v>
      </c>
      <c r="N1572">
        <v>331</v>
      </c>
    </row>
    <row r="1573" spans="1:14">
      <c r="A1573" s="25">
        <f t="shared" si="153"/>
        <v>1570</v>
      </c>
      <c r="B1573" s="67" t="s">
        <v>20</v>
      </c>
      <c r="C1573" s="67" t="s">
        <v>622</v>
      </c>
      <c r="D1573" s="67" t="s">
        <v>109</v>
      </c>
      <c r="E1573" s="22">
        <f t="shared" ca="1" si="154"/>
        <v>40951</v>
      </c>
      <c r="F1573" s="11">
        <f>DATE(69,9,1)</f>
        <v>25447</v>
      </c>
      <c r="G1573" s="12">
        <f t="shared" ca="1" si="150"/>
        <v>43</v>
      </c>
      <c r="H1573" s="12">
        <f t="shared" ca="1" si="151"/>
        <v>-7</v>
      </c>
      <c r="I1573" s="13">
        <f t="shared" ca="1" si="152"/>
        <v>11</v>
      </c>
      <c r="J1573" s="14">
        <f t="shared" ca="1" si="149"/>
        <v>42</v>
      </c>
      <c r="K1573" s="12" t="s">
        <v>41</v>
      </c>
      <c r="L1573" s="15">
        <v>122</v>
      </c>
      <c r="M1573" s="25" t="s">
        <v>40</v>
      </c>
      <c r="N1573">
        <v>331</v>
      </c>
    </row>
    <row r="1574" spans="1:14">
      <c r="A1574" s="25">
        <f t="shared" si="153"/>
        <v>1571</v>
      </c>
      <c r="B1574" s="67" t="s">
        <v>20</v>
      </c>
      <c r="C1574" s="67" t="s">
        <v>1020</v>
      </c>
      <c r="D1574" s="67" t="s">
        <v>985</v>
      </c>
      <c r="E1574" s="22">
        <f t="shared" ca="1" si="154"/>
        <v>40951</v>
      </c>
      <c r="F1574" s="32"/>
      <c r="G1574" s="12">
        <f t="shared" ca="1" si="150"/>
        <v>112</v>
      </c>
      <c r="H1574" s="12">
        <f t="shared" ca="1" si="151"/>
        <v>1</v>
      </c>
      <c r="I1574" s="13">
        <f t="shared" ca="1" si="152"/>
        <v>12</v>
      </c>
      <c r="J1574" s="14">
        <f t="shared" ca="1" si="149"/>
        <v>112</v>
      </c>
      <c r="K1574" s="12" t="s">
        <v>41</v>
      </c>
      <c r="L1574" s="15">
        <v>122</v>
      </c>
      <c r="M1574" s="25" t="s">
        <v>40</v>
      </c>
      <c r="N1574">
        <v>331</v>
      </c>
    </row>
    <row r="1575" spans="1:14">
      <c r="A1575" s="25">
        <f t="shared" si="153"/>
        <v>1572</v>
      </c>
      <c r="B1575" s="67" t="s">
        <v>20</v>
      </c>
      <c r="C1575" s="67" t="s">
        <v>774</v>
      </c>
      <c r="D1575" s="67" t="s">
        <v>109</v>
      </c>
      <c r="E1575" s="22">
        <f t="shared" ca="1" si="154"/>
        <v>40951</v>
      </c>
      <c r="F1575" s="11">
        <f>DATE(89,3,24)</f>
        <v>32591</v>
      </c>
      <c r="G1575" s="12">
        <f t="shared" ca="1" si="150"/>
        <v>23</v>
      </c>
      <c r="H1575" s="12">
        <f t="shared" ca="1" si="151"/>
        <v>-1</v>
      </c>
      <c r="I1575" s="13">
        <f t="shared" ca="1" si="152"/>
        <v>-12</v>
      </c>
      <c r="J1575" s="14">
        <f t="shared" ca="1" si="149"/>
        <v>22</v>
      </c>
      <c r="K1575" s="12" t="s">
        <v>41</v>
      </c>
      <c r="L1575" s="15">
        <v>122</v>
      </c>
      <c r="M1575" s="25" t="s">
        <v>44</v>
      </c>
      <c r="N1575">
        <v>331</v>
      </c>
    </row>
    <row r="1576" spans="1:14">
      <c r="A1576" s="25">
        <f t="shared" si="153"/>
        <v>1573</v>
      </c>
      <c r="B1576" s="67" t="s">
        <v>20</v>
      </c>
      <c r="C1576" s="67" t="s">
        <v>1021</v>
      </c>
      <c r="D1576" s="67" t="s">
        <v>109</v>
      </c>
      <c r="E1576" s="22">
        <f t="shared" ca="1" si="154"/>
        <v>40951</v>
      </c>
      <c r="F1576" s="11">
        <f>DATE(90,5,2)</f>
        <v>32995</v>
      </c>
      <c r="G1576" s="12">
        <f t="shared" ca="1" si="150"/>
        <v>22</v>
      </c>
      <c r="H1576" s="12">
        <f t="shared" ca="1" si="151"/>
        <v>-3</v>
      </c>
      <c r="I1576" s="13">
        <f t="shared" ca="1" si="152"/>
        <v>10</v>
      </c>
      <c r="J1576" s="14">
        <f t="shared" ca="1" si="149"/>
        <v>21</v>
      </c>
      <c r="K1576" s="12" t="s">
        <v>41</v>
      </c>
      <c r="L1576" s="15">
        <v>122</v>
      </c>
      <c r="M1576" s="25" t="s">
        <v>44</v>
      </c>
      <c r="N1576">
        <v>331</v>
      </c>
    </row>
    <row r="1577" spans="1:14" ht="15.75" thickBot="1">
      <c r="A1577" s="26">
        <f t="shared" si="153"/>
        <v>1574</v>
      </c>
      <c r="B1577" s="67" t="s">
        <v>20</v>
      </c>
      <c r="C1577" s="68" t="s">
        <v>759</v>
      </c>
      <c r="D1577" s="68" t="s">
        <v>109</v>
      </c>
      <c r="E1577" s="23">
        <f t="shared" ca="1" si="154"/>
        <v>40951</v>
      </c>
      <c r="F1577" s="16">
        <f>DATE(2000,1,9)</f>
        <v>36534</v>
      </c>
      <c r="G1577" s="17">
        <f t="shared" ca="1" si="150"/>
        <v>12</v>
      </c>
      <c r="H1577" s="17">
        <f t="shared" ca="1" si="151"/>
        <v>1</v>
      </c>
      <c r="I1577" s="18">
        <f t="shared" ca="1" si="152"/>
        <v>3</v>
      </c>
      <c r="J1577" s="19">
        <f t="shared" ca="1" si="149"/>
        <v>12</v>
      </c>
      <c r="K1577" s="17" t="s">
        <v>40</v>
      </c>
      <c r="L1577" s="20">
        <v>122</v>
      </c>
      <c r="M1577" s="26" t="s">
        <v>44</v>
      </c>
      <c r="N1577">
        <v>331</v>
      </c>
    </row>
    <row r="1578" spans="1:14">
      <c r="A1578" s="25">
        <f t="shared" si="153"/>
        <v>1575</v>
      </c>
      <c r="B1578" s="67" t="s">
        <v>20</v>
      </c>
      <c r="C1578" s="67" t="s">
        <v>243</v>
      </c>
      <c r="D1578" s="67" t="s">
        <v>743</v>
      </c>
      <c r="E1578" s="22">
        <f t="shared" ca="1" si="154"/>
        <v>40951</v>
      </c>
      <c r="F1578" s="11">
        <f>DATE(60,7,1)</f>
        <v>22098</v>
      </c>
      <c r="G1578" s="12">
        <f t="shared" ca="1" si="150"/>
        <v>52</v>
      </c>
      <c r="H1578" s="12">
        <f t="shared" ca="1" si="151"/>
        <v>-5</v>
      </c>
      <c r="I1578" s="13">
        <f t="shared" ca="1" si="152"/>
        <v>11</v>
      </c>
      <c r="J1578" s="14">
        <f t="shared" ca="1" si="149"/>
        <v>51</v>
      </c>
      <c r="K1578" s="12" t="s">
        <v>40</v>
      </c>
      <c r="L1578" s="15">
        <v>122</v>
      </c>
      <c r="M1578" s="25" t="s">
        <v>40</v>
      </c>
      <c r="N1578">
        <v>332</v>
      </c>
    </row>
    <row r="1579" spans="1:14">
      <c r="A1579" s="25">
        <f t="shared" si="153"/>
        <v>1576</v>
      </c>
      <c r="B1579" s="67" t="s">
        <v>20</v>
      </c>
      <c r="C1579" s="67" t="s">
        <v>62</v>
      </c>
      <c r="D1579" s="67" t="s">
        <v>243</v>
      </c>
      <c r="E1579" s="22">
        <f t="shared" ca="1" si="154"/>
        <v>40951</v>
      </c>
      <c r="F1579" s="11">
        <f>DATE(65,7,200)</f>
        <v>24123</v>
      </c>
      <c r="G1579" s="12">
        <f t="shared" ca="1" si="150"/>
        <v>46</v>
      </c>
      <c r="H1579" s="12">
        <f t="shared" ca="1" si="151"/>
        <v>1</v>
      </c>
      <c r="I1579" s="13">
        <f t="shared" ca="1" si="152"/>
        <v>-4</v>
      </c>
      <c r="J1579" s="14">
        <f t="shared" ca="1" si="149"/>
        <v>46</v>
      </c>
      <c r="K1579" s="12" t="s">
        <v>41</v>
      </c>
      <c r="L1579" s="15">
        <v>122</v>
      </c>
      <c r="M1579" s="25" t="s">
        <v>40</v>
      </c>
      <c r="N1579">
        <v>332</v>
      </c>
    </row>
    <row r="1580" spans="1:14">
      <c r="A1580" s="25">
        <f t="shared" si="153"/>
        <v>1577</v>
      </c>
      <c r="B1580" s="67" t="s">
        <v>20</v>
      </c>
      <c r="C1580" s="67" t="s">
        <v>631</v>
      </c>
      <c r="D1580" s="67" t="s">
        <v>243</v>
      </c>
      <c r="E1580" s="22">
        <f t="shared" ca="1" si="154"/>
        <v>40951</v>
      </c>
      <c r="F1580" s="11">
        <f>DATE(87,10,15)</f>
        <v>32065</v>
      </c>
      <c r="G1580" s="12">
        <f t="shared" ca="1" si="150"/>
        <v>25</v>
      </c>
      <c r="H1580" s="12">
        <f t="shared" ca="1" si="151"/>
        <v>-8</v>
      </c>
      <c r="I1580" s="13">
        <f t="shared" ca="1" si="152"/>
        <v>-3</v>
      </c>
      <c r="J1580" s="14">
        <f t="shared" ca="1" si="149"/>
        <v>24</v>
      </c>
      <c r="K1580" s="12" t="s">
        <v>41</v>
      </c>
      <c r="L1580" s="15">
        <v>122</v>
      </c>
      <c r="M1580" s="25" t="s">
        <v>44</v>
      </c>
      <c r="N1580">
        <v>332</v>
      </c>
    </row>
    <row r="1581" spans="1:14" ht="15.75" thickBot="1">
      <c r="A1581" s="26">
        <f t="shared" si="153"/>
        <v>1578</v>
      </c>
      <c r="B1581" s="67" t="s">
        <v>20</v>
      </c>
      <c r="C1581" s="68" t="s">
        <v>100</v>
      </c>
      <c r="D1581" s="68" t="s">
        <v>243</v>
      </c>
      <c r="E1581" s="23">
        <f t="shared" ca="1" si="154"/>
        <v>40951</v>
      </c>
      <c r="F1581" s="16">
        <f>DATE(87,10,150)</f>
        <v>32200</v>
      </c>
      <c r="G1581" s="17">
        <f t="shared" ca="1" si="150"/>
        <v>24</v>
      </c>
      <c r="H1581" s="17">
        <f t="shared" ca="1" si="151"/>
        <v>0</v>
      </c>
      <c r="I1581" s="18">
        <f t="shared" ca="1" si="152"/>
        <v>-15</v>
      </c>
      <c r="J1581" s="19">
        <f t="shared" ca="1" si="149"/>
        <v>23</v>
      </c>
      <c r="K1581" s="17" t="s">
        <v>41</v>
      </c>
      <c r="L1581" s="20">
        <v>122</v>
      </c>
      <c r="M1581" s="26" t="s">
        <v>44</v>
      </c>
      <c r="N1581">
        <v>332</v>
      </c>
    </row>
    <row r="1582" spans="1:14">
      <c r="A1582" s="25">
        <v>1578</v>
      </c>
      <c r="B1582" s="67" t="s">
        <v>20</v>
      </c>
      <c r="C1582" s="67" t="s">
        <v>452</v>
      </c>
      <c r="D1582" s="67" t="s">
        <v>602</v>
      </c>
      <c r="E1582" s="22">
        <f t="shared" ca="1" si="154"/>
        <v>40951</v>
      </c>
      <c r="F1582" s="11">
        <f>DATE(64,8,26)</f>
        <v>23615</v>
      </c>
      <c r="G1582" s="12">
        <f t="shared" ca="1" si="150"/>
        <v>48</v>
      </c>
      <c r="H1582" s="12">
        <f t="shared" ca="1" si="151"/>
        <v>-6</v>
      </c>
      <c r="I1582" s="13">
        <f t="shared" ca="1" si="152"/>
        <v>-14</v>
      </c>
      <c r="J1582" s="14">
        <f t="shared" ca="1" si="149"/>
        <v>47</v>
      </c>
      <c r="K1582" s="12" t="s">
        <v>40</v>
      </c>
      <c r="L1582" s="15">
        <v>123</v>
      </c>
      <c r="M1582" s="25" t="s">
        <v>40</v>
      </c>
      <c r="N1582">
        <v>333</v>
      </c>
    </row>
    <row r="1583" spans="1:14">
      <c r="A1583" s="25">
        <f>A1581+1</f>
        <v>1579</v>
      </c>
      <c r="B1583" s="67" t="s">
        <v>20</v>
      </c>
      <c r="C1583" s="67" t="s">
        <v>62</v>
      </c>
      <c r="D1583" s="67" t="s">
        <v>767</v>
      </c>
      <c r="E1583" s="22">
        <f t="shared" ca="1" si="154"/>
        <v>40951</v>
      </c>
      <c r="F1583" s="11">
        <f>DATE(65,8,13)</f>
        <v>23967</v>
      </c>
      <c r="G1583" s="12">
        <f t="shared" ca="1" si="150"/>
        <v>47</v>
      </c>
      <c r="H1583" s="12">
        <f t="shared" ca="1" si="151"/>
        <v>-6</v>
      </c>
      <c r="I1583" s="13">
        <f t="shared" ca="1" si="152"/>
        <v>-1</v>
      </c>
      <c r="J1583" s="14">
        <f t="shared" ca="1" si="149"/>
        <v>46</v>
      </c>
      <c r="K1583" s="12" t="s">
        <v>41</v>
      </c>
      <c r="L1583" s="15">
        <v>123</v>
      </c>
      <c r="M1583" s="25" t="s">
        <v>40</v>
      </c>
      <c r="N1583">
        <v>333</v>
      </c>
    </row>
    <row r="1584" spans="1:14">
      <c r="A1584" s="25">
        <f t="shared" si="153"/>
        <v>1580</v>
      </c>
      <c r="B1584" s="67" t="s">
        <v>20</v>
      </c>
      <c r="C1584" s="67" t="s">
        <v>1022</v>
      </c>
      <c r="D1584" s="67" t="s">
        <v>767</v>
      </c>
      <c r="E1584" s="22">
        <f t="shared" ca="1" si="154"/>
        <v>40951</v>
      </c>
      <c r="F1584" s="11">
        <f>DATE(89,8,1)</f>
        <v>32721</v>
      </c>
      <c r="G1584" s="12">
        <f t="shared" ca="1" si="150"/>
        <v>23</v>
      </c>
      <c r="H1584" s="12">
        <f t="shared" ca="1" si="151"/>
        <v>-6</v>
      </c>
      <c r="I1584" s="13">
        <f t="shared" ca="1" si="152"/>
        <v>11</v>
      </c>
      <c r="J1584" s="14">
        <f t="shared" ca="1" si="149"/>
        <v>22</v>
      </c>
      <c r="K1584" s="12" t="s">
        <v>40</v>
      </c>
      <c r="L1584" s="15">
        <v>123</v>
      </c>
      <c r="M1584" s="25" t="s">
        <v>44</v>
      </c>
      <c r="N1584">
        <v>333</v>
      </c>
    </row>
    <row r="1585" spans="1:14" ht="15.75" thickBot="1">
      <c r="A1585" s="26">
        <f t="shared" si="153"/>
        <v>1581</v>
      </c>
      <c r="B1585" s="67" t="s">
        <v>20</v>
      </c>
      <c r="C1585" s="68" t="s">
        <v>1023</v>
      </c>
      <c r="D1585" s="68" t="s">
        <v>767</v>
      </c>
      <c r="E1585" s="23">
        <f t="shared" ca="1" si="154"/>
        <v>40951</v>
      </c>
      <c r="F1585" s="16">
        <f>DATE(2003,9,17)</f>
        <v>37881</v>
      </c>
      <c r="G1585" s="17">
        <f t="shared" ca="1" si="150"/>
        <v>9</v>
      </c>
      <c r="H1585" s="17">
        <f t="shared" ca="1" si="151"/>
        <v>-7</v>
      </c>
      <c r="I1585" s="18">
        <f t="shared" ca="1" si="152"/>
        <v>-5</v>
      </c>
      <c r="J1585" s="19">
        <f t="shared" ca="1" si="149"/>
        <v>8</v>
      </c>
      <c r="K1585" s="17" t="s">
        <v>41</v>
      </c>
      <c r="L1585" s="20">
        <v>123</v>
      </c>
      <c r="M1585" s="26" t="s">
        <v>44</v>
      </c>
      <c r="N1585">
        <v>333</v>
      </c>
    </row>
    <row r="1586" spans="1:14">
      <c r="A1586" s="25">
        <f t="shared" si="153"/>
        <v>1582</v>
      </c>
      <c r="B1586" s="67" t="s">
        <v>20</v>
      </c>
      <c r="C1586" s="67" t="s">
        <v>1024</v>
      </c>
      <c r="D1586" s="67" t="s">
        <v>1014</v>
      </c>
      <c r="E1586" s="22">
        <f t="shared" ca="1" si="154"/>
        <v>40951</v>
      </c>
      <c r="F1586" s="11">
        <f>DATE(27,1,16)</f>
        <v>9878</v>
      </c>
      <c r="G1586" s="12">
        <f t="shared" ca="1" si="150"/>
        <v>85</v>
      </c>
      <c r="H1586" s="12">
        <f t="shared" ca="1" si="151"/>
        <v>1</v>
      </c>
      <c r="I1586" s="13">
        <f t="shared" ca="1" si="152"/>
        <v>-4</v>
      </c>
      <c r="J1586" s="14">
        <f t="shared" ca="1" si="149"/>
        <v>85</v>
      </c>
      <c r="K1586" s="12" t="s">
        <v>40</v>
      </c>
      <c r="L1586" s="15">
        <v>123</v>
      </c>
      <c r="M1586" s="25" t="s">
        <v>40</v>
      </c>
      <c r="N1586">
        <v>334</v>
      </c>
    </row>
    <row r="1587" spans="1:14">
      <c r="A1587" s="25">
        <f t="shared" si="153"/>
        <v>1583</v>
      </c>
      <c r="B1587" s="67" t="s">
        <v>20</v>
      </c>
      <c r="C1587" s="67" t="s">
        <v>1025</v>
      </c>
      <c r="D1587" s="67" t="s">
        <v>602</v>
      </c>
      <c r="E1587" s="22">
        <f t="shared" ca="1" si="154"/>
        <v>40951</v>
      </c>
      <c r="F1587" s="32">
        <f>DATE(21,1,1)</f>
        <v>7672</v>
      </c>
      <c r="G1587" s="12">
        <f t="shared" ca="1" si="150"/>
        <v>91</v>
      </c>
      <c r="H1587" s="12">
        <f t="shared" ca="1" si="151"/>
        <v>1</v>
      </c>
      <c r="I1587" s="13">
        <f t="shared" ca="1" si="152"/>
        <v>11</v>
      </c>
      <c r="J1587" s="14">
        <f t="shared" ca="1" si="149"/>
        <v>91</v>
      </c>
      <c r="K1587" s="12" t="s">
        <v>41</v>
      </c>
      <c r="L1587" s="15">
        <v>123</v>
      </c>
      <c r="M1587" s="25" t="s">
        <v>40</v>
      </c>
      <c r="N1587">
        <v>334</v>
      </c>
    </row>
    <row r="1588" spans="1:14">
      <c r="A1588" s="25">
        <f t="shared" si="153"/>
        <v>1584</v>
      </c>
      <c r="B1588" s="67" t="s">
        <v>20</v>
      </c>
      <c r="C1588" s="67" t="s">
        <v>1026</v>
      </c>
      <c r="D1588" s="67" t="s">
        <v>602</v>
      </c>
      <c r="E1588" s="22">
        <f t="shared" ca="1" si="154"/>
        <v>40951</v>
      </c>
      <c r="F1588" s="11">
        <f>DATE(59,6,14)</f>
        <v>21715</v>
      </c>
      <c r="G1588" s="12">
        <f t="shared" ca="1" si="150"/>
        <v>53</v>
      </c>
      <c r="H1588" s="12">
        <f t="shared" ca="1" si="151"/>
        <v>-4</v>
      </c>
      <c r="I1588" s="13">
        <f t="shared" ca="1" si="152"/>
        <v>-2</v>
      </c>
      <c r="J1588" s="14">
        <f t="shared" ca="1" si="149"/>
        <v>52</v>
      </c>
      <c r="K1588" s="12" t="s">
        <v>40</v>
      </c>
      <c r="L1588" s="15">
        <v>123</v>
      </c>
      <c r="M1588" s="25" t="s">
        <v>40</v>
      </c>
      <c r="N1588">
        <v>334</v>
      </c>
    </row>
    <row r="1589" spans="1:14">
      <c r="A1589" s="25">
        <f t="shared" si="153"/>
        <v>1585</v>
      </c>
      <c r="B1589" s="67" t="s">
        <v>20</v>
      </c>
      <c r="C1589" s="67" t="s">
        <v>113</v>
      </c>
      <c r="D1589" s="67" t="s">
        <v>1026</v>
      </c>
      <c r="E1589" s="22">
        <f t="shared" ca="1" si="154"/>
        <v>40951</v>
      </c>
      <c r="F1589" s="11">
        <f>DATE(61,5,6)</f>
        <v>22407</v>
      </c>
      <c r="G1589" s="12">
        <f t="shared" ca="1" si="150"/>
        <v>51</v>
      </c>
      <c r="H1589" s="12">
        <f t="shared" ca="1" si="151"/>
        <v>-3</v>
      </c>
      <c r="I1589" s="13">
        <f t="shared" ca="1" si="152"/>
        <v>6</v>
      </c>
      <c r="J1589" s="14">
        <f t="shared" ca="1" si="149"/>
        <v>50</v>
      </c>
      <c r="K1589" s="12" t="s">
        <v>41</v>
      </c>
      <c r="L1589" s="15">
        <v>123</v>
      </c>
      <c r="M1589" s="25" t="s">
        <v>40</v>
      </c>
      <c r="N1589">
        <v>334</v>
      </c>
    </row>
    <row r="1590" spans="1:14">
      <c r="A1590" s="25">
        <f t="shared" si="153"/>
        <v>1586</v>
      </c>
      <c r="B1590" s="67" t="s">
        <v>20</v>
      </c>
      <c r="C1590" s="67" t="s">
        <v>299</v>
      </c>
      <c r="D1590" s="67" t="s">
        <v>1026</v>
      </c>
      <c r="E1590" s="22">
        <f t="shared" ca="1" si="154"/>
        <v>40951</v>
      </c>
      <c r="F1590" s="11">
        <f>DATE(84,8,21)</f>
        <v>30915</v>
      </c>
      <c r="G1590" s="12">
        <f t="shared" ca="1" si="150"/>
        <v>28</v>
      </c>
      <c r="H1590" s="12">
        <f t="shared" ca="1" si="151"/>
        <v>-6</v>
      </c>
      <c r="I1590" s="13">
        <f t="shared" ca="1" si="152"/>
        <v>-9</v>
      </c>
      <c r="J1590" s="14">
        <f t="shared" ca="1" si="149"/>
        <v>27</v>
      </c>
      <c r="K1590" s="12" t="s">
        <v>40</v>
      </c>
      <c r="L1590" s="15">
        <v>123</v>
      </c>
      <c r="M1590" s="25" t="s">
        <v>44</v>
      </c>
      <c r="N1590">
        <v>334</v>
      </c>
    </row>
    <row r="1591" spans="1:14">
      <c r="A1591" s="25">
        <f t="shared" si="153"/>
        <v>1587</v>
      </c>
      <c r="B1591" s="67" t="s">
        <v>20</v>
      </c>
      <c r="C1591" s="67" t="s">
        <v>74</v>
      </c>
      <c r="D1591" s="67" t="s">
        <v>1026</v>
      </c>
      <c r="E1591" s="22">
        <f t="shared" ca="1" si="154"/>
        <v>40951</v>
      </c>
      <c r="F1591" s="11">
        <f>DATE(86,7,3)</f>
        <v>31596</v>
      </c>
      <c r="G1591" s="12">
        <f t="shared" ca="1" si="150"/>
        <v>26</v>
      </c>
      <c r="H1591" s="12">
        <f t="shared" ca="1" si="151"/>
        <v>-5</v>
      </c>
      <c r="I1591" s="13">
        <f t="shared" ca="1" si="152"/>
        <v>9</v>
      </c>
      <c r="J1591" s="14">
        <f t="shared" ca="1" si="149"/>
        <v>25</v>
      </c>
      <c r="K1591" s="12" t="s">
        <v>41</v>
      </c>
      <c r="L1591" s="15">
        <v>123</v>
      </c>
      <c r="M1591" s="25" t="s">
        <v>44</v>
      </c>
      <c r="N1591">
        <v>334</v>
      </c>
    </row>
    <row r="1592" spans="1:14">
      <c r="A1592" s="25">
        <f t="shared" si="153"/>
        <v>1588</v>
      </c>
      <c r="B1592" s="67" t="s">
        <v>20</v>
      </c>
      <c r="C1592" s="67" t="s">
        <v>190</v>
      </c>
      <c r="D1592" s="67" t="s">
        <v>602</v>
      </c>
      <c r="E1592" s="22">
        <f t="shared" ca="1" si="154"/>
        <v>40951</v>
      </c>
      <c r="F1592" s="11">
        <f>DATE(60,12,7)</f>
        <v>22257</v>
      </c>
      <c r="G1592" s="12">
        <f t="shared" ca="1" si="150"/>
        <v>52</v>
      </c>
      <c r="H1592" s="12">
        <f t="shared" ca="1" si="151"/>
        <v>-10</v>
      </c>
      <c r="I1592" s="13">
        <f t="shared" ca="1" si="152"/>
        <v>5</v>
      </c>
      <c r="J1592" s="14">
        <f t="shared" ca="1" si="149"/>
        <v>51</v>
      </c>
      <c r="K1592" s="12" t="s">
        <v>40</v>
      </c>
      <c r="L1592" s="15">
        <v>123</v>
      </c>
      <c r="M1592" s="25" t="s">
        <v>40</v>
      </c>
      <c r="N1592">
        <v>334</v>
      </c>
    </row>
    <row r="1593" spans="1:14">
      <c r="A1593" s="25">
        <f t="shared" si="153"/>
        <v>1589</v>
      </c>
      <c r="B1593" s="67" t="s">
        <v>20</v>
      </c>
      <c r="C1593" s="67" t="s">
        <v>1027</v>
      </c>
      <c r="D1593" s="67" t="s">
        <v>190</v>
      </c>
      <c r="E1593" s="22">
        <f t="shared" ca="1" si="154"/>
        <v>40951</v>
      </c>
      <c r="F1593" s="11">
        <f>DATE(65,1,29)</f>
        <v>23771</v>
      </c>
      <c r="G1593" s="12">
        <f t="shared" ca="1" si="150"/>
        <v>47</v>
      </c>
      <c r="H1593" s="12">
        <f t="shared" ca="1" si="151"/>
        <v>1</v>
      </c>
      <c r="I1593" s="13">
        <f t="shared" ca="1" si="152"/>
        <v>-17</v>
      </c>
      <c r="J1593" s="14">
        <f t="shared" ca="1" si="149"/>
        <v>47</v>
      </c>
      <c r="K1593" s="12" t="s">
        <v>41</v>
      </c>
      <c r="L1593" s="15">
        <v>123</v>
      </c>
      <c r="M1593" s="25" t="s">
        <v>40</v>
      </c>
      <c r="N1593">
        <v>334</v>
      </c>
    </row>
    <row r="1594" spans="1:14">
      <c r="A1594" s="25">
        <f t="shared" si="153"/>
        <v>1590</v>
      </c>
      <c r="B1594" s="67" t="s">
        <v>20</v>
      </c>
      <c r="C1594" s="67" t="s">
        <v>183</v>
      </c>
      <c r="D1594" s="67" t="s">
        <v>190</v>
      </c>
      <c r="E1594" s="22">
        <f t="shared" ca="1" si="154"/>
        <v>40951</v>
      </c>
      <c r="F1594" s="11">
        <f>DATE(87,2,26)</f>
        <v>31834</v>
      </c>
      <c r="G1594" s="12">
        <f t="shared" ca="1" si="150"/>
        <v>25</v>
      </c>
      <c r="H1594" s="12">
        <f t="shared" ca="1" si="151"/>
        <v>0</v>
      </c>
      <c r="I1594" s="13">
        <f t="shared" ca="1" si="152"/>
        <v>-14</v>
      </c>
      <c r="J1594" s="14">
        <f t="shared" ca="1" si="149"/>
        <v>24</v>
      </c>
      <c r="K1594" s="12" t="s">
        <v>40</v>
      </c>
      <c r="L1594" s="15">
        <v>123</v>
      </c>
      <c r="M1594" s="25" t="s">
        <v>44</v>
      </c>
      <c r="N1594">
        <v>334</v>
      </c>
    </row>
    <row r="1595" spans="1:14" ht="15.75" thickBot="1">
      <c r="A1595" s="26">
        <f t="shared" si="153"/>
        <v>1591</v>
      </c>
      <c r="B1595" s="67" t="s">
        <v>20</v>
      </c>
      <c r="C1595" s="68" t="s">
        <v>1028</v>
      </c>
      <c r="D1595" s="68" t="s">
        <v>190</v>
      </c>
      <c r="E1595" s="23">
        <f t="shared" ca="1" si="154"/>
        <v>40951</v>
      </c>
      <c r="F1595" s="16">
        <f>DATE(88,4,23)</f>
        <v>32256</v>
      </c>
      <c r="G1595" s="17">
        <f t="shared" ca="1" si="150"/>
        <v>24</v>
      </c>
      <c r="H1595" s="17">
        <f t="shared" ca="1" si="151"/>
        <v>-2</v>
      </c>
      <c r="I1595" s="18">
        <f t="shared" ca="1" si="152"/>
        <v>-11</v>
      </c>
      <c r="J1595" s="19">
        <f t="shared" ca="1" si="149"/>
        <v>23</v>
      </c>
      <c r="K1595" s="17" t="s">
        <v>41</v>
      </c>
      <c r="L1595" s="20">
        <v>123</v>
      </c>
      <c r="M1595" s="26" t="s">
        <v>44</v>
      </c>
      <c r="N1595">
        <v>334</v>
      </c>
    </row>
    <row r="1596" spans="1:14">
      <c r="A1596" s="25">
        <f t="shared" si="153"/>
        <v>1592</v>
      </c>
      <c r="B1596" s="67" t="s">
        <v>20</v>
      </c>
      <c r="C1596" s="67" t="s">
        <v>516</v>
      </c>
      <c r="D1596" s="67" t="s">
        <v>1029</v>
      </c>
      <c r="E1596" s="22">
        <f t="shared" ca="1" si="154"/>
        <v>40951</v>
      </c>
      <c r="F1596" s="11">
        <f>DATE(55,3,1)</f>
        <v>20149</v>
      </c>
      <c r="G1596" s="12">
        <f t="shared" ca="1" si="150"/>
        <v>57</v>
      </c>
      <c r="H1596" s="12">
        <f t="shared" ca="1" si="151"/>
        <v>-1</v>
      </c>
      <c r="I1596" s="13">
        <f t="shared" ca="1" si="152"/>
        <v>11</v>
      </c>
      <c r="J1596" s="14">
        <f t="shared" ca="1" si="149"/>
        <v>56</v>
      </c>
      <c r="K1596" s="12" t="s">
        <v>40</v>
      </c>
      <c r="L1596" s="15">
        <v>124</v>
      </c>
      <c r="M1596" s="25" t="s">
        <v>40</v>
      </c>
      <c r="N1596">
        <v>335</v>
      </c>
    </row>
    <row r="1597" spans="1:14">
      <c r="A1597" s="25">
        <f t="shared" si="153"/>
        <v>1593</v>
      </c>
      <c r="B1597" s="67" t="s">
        <v>20</v>
      </c>
      <c r="C1597" s="67" t="s">
        <v>792</v>
      </c>
      <c r="D1597" s="67" t="s">
        <v>516</v>
      </c>
      <c r="E1597" s="22">
        <f t="shared" ca="1" si="154"/>
        <v>40951</v>
      </c>
      <c r="F1597" s="11">
        <f>DATE(60,11,26)</f>
        <v>22246</v>
      </c>
      <c r="G1597" s="12">
        <f t="shared" ca="1" si="150"/>
        <v>52</v>
      </c>
      <c r="H1597" s="12">
        <f t="shared" ca="1" si="151"/>
        <v>-9</v>
      </c>
      <c r="I1597" s="13">
        <f t="shared" ca="1" si="152"/>
        <v>-14</v>
      </c>
      <c r="J1597" s="14">
        <f t="shared" ca="1" si="149"/>
        <v>51</v>
      </c>
      <c r="K1597" s="12" t="s">
        <v>41</v>
      </c>
      <c r="L1597" s="15">
        <v>124</v>
      </c>
      <c r="M1597" s="25" t="s">
        <v>40</v>
      </c>
      <c r="N1597">
        <v>335</v>
      </c>
    </row>
    <row r="1598" spans="1:14">
      <c r="A1598" s="25">
        <f t="shared" si="153"/>
        <v>1594</v>
      </c>
      <c r="B1598" s="67" t="s">
        <v>20</v>
      </c>
      <c r="C1598" s="67" t="s">
        <v>95</v>
      </c>
      <c r="D1598" s="67" t="s">
        <v>516</v>
      </c>
      <c r="E1598" s="22">
        <f t="shared" ca="1" si="154"/>
        <v>40951</v>
      </c>
      <c r="F1598" s="11">
        <f>DATE(84,10,24)</f>
        <v>30979</v>
      </c>
      <c r="G1598" s="12">
        <f t="shared" ca="1" si="150"/>
        <v>28</v>
      </c>
      <c r="H1598" s="12">
        <f t="shared" ca="1" si="151"/>
        <v>-8</v>
      </c>
      <c r="I1598" s="13">
        <f t="shared" ca="1" si="152"/>
        <v>-12</v>
      </c>
      <c r="J1598" s="14">
        <f t="shared" ca="1" si="149"/>
        <v>27</v>
      </c>
      <c r="K1598" s="12" t="s">
        <v>41</v>
      </c>
      <c r="L1598" s="15">
        <v>124</v>
      </c>
      <c r="M1598" s="25" t="s">
        <v>44</v>
      </c>
      <c r="N1598">
        <v>335</v>
      </c>
    </row>
    <row r="1599" spans="1:14" ht="15.75" thickBot="1">
      <c r="A1599" s="26">
        <f t="shared" si="153"/>
        <v>1595</v>
      </c>
      <c r="B1599" s="67" t="s">
        <v>20</v>
      </c>
      <c r="C1599" s="68" t="s">
        <v>922</v>
      </c>
      <c r="D1599" s="68" t="s">
        <v>516</v>
      </c>
      <c r="E1599" s="23">
        <f t="shared" ca="1" si="154"/>
        <v>40951</v>
      </c>
      <c r="F1599" s="16">
        <f>DATE(87,9,23)</f>
        <v>32043</v>
      </c>
      <c r="G1599" s="17">
        <f t="shared" ca="1" si="150"/>
        <v>25</v>
      </c>
      <c r="H1599" s="17">
        <f t="shared" ca="1" si="151"/>
        <v>-7</v>
      </c>
      <c r="I1599" s="18">
        <f t="shared" ca="1" si="152"/>
        <v>-11</v>
      </c>
      <c r="J1599" s="19">
        <f t="shared" ca="1" si="149"/>
        <v>24</v>
      </c>
      <c r="K1599" s="17" t="s">
        <v>40</v>
      </c>
      <c r="L1599" s="20">
        <v>124</v>
      </c>
      <c r="M1599" s="26" t="s">
        <v>44</v>
      </c>
      <c r="N1599">
        <v>335</v>
      </c>
    </row>
    <row r="1600" spans="1:14">
      <c r="A1600" s="25">
        <f t="shared" si="153"/>
        <v>1596</v>
      </c>
      <c r="B1600" s="67" t="s">
        <v>20</v>
      </c>
      <c r="C1600" s="67" t="s">
        <v>78</v>
      </c>
      <c r="D1600" s="67" t="s">
        <v>189</v>
      </c>
      <c r="E1600" s="22">
        <f t="shared" ca="1" si="154"/>
        <v>40951</v>
      </c>
      <c r="F1600" s="11">
        <f>DATE(48,11,28)</f>
        <v>17865</v>
      </c>
      <c r="G1600" s="12">
        <f t="shared" ca="1" si="150"/>
        <v>64</v>
      </c>
      <c r="H1600" s="12">
        <f t="shared" ca="1" si="151"/>
        <v>-9</v>
      </c>
      <c r="I1600" s="13">
        <f t="shared" ca="1" si="152"/>
        <v>-16</v>
      </c>
      <c r="J1600" s="14">
        <f t="shared" ca="1" si="149"/>
        <v>63</v>
      </c>
      <c r="K1600" s="12" t="s">
        <v>41</v>
      </c>
      <c r="L1600" s="15">
        <v>124</v>
      </c>
      <c r="M1600" s="25" t="s">
        <v>40</v>
      </c>
      <c r="N1600">
        <v>336</v>
      </c>
    </row>
    <row r="1601" spans="1:14">
      <c r="A1601" s="25">
        <f t="shared" si="153"/>
        <v>1597</v>
      </c>
      <c r="B1601" s="67" t="s">
        <v>20</v>
      </c>
      <c r="C1601" s="67" t="s">
        <v>350</v>
      </c>
      <c r="D1601" s="67" t="s">
        <v>189</v>
      </c>
      <c r="E1601" s="22">
        <f t="shared" ca="1" si="154"/>
        <v>40951</v>
      </c>
      <c r="F1601" s="11">
        <f>DATE(82,1,1)</f>
        <v>29952</v>
      </c>
      <c r="G1601" s="12">
        <f t="shared" ca="1" si="150"/>
        <v>30</v>
      </c>
      <c r="H1601" s="12">
        <f t="shared" ca="1" si="151"/>
        <v>1</v>
      </c>
      <c r="I1601" s="13">
        <f t="shared" ca="1" si="152"/>
        <v>11</v>
      </c>
      <c r="J1601" s="14">
        <f t="shared" ca="1" si="149"/>
        <v>30</v>
      </c>
      <c r="K1601" s="12" t="s">
        <v>41</v>
      </c>
      <c r="L1601" s="15">
        <v>124</v>
      </c>
      <c r="M1601" s="25" t="s">
        <v>44</v>
      </c>
      <c r="N1601">
        <v>336</v>
      </c>
    </row>
    <row r="1602" spans="1:14" ht="15.75" thickBot="1">
      <c r="A1602" s="26">
        <f t="shared" si="153"/>
        <v>1598</v>
      </c>
      <c r="B1602" s="67" t="s">
        <v>20</v>
      </c>
      <c r="C1602" s="68" t="s">
        <v>894</v>
      </c>
      <c r="D1602" s="68" t="s">
        <v>189</v>
      </c>
      <c r="E1602" s="23">
        <f t="shared" ca="1" si="154"/>
        <v>40951</v>
      </c>
      <c r="F1602" s="16">
        <f>DATE(85,11,9)</f>
        <v>31360</v>
      </c>
      <c r="G1602" s="17">
        <f t="shared" ca="1" si="150"/>
        <v>27</v>
      </c>
      <c r="H1602" s="17">
        <f t="shared" ca="1" si="151"/>
        <v>-9</v>
      </c>
      <c r="I1602" s="18">
        <f t="shared" ca="1" si="152"/>
        <v>3</v>
      </c>
      <c r="J1602" s="19">
        <f t="shared" ca="1" si="149"/>
        <v>26</v>
      </c>
      <c r="K1602" s="17" t="s">
        <v>40</v>
      </c>
      <c r="L1602" s="20">
        <v>124</v>
      </c>
      <c r="M1602" s="26" t="s">
        <v>44</v>
      </c>
      <c r="N1602">
        <v>336</v>
      </c>
    </row>
    <row r="1603" spans="1:14">
      <c r="A1603" s="25">
        <f t="shared" si="153"/>
        <v>1599</v>
      </c>
      <c r="B1603" s="67" t="s">
        <v>20</v>
      </c>
      <c r="C1603" s="67" t="s">
        <v>320</v>
      </c>
      <c r="D1603" s="67" t="s">
        <v>60</v>
      </c>
      <c r="E1603" s="22">
        <f t="shared" ca="1" si="154"/>
        <v>40951</v>
      </c>
      <c r="F1603" s="11">
        <f>DATE(46,6,27)</f>
        <v>16980</v>
      </c>
      <c r="G1603" s="12">
        <f t="shared" ca="1" si="150"/>
        <v>66</v>
      </c>
      <c r="H1603" s="12">
        <f t="shared" ca="1" si="151"/>
        <v>-4</v>
      </c>
      <c r="I1603" s="13">
        <f t="shared" ca="1" si="152"/>
        <v>-15</v>
      </c>
      <c r="J1603" s="14">
        <f t="shared" ca="1" si="149"/>
        <v>65</v>
      </c>
      <c r="K1603" s="12" t="s">
        <v>40</v>
      </c>
      <c r="L1603" s="15">
        <v>125</v>
      </c>
      <c r="M1603" s="25" t="s">
        <v>40</v>
      </c>
      <c r="N1603">
        <v>337</v>
      </c>
    </row>
    <row r="1604" spans="1:14">
      <c r="A1604" s="25">
        <f t="shared" si="153"/>
        <v>1600</v>
      </c>
      <c r="B1604" s="67" t="s">
        <v>20</v>
      </c>
      <c r="C1604" s="67" t="s">
        <v>477</v>
      </c>
      <c r="D1604" s="67" t="s">
        <v>320</v>
      </c>
      <c r="E1604" s="22">
        <f t="shared" ca="1" si="154"/>
        <v>40951</v>
      </c>
      <c r="F1604" s="11">
        <f>DATE(48,7,24)</f>
        <v>17738</v>
      </c>
      <c r="G1604" s="12">
        <f t="shared" ca="1" si="150"/>
        <v>64</v>
      </c>
      <c r="H1604" s="12">
        <f t="shared" ca="1" si="151"/>
        <v>-5</v>
      </c>
      <c r="I1604" s="13">
        <f t="shared" ca="1" si="152"/>
        <v>-12</v>
      </c>
      <c r="J1604" s="14">
        <f t="shared" ref="J1604:J1657" ca="1" si="155">IF(H1604&lt;0,G1604-1,IF(H1604&gt;0,G1604,IF(I1604&lt;0,G1604-1,G1604)))</f>
        <v>63</v>
      </c>
      <c r="K1604" s="12" t="s">
        <v>41</v>
      </c>
      <c r="L1604" s="15">
        <v>125</v>
      </c>
      <c r="M1604" s="25" t="s">
        <v>40</v>
      </c>
      <c r="N1604">
        <v>337</v>
      </c>
    </row>
    <row r="1605" spans="1:14">
      <c r="A1605" s="25">
        <f t="shared" si="153"/>
        <v>1601</v>
      </c>
      <c r="B1605" s="67" t="s">
        <v>20</v>
      </c>
      <c r="C1605" s="67" t="s">
        <v>1030</v>
      </c>
      <c r="D1605" s="67" t="s">
        <v>320</v>
      </c>
      <c r="E1605" s="22">
        <f t="shared" ca="1" si="154"/>
        <v>40951</v>
      </c>
      <c r="F1605" s="11">
        <f>DATE(71,6,24)</f>
        <v>26108</v>
      </c>
      <c r="G1605" s="12">
        <f t="shared" ca="1" si="150"/>
        <v>41</v>
      </c>
      <c r="H1605" s="12">
        <f t="shared" ca="1" si="151"/>
        <v>-4</v>
      </c>
      <c r="I1605" s="13">
        <f t="shared" ca="1" si="152"/>
        <v>-12</v>
      </c>
      <c r="J1605" s="14">
        <f t="shared" ca="1" si="155"/>
        <v>40</v>
      </c>
      <c r="K1605" s="12" t="s">
        <v>40</v>
      </c>
      <c r="L1605" s="15">
        <v>125</v>
      </c>
      <c r="M1605" s="25" t="s">
        <v>40</v>
      </c>
      <c r="N1605">
        <v>337</v>
      </c>
    </row>
    <row r="1606" spans="1:14">
      <c r="A1606" s="25">
        <f t="shared" si="153"/>
        <v>1602</v>
      </c>
      <c r="B1606" s="67" t="s">
        <v>20</v>
      </c>
      <c r="C1606" s="67" t="s">
        <v>175</v>
      </c>
      <c r="D1606" s="67" t="s">
        <v>1030</v>
      </c>
      <c r="E1606" s="22">
        <f t="shared" ca="1" si="154"/>
        <v>40951</v>
      </c>
      <c r="F1606" s="11">
        <f>DATE(73,3,1)</f>
        <v>26724</v>
      </c>
      <c r="G1606" s="12">
        <f t="shared" ca="1" si="150"/>
        <v>39</v>
      </c>
      <c r="H1606" s="12">
        <f t="shared" ca="1" si="151"/>
        <v>-1</v>
      </c>
      <c r="I1606" s="13">
        <f t="shared" ca="1" si="152"/>
        <v>11</v>
      </c>
      <c r="J1606" s="14">
        <f t="shared" ca="1" si="155"/>
        <v>38</v>
      </c>
      <c r="K1606" s="12" t="s">
        <v>41</v>
      </c>
      <c r="L1606" s="15">
        <v>125</v>
      </c>
      <c r="M1606" s="25" t="s">
        <v>40</v>
      </c>
      <c r="N1606">
        <v>337</v>
      </c>
    </row>
    <row r="1607" spans="1:14">
      <c r="A1607" s="25">
        <f t="shared" si="153"/>
        <v>1603</v>
      </c>
      <c r="B1607" s="67" t="s">
        <v>20</v>
      </c>
      <c r="C1607" s="67" t="s">
        <v>1031</v>
      </c>
      <c r="D1607" s="67" t="s">
        <v>1030</v>
      </c>
      <c r="E1607" s="22">
        <f t="shared" ca="1" si="154"/>
        <v>40951</v>
      </c>
      <c r="F1607" s="11">
        <f>DATE(98,2,10)</f>
        <v>35836</v>
      </c>
      <c r="G1607" s="12">
        <f t="shared" ca="1" si="150"/>
        <v>14</v>
      </c>
      <c r="H1607" s="12">
        <f t="shared" ca="1" si="151"/>
        <v>0</v>
      </c>
      <c r="I1607" s="13">
        <f t="shared" ca="1" si="152"/>
        <v>2</v>
      </c>
      <c r="J1607" s="14">
        <f t="shared" ca="1" si="155"/>
        <v>14</v>
      </c>
      <c r="K1607" s="12" t="s">
        <v>41</v>
      </c>
      <c r="L1607" s="15">
        <v>125</v>
      </c>
      <c r="M1607" s="25" t="s">
        <v>44</v>
      </c>
      <c r="N1607">
        <v>337</v>
      </c>
    </row>
    <row r="1608" spans="1:14">
      <c r="A1608" s="25">
        <f t="shared" si="153"/>
        <v>1604</v>
      </c>
      <c r="B1608" s="67" t="s">
        <v>20</v>
      </c>
      <c r="C1608" s="67" t="s">
        <v>118</v>
      </c>
      <c r="D1608" s="67" t="s">
        <v>320</v>
      </c>
      <c r="E1608" s="22">
        <f t="shared" ca="1" si="154"/>
        <v>40951</v>
      </c>
      <c r="F1608" s="11">
        <f>DATE(76,9,2)</f>
        <v>28005</v>
      </c>
      <c r="G1608" s="12">
        <f t="shared" ca="1" si="150"/>
        <v>36</v>
      </c>
      <c r="H1608" s="12">
        <f t="shared" ca="1" si="151"/>
        <v>-7</v>
      </c>
      <c r="I1608" s="13">
        <f t="shared" ca="1" si="152"/>
        <v>10</v>
      </c>
      <c r="J1608" s="14">
        <f t="shared" ca="1" si="155"/>
        <v>35</v>
      </c>
      <c r="K1608" s="12" t="s">
        <v>40</v>
      </c>
      <c r="L1608" s="15">
        <v>125</v>
      </c>
      <c r="M1608" s="25" t="s">
        <v>40</v>
      </c>
      <c r="N1608">
        <v>337</v>
      </c>
    </row>
    <row r="1609" spans="1:14">
      <c r="A1609" s="25">
        <f t="shared" si="153"/>
        <v>1605</v>
      </c>
      <c r="B1609" s="67" t="s">
        <v>20</v>
      </c>
      <c r="C1609" s="67" t="s">
        <v>1032</v>
      </c>
      <c r="D1609" s="67" t="s">
        <v>118</v>
      </c>
      <c r="E1609" s="22">
        <f t="shared" ca="1" si="154"/>
        <v>40951</v>
      </c>
      <c r="F1609" s="11">
        <f>DATE(79,2,8)</f>
        <v>28894</v>
      </c>
      <c r="G1609" s="12">
        <f t="shared" ca="1" si="150"/>
        <v>33</v>
      </c>
      <c r="H1609" s="12">
        <f t="shared" ca="1" si="151"/>
        <v>0</v>
      </c>
      <c r="I1609" s="13">
        <f t="shared" ca="1" si="152"/>
        <v>4</v>
      </c>
      <c r="J1609" s="14">
        <f t="shared" ca="1" si="155"/>
        <v>33</v>
      </c>
      <c r="K1609" s="12" t="s">
        <v>41</v>
      </c>
      <c r="L1609" s="15">
        <v>125</v>
      </c>
      <c r="M1609" s="25" t="s">
        <v>40</v>
      </c>
      <c r="N1609">
        <v>337</v>
      </c>
    </row>
    <row r="1610" spans="1:14">
      <c r="A1610" s="25">
        <f t="shared" si="153"/>
        <v>1606</v>
      </c>
      <c r="B1610" s="67" t="s">
        <v>20</v>
      </c>
      <c r="C1610" s="67" t="s">
        <v>989</v>
      </c>
      <c r="D1610" s="67" t="s">
        <v>320</v>
      </c>
      <c r="E1610" s="22">
        <f t="shared" ca="1" si="154"/>
        <v>40951</v>
      </c>
      <c r="F1610" s="11">
        <f>DATE(74,8,8)</f>
        <v>27249</v>
      </c>
      <c r="G1610" s="12">
        <f t="shared" ca="1" si="150"/>
        <v>38</v>
      </c>
      <c r="H1610" s="12">
        <f t="shared" ca="1" si="151"/>
        <v>-6</v>
      </c>
      <c r="I1610" s="13">
        <f t="shared" ca="1" si="152"/>
        <v>4</v>
      </c>
      <c r="J1610" s="14">
        <f t="shared" ca="1" si="155"/>
        <v>37</v>
      </c>
      <c r="K1610" s="12" t="s">
        <v>40</v>
      </c>
      <c r="L1610" s="15">
        <v>125</v>
      </c>
      <c r="M1610" s="25" t="s">
        <v>40</v>
      </c>
      <c r="N1610">
        <v>337</v>
      </c>
    </row>
    <row r="1611" spans="1:14">
      <c r="A1611" s="25">
        <f t="shared" si="153"/>
        <v>1607</v>
      </c>
      <c r="B1611" s="67" t="s">
        <v>20</v>
      </c>
      <c r="C1611" s="67" t="s">
        <v>1033</v>
      </c>
      <c r="D1611" s="67" t="s">
        <v>989</v>
      </c>
      <c r="E1611" s="22">
        <f t="shared" ca="1" si="154"/>
        <v>40951</v>
      </c>
      <c r="F1611" s="11">
        <f>DATE(76,6,1)</f>
        <v>27912</v>
      </c>
      <c r="G1611" s="12">
        <f t="shared" ca="1" si="150"/>
        <v>36</v>
      </c>
      <c r="H1611" s="12">
        <f t="shared" ca="1" si="151"/>
        <v>-4</v>
      </c>
      <c r="I1611" s="13">
        <f t="shared" ca="1" si="152"/>
        <v>11</v>
      </c>
      <c r="J1611" s="14">
        <f t="shared" ca="1" si="155"/>
        <v>35</v>
      </c>
      <c r="K1611" s="12" t="s">
        <v>41</v>
      </c>
      <c r="L1611" s="15">
        <v>125</v>
      </c>
      <c r="M1611" s="25" t="s">
        <v>40</v>
      </c>
      <c r="N1611">
        <v>337</v>
      </c>
    </row>
    <row r="1612" spans="1:14" ht="15.75" thickBot="1">
      <c r="A1612" s="26">
        <f t="shared" si="153"/>
        <v>1608</v>
      </c>
      <c r="B1612" s="67" t="s">
        <v>20</v>
      </c>
      <c r="C1612" s="68" t="s">
        <v>1034</v>
      </c>
      <c r="D1612" s="68" t="s">
        <v>989</v>
      </c>
      <c r="E1612" s="23">
        <f t="shared" ca="1" si="154"/>
        <v>40951</v>
      </c>
      <c r="F1612" s="16">
        <f>DATE(2002,10,25)</f>
        <v>37554</v>
      </c>
      <c r="G1612" s="17">
        <f t="shared" ca="1" si="150"/>
        <v>10</v>
      </c>
      <c r="H1612" s="17">
        <f t="shared" ca="1" si="151"/>
        <v>-8</v>
      </c>
      <c r="I1612" s="18">
        <f t="shared" ca="1" si="152"/>
        <v>-13</v>
      </c>
      <c r="J1612" s="19">
        <f t="shared" ca="1" si="155"/>
        <v>9</v>
      </c>
      <c r="K1612" s="17" t="s">
        <v>40</v>
      </c>
      <c r="L1612" s="20">
        <v>125</v>
      </c>
      <c r="M1612" s="26" t="s">
        <v>44</v>
      </c>
      <c r="N1612">
        <v>337</v>
      </c>
    </row>
    <row r="1613" spans="1:14">
      <c r="A1613" s="25">
        <f t="shared" si="153"/>
        <v>1609</v>
      </c>
      <c r="B1613" s="67" t="s">
        <v>20</v>
      </c>
      <c r="C1613" s="67" t="s">
        <v>548</v>
      </c>
      <c r="D1613" s="67" t="s">
        <v>423</v>
      </c>
      <c r="E1613" s="22">
        <f t="shared" ca="1" si="154"/>
        <v>40951</v>
      </c>
      <c r="F1613" s="32"/>
      <c r="G1613" s="12">
        <f t="shared" ca="1" si="150"/>
        <v>112</v>
      </c>
      <c r="H1613" s="12">
        <f t="shared" ca="1" si="151"/>
        <v>1</v>
      </c>
      <c r="I1613" s="13">
        <f t="shared" ca="1" si="152"/>
        <v>12</v>
      </c>
      <c r="J1613" s="14">
        <f t="shared" ca="1" si="155"/>
        <v>112</v>
      </c>
      <c r="K1613" s="12" t="s">
        <v>41</v>
      </c>
      <c r="L1613" s="15">
        <v>125</v>
      </c>
      <c r="M1613" s="25" t="s">
        <v>40</v>
      </c>
      <c r="N1613">
        <v>338</v>
      </c>
    </row>
    <row r="1614" spans="1:14">
      <c r="A1614" s="25">
        <f t="shared" si="153"/>
        <v>1610</v>
      </c>
      <c r="B1614" s="67" t="s">
        <v>20</v>
      </c>
      <c r="C1614" s="67" t="s">
        <v>142</v>
      </c>
      <c r="D1614" s="67" t="s">
        <v>423</v>
      </c>
      <c r="E1614" s="22">
        <f t="shared" ca="1" si="154"/>
        <v>40951</v>
      </c>
      <c r="F1614" s="11">
        <f>DATE(65,5,14)</f>
        <v>23876</v>
      </c>
      <c r="G1614" s="12">
        <f t="shared" ca="1" si="150"/>
        <v>47</v>
      </c>
      <c r="H1614" s="12">
        <f t="shared" ca="1" si="151"/>
        <v>-3</v>
      </c>
      <c r="I1614" s="13">
        <f t="shared" ca="1" si="152"/>
        <v>-2</v>
      </c>
      <c r="J1614" s="14">
        <f t="shared" ca="1" si="155"/>
        <v>46</v>
      </c>
      <c r="K1614" s="12" t="s">
        <v>40</v>
      </c>
      <c r="L1614" s="15">
        <v>125</v>
      </c>
      <c r="M1614" s="25" t="s">
        <v>40</v>
      </c>
      <c r="N1614">
        <v>338</v>
      </c>
    </row>
    <row r="1615" spans="1:14">
      <c r="A1615" s="25">
        <f t="shared" si="153"/>
        <v>1611</v>
      </c>
      <c r="B1615" s="67" t="s">
        <v>20</v>
      </c>
      <c r="C1615" s="67" t="s">
        <v>62</v>
      </c>
      <c r="D1615" s="67" t="s">
        <v>142</v>
      </c>
      <c r="E1615" s="22">
        <f t="shared" ca="1" si="154"/>
        <v>40951</v>
      </c>
      <c r="F1615" s="11">
        <f>DATE(61,10,10)</f>
        <v>22564</v>
      </c>
      <c r="G1615" s="12">
        <f t="shared" ca="1" si="150"/>
        <v>51</v>
      </c>
      <c r="H1615" s="12">
        <f t="shared" ca="1" si="151"/>
        <v>-8</v>
      </c>
      <c r="I1615" s="13">
        <f t="shared" ca="1" si="152"/>
        <v>2</v>
      </c>
      <c r="J1615" s="14">
        <f t="shared" ca="1" si="155"/>
        <v>50</v>
      </c>
      <c r="K1615" s="12" t="s">
        <v>41</v>
      </c>
      <c r="L1615" s="15">
        <v>125</v>
      </c>
      <c r="M1615" s="25" t="s">
        <v>40</v>
      </c>
      <c r="N1615">
        <v>338</v>
      </c>
    </row>
    <row r="1616" spans="1:14" ht="15.75" thickBot="1">
      <c r="A1616" s="26">
        <f t="shared" si="153"/>
        <v>1612</v>
      </c>
      <c r="B1616" s="67" t="s">
        <v>20</v>
      </c>
      <c r="C1616" s="68" t="s">
        <v>1035</v>
      </c>
      <c r="D1616" s="68" t="s">
        <v>142</v>
      </c>
      <c r="E1616" s="23">
        <f t="shared" ca="1" si="154"/>
        <v>40951</v>
      </c>
      <c r="F1616" s="16">
        <f>DATE(93,6,25)</f>
        <v>34145</v>
      </c>
      <c r="G1616" s="17">
        <f t="shared" ca="1" si="150"/>
        <v>19</v>
      </c>
      <c r="H1616" s="17">
        <f t="shared" ca="1" si="151"/>
        <v>-4</v>
      </c>
      <c r="I1616" s="18">
        <f t="shared" ca="1" si="152"/>
        <v>-13</v>
      </c>
      <c r="J1616" s="19">
        <f t="shared" ca="1" si="155"/>
        <v>18</v>
      </c>
      <c r="K1616" s="17" t="s">
        <v>41</v>
      </c>
      <c r="L1616" s="20">
        <v>125</v>
      </c>
      <c r="M1616" s="26" t="s">
        <v>44</v>
      </c>
      <c r="N1616">
        <v>338</v>
      </c>
    </row>
    <row r="1617" spans="1:14">
      <c r="A1617" s="25">
        <f t="shared" si="153"/>
        <v>1613</v>
      </c>
      <c r="B1617" s="67" t="s">
        <v>20</v>
      </c>
      <c r="C1617" s="67" t="s">
        <v>1036</v>
      </c>
      <c r="D1617" s="67" t="s">
        <v>94</v>
      </c>
      <c r="E1617" s="22">
        <f t="shared" ca="1" si="154"/>
        <v>40951</v>
      </c>
      <c r="F1617" s="32"/>
      <c r="G1617" s="12">
        <f t="shared" ca="1" si="150"/>
        <v>112</v>
      </c>
      <c r="H1617" s="12">
        <f t="shared" ca="1" si="151"/>
        <v>1</v>
      </c>
      <c r="I1617" s="13">
        <f t="shared" ca="1" si="152"/>
        <v>12</v>
      </c>
      <c r="J1617" s="14">
        <f t="shared" ca="1" si="155"/>
        <v>112</v>
      </c>
      <c r="K1617" s="12" t="s">
        <v>40</v>
      </c>
      <c r="L1617" s="15">
        <v>125</v>
      </c>
      <c r="M1617" s="25" t="s">
        <v>40</v>
      </c>
      <c r="N1617">
        <v>339</v>
      </c>
    </row>
    <row r="1618" spans="1:14">
      <c r="A1618" s="25">
        <f t="shared" si="153"/>
        <v>1614</v>
      </c>
      <c r="B1618" s="67" t="s">
        <v>20</v>
      </c>
      <c r="C1618" s="67" t="s">
        <v>1037</v>
      </c>
      <c r="D1618" s="67" t="s">
        <v>94</v>
      </c>
      <c r="E1618" s="22">
        <f t="shared" ca="1" si="154"/>
        <v>40951</v>
      </c>
      <c r="F1618" s="32"/>
      <c r="G1618" s="12">
        <f t="shared" ca="1" si="150"/>
        <v>112</v>
      </c>
      <c r="H1618" s="12">
        <f t="shared" ca="1" si="151"/>
        <v>1</v>
      </c>
      <c r="I1618" s="13">
        <f t="shared" ca="1" si="152"/>
        <v>12</v>
      </c>
      <c r="J1618" s="14">
        <f t="shared" ca="1" si="155"/>
        <v>112</v>
      </c>
      <c r="K1618" s="12" t="s">
        <v>41</v>
      </c>
      <c r="L1618" s="15">
        <v>125</v>
      </c>
      <c r="M1618" s="25" t="s">
        <v>44</v>
      </c>
      <c r="N1618">
        <v>339</v>
      </c>
    </row>
    <row r="1619" spans="1:14">
      <c r="A1619" s="25">
        <f t="shared" si="153"/>
        <v>1615</v>
      </c>
      <c r="B1619" s="67" t="s">
        <v>20</v>
      </c>
      <c r="C1619" s="67" t="s">
        <v>994</v>
      </c>
      <c r="D1619" s="67" t="s">
        <v>94</v>
      </c>
      <c r="E1619" s="22">
        <f t="shared" ca="1" si="154"/>
        <v>40951</v>
      </c>
      <c r="F1619" s="32"/>
      <c r="G1619" s="12">
        <f t="shared" ca="1" si="150"/>
        <v>112</v>
      </c>
      <c r="H1619" s="12">
        <f t="shared" ca="1" si="151"/>
        <v>1</v>
      </c>
      <c r="I1619" s="13">
        <f t="shared" ca="1" si="152"/>
        <v>12</v>
      </c>
      <c r="J1619" s="14">
        <f t="shared" ca="1" si="155"/>
        <v>112</v>
      </c>
      <c r="K1619" s="12" t="s">
        <v>41</v>
      </c>
      <c r="L1619" s="15">
        <v>125</v>
      </c>
      <c r="M1619" s="25" t="s">
        <v>44</v>
      </c>
      <c r="N1619">
        <v>339</v>
      </c>
    </row>
    <row r="1620" spans="1:14" ht="15.75" thickBot="1">
      <c r="A1620" s="26">
        <f t="shared" si="153"/>
        <v>1616</v>
      </c>
      <c r="B1620" s="67" t="s">
        <v>20</v>
      </c>
      <c r="C1620" s="68" t="s">
        <v>781</v>
      </c>
      <c r="D1620" s="68" t="s">
        <v>94</v>
      </c>
      <c r="E1620" s="23">
        <f t="shared" ca="1" si="154"/>
        <v>40951</v>
      </c>
      <c r="F1620" s="33"/>
      <c r="G1620" s="17">
        <f t="shared" ca="1" si="150"/>
        <v>112</v>
      </c>
      <c r="H1620" s="17">
        <f t="shared" ca="1" si="151"/>
        <v>1</v>
      </c>
      <c r="I1620" s="18">
        <f t="shared" ca="1" si="152"/>
        <v>12</v>
      </c>
      <c r="J1620" s="19">
        <f t="shared" ca="1" si="155"/>
        <v>112</v>
      </c>
      <c r="K1620" s="17" t="s">
        <v>41</v>
      </c>
      <c r="L1620" s="20">
        <v>125</v>
      </c>
      <c r="M1620" s="26" t="s">
        <v>44</v>
      </c>
      <c r="N1620">
        <v>339</v>
      </c>
    </row>
    <row r="1621" spans="1:14">
      <c r="A1621" s="25">
        <f t="shared" si="153"/>
        <v>1617</v>
      </c>
      <c r="B1621" s="67" t="s">
        <v>20</v>
      </c>
      <c r="C1621" s="67" t="s">
        <v>292</v>
      </c>
      <c r="D1621" s="67" t="s">
        <v>70</v>
      </c>
      <c r="E1621" s="22">
        <f t="shared" ca="1" si="154"/>
        <v>40951</v>
      </c>
      <c r="F1621" s="11">
        <f>DATE(42,6,19)</f>
        <v>15511</v>
      </c>
      <c r="G1621" s="12">
        <f t="shared" ca="1" si="150"/>
        <v>70</v>
      </c>
      <c r="H1621" s="12">
        <f t="shared" ca="1" si="151"/>
        <v>-4</v>
      </c>
      <c r="I1621" s="13">
        <f t="shared" ca="1" si="152"/>
        <v>-7</v>
      </c>
      <c r="J1621" s="14">
        <f t="shared" ca="1" si="155"/>
        <v>69</v>
      </c>
      <c r="K1621" s="12" t="s">
        <v>40</v>
      </c>
      <c r="L1621" s="15">
        <v>126</v>
      </c>
      <c r="M1621" s="25" t="s">
        <v>40</v>
      </c>
      <c r="N1621">
        <v>340</v>
      </c>
    </row>
    <row r="1622" spans="1:14">
      <c r="A1622" s="25">
        <f t="shared" si="153"/>
        <v>1618</v>
      </c>
      <c r="B1622" s="67" t="s">
        <v>20</v>
      </c>
      <c r="C1622" s="67" t="s">
        <v>293</v>
      </c>
      <c r="D1622" s="67" t="s">
        <v>292</v>
      </c>
      <c r="E1622" s="22">
        <f t="shared" ca="1" si="154"/>
        <v>40951</v>
      </c>
      <c r="F1622" s="11">
        <f>DATE(46,14,5)</f>
        <v>17203</v>
      </c>
      <c r="G1622" s="12">
        <f t="shared" ca="1" si="150"/>
        <v>65</v>
      </c>
      <c r="H1622" s="12">
        <f t="shared" ca="1" si="151"/>
        <v>0</v>
      </c>
      <c r="I1622" s="13">
        <f t="shared" ca="1" si="152"/>
        <v>7</v>
      </c>
      <c r="J1622" s="14">
        <f t="shared" ca="1" si="155"/>
        <v>65</v>
      </c>
      <c r="K1622" s="12" t="s">
        <v>41</v>
      </c>
      <c r="L1622" s="15">
        <v>126</v>
      </c>
      <c r="M1622" s="25" t="s">
        <v>40</v>
      </c>
      <c r="N1622">
        <v>340</v>
      </c>
    </row>
    <row r="1623" spans="1:14">
      <c r="A1623" s="25">
        <f t="shared" si="153"/>
        <v>1619</v>
      </c>
      <c r="B1623" s="67" t="s">
        <v>20</v>
      </c>
      <c r="C1623" s="67" t="s">
        <v>294</v>
      </c>
      <c r="D1623" s="67" t="s">
        <v>292</v>
      </c>
      <c r="E1623" s="22">
        <f t="shared" ca="1" si="154"/>
        <v>40951</v>
      </c>
      <c r="F1623" s="11">
        <f>DATE(73,7,13)</f>
        <v>26858</v>
      </c>
      <c r="G1623" s="12">
        <f t="shared" ca="1" si="150"/>
        <v>39</v>
      </c>
      <c r="H1623" s="12">
        <f t="shared" ca="1" si="151"/>
        <v>-5</v>
      </c>
      <c r="I1623" s="13">
        <f t="shared" ca="1" si="152"/>
        <v>-1</v>
      </c>
      <c r="J1623" s="14">
        <f t="shared" ca="1" si="155"/>
        <v>38</v>
      </c>
      <c r="K1623" s="12" t="s">
        <v>40</v>
      </c>
      <c r="L1623" s="15">
        <v>126</v>
      </c>
      <c r="M1623" s="25" t="s">
        <v>40</v>
      </c>
      <c r="N1623">
        <v>340</v>
      </c>
    </row>
    <row r="1624" spans="1:14">
      <c r="A1624" s="25">
        <f t="shared" si="153"/>
        <v>1620</v>
      </c>
      <c r="B1624" s="67" t="s">
        <v>20</v>
      </c>
      <c r="C1624" s="67" t="s">
        <v>295</v>
      </c>
      <c r="D1624" s="67" t="s">
        <v>294</v>
      </c>
      <c r="E1624" s="22">
        <f t="shared" ca="1" si="154"/>
        <v>40951</v>
      </c>
      <c r="F1624" s="11">
        <f>DATE(76,1,25)</f>
        <v>27784</v>
      </c>
      <c r="G1624" s="12">
        <f t="shared" ca="1" si="150"/>
        <v>36</v>
      </c>
      <c r="H1624" s="12">
        <f t="shared" ca="1" si="151"/>
        <v>1</v>
      </c>
      <c r="I1624" s="13">
        <f t="shared" ca="1" si="152"/>
        <v>-13</v>
      </c>
      <c r="J1624" s="14">
        <f t="shared" ca="1" si="155"/>
        <v>36</v>
      </c>
      <c r="K1624" s="12" t="s">
        <v>41</v>
      </c>
      <c r="L1624" s="15">
        <v>126</v>
      </c>
      <c r="M1624" s="25" t="s">
        <v>40</v>
      </c>
      <c r="N1624">
        <v>340</v>
      </c>
    </row>
    <row r="1625" spans="1:14">
      <c r="A1625" s="25">
        <f t="shared" si="153"/>
        <v>1621</v>
      </c>
      <c r="B1625" s="67" t="s">
        <v>20</v>
      </c>
      <c r="C1625" s="67" t="s">
        <v>296</v>
      </c>
      <c r="D1625" s="67" t="s">
        <v>294</v>
      </c>
      <c r="E1625" s="22">
        <f t="shared" ca="1" si="154"/>
        <v>40951</v>
      </c>
      <c r="F1625" s="11">
        <f>DATE(2002,10,29)</f>
        <v>37558</v>
      </c>
      <c r="G1625" s="12">
        <f t="shared" ca="1" si="150"/>
        <v>10</v>
      </c>
      <c r="H1625" s="12">
        <f t="shared" ca="1" si="151"/>
        <v>-8</v>
      </c>
      <c r="I1625" s="13">
        <f t="shared" ca="1" si="152"/>
        <v>-17</v>
      </c>
      <c r="J1625" s="14">
        <f t="shared" ca="1" si="155"/>
        <v>9</v>
      </c>
      <c r="K1625" s="12" t="s">
        <v>41</v>
      </c>
      <c r="L1625" s="15">
        <v>126</v>
      </c>
      <c r="M1625" s="25" t="s">
        <v>44</v>
      </c>
      <c r="N1625">
        <v>340</v>
      </c>
    </row>
    <row r="1626" spans="1:14" ht="15.75" thickBot="1">
      <c r="A1626" s="26">
        <f t="shared" si="153"/>
        <v>1622</v>
      </c>
      <c r="B1626" s="67" t="s">
        <v>20</v>
      </c>
      <c r="C1626" s="68" t="s">
        <v>297</v>
      </c>
      <c r="D1626" s="68" t="s">
        <v>294</v>
      </c>
      <c r="E1626" s="23">
        <f t="shared" ca="1" si="154"/>
        <v>40951</v>
      </c>
      <c r="F1626" s="16">
        <f>DATE(2005,7,13)</f>
        <v>38546</v>
      </c>
      <c r="G1626" s="17">
        <f t="shared" ref="G1626:G1657" ca="1" si="156">YEAR(E1626)-YEAR(F1626)</f>
        <v>7</v>
      </c>
      <c r="H1626" s="17">
        <f t="shared" ref="H1626:H1657" ca="1" si="157">MONTH(E1626)-MONTH(F1626)</f>
        <v>-5</v>
      </c>
      <c r="I1626" s="18">
        <f t="shared" ref="I1626:I1657" ca="1" si="158">DAY(E1626)-DAY(F1626)</f>
        <v>-1</v>
      </c>
      <c r="J1626" s="19">
        <f t="shared" ca="1" si="155"/>
        <v>6</v>
      </c>
      <c r="K1626" s="17" t="s">
        <v>40</v>
      </c>
      <c r="L1626" s="20">
        <v>126</v>
      </c>
      <c r="M1626" s="26" t="s">
        <v>44</v>
      </c>
      <c r="N1626">
        <v>340</v>
      </c>
    </row>
    <row r="1627" spans="1:14">
      <c r="A1627" s="25">
        <f t="shared" si="153"/>
        <v>1623</v>
      </c>
      <c r="B1627" s="67" t="s">
        <v>20</v>
      </c>
      <c r="C1627" s="67" t="s">
        <v>188</v>
      </c>
      <c r="D1627" s="67" t="s">
        <v>298</v>
      </c>
      <c r="E1627" s="22">
        <f t="shared" ca="1" si="154"/>
        <v>40951</v>
      </c>
      <c r="F1627" s="11">
        <f>DATE(42,9,8)</f>
        <v>15592</v>
      </c>
      <c r="G1627" s="12">
        <f t="shared" ca="1" si="156"/>
        <v>70</v>
      </c>
      <c r="H1627" s="12">
        <f t="shared" ca="1" si="157"/>
        <v>-7</v>
      </c>
      <c r="I1627" s="13">
        <f t="shared" ca="1" si="158"/>
        <v>4</v>
      </c>
      <c r="J1627" s="14">
        <f t="shared" ca="1" si="155"/>
        <v>69</v>
      </c>
      <c r="K1627" s="12" t="s">
        <v>41</v>
      </c>
      <c r="L1627" s="15">
        <v>126</v>
      </c>
      <c r="M1627" s="25" t="s">
        <v>40</v>
      </c>
      <c r="N1627">
        <v>341</v>
      </c>
    </row>
    <row r="1628" spans="1:14">
      <c r="A1628" s="25">
        <f t="shared" si="153"/>
        <v>1624</v>
      </c>
      <c r="B1628" s="67" t="s">
        <v>20</v>
      </c>
      <c r="C1628" s="67" t="s">
        <v>299</v>
      </c>
      <c r="D1628" s="67" t="s">
        <v>298</v>
      </c>
      <c r="E1628" s="22">
        <f t="shared" ca="1" si="154"/>
        <v>40951</v>
      </c>
      <c r="F1628" s="11">
        <f>DATE(66,6,4)</f>
        <v>24262</v>
      </c>
      <c r="G1628" s="12">
        <f t="shared" ca="1" si="156"/>
        <v>46</v>
      </c>
      <c r="H1628" s="12">
        <f t="shared" ca="1" si="157"/>
        <v>-4</v>
      </c>
      <c r="I1628" s="13">
        <f t="shared" ca="1" si="158"/>
        <v>8</v>
      </c>
      <c r="J1628" s="14">
        <f t="shared" ca="1" si="155"/>
        <v>45</v>
      </c>
      <c r="K1628" s="12" t="s">
        <v>40</v>
      </c>
      <c r="L1628" s="15">
        <v>126</v>
      </c>
      <c r="M1628" s="25" t="s">
        <v>40</v>
      </c>
      <c r="N1628">
        <v>341</v>
      </c>
    </row>
    <row r="1629" spans="1:14">
      <c r="A1629" s="25">
        <f t="shared" si="153"/>
        <v>1625</v>
      </c>
      <c r="B1629" s="67" t="s">
        <v>20</v>
      </c>
      <c r="C1629" s="67" t="s">
        <v>192</v>
      </c>
      <c r="D1629" s="67" t="s">
        <v>299</v>
      </c>
      <c r="E1629" s="22">
        <f t="shared" ca="1" si="154"/>
        <v>40951</v>
      </c>
      <c r="F1629" s="11">
        <f>DATE(71,1,13)</f>
        <v>25946</v>
      </c>
      <c r="G1629" s="12">
        <f t="shared" ca="1" si="156"/>
        <v>41</v>
      </c>
      <c r="H1629" s="12">
        <f t="shared" ca="1" si="157"/>
        <v>1</v>
      </c>
      <c r="I1629" s="13">
        <f t="shared" ca="1" si="158"/>
        <v>-1</v>
      </c>
      <c r="J1629" s="14">
        <f t="shared" ca="1" si="155"/>
        <v>41</v>
      </c>
      <c r="K1629" s="12" t="s">
        <v>41</v>
      </c>
      <c r="L1629" s="15">
        <v>126</v>
      </c>
      <c r="M1629" s="25" t="s">
        <v>40</v>
      </c>
      <c r="N1629">
        <v>341</v>
      </c>
    </row>
    <row r="1630" spans="1:14">
      <c r="A1630" s="25">
        <f t="shared" ref="A1630:A1657" si="159">A1629+1</f>
        <v>1626</v>
      </c>
      <c r="B1630" s="67" t="s">
        <v>20</v>
      </c>
      <c r="C1630" s="67" t="s">
        <v>63</v>
      </c>
      <c r="D1630" s="67" t="s">
        <v>299</v>
      </c>
      <c r="E1630" s="22">
        <f t="shared" ca="1" si="154"/>
        <v>40951</v>
      </c>
      <c r="F1630" s="11">
        <f>DATE(93,9,17)</f>
        <v>34229</v>
      </c>
      <c r="G1630" s="12">
        <f t="shared" ca="1" si="156"/>
        <v>19</v>
      </c>
      <c r="H1630" s="12">
        <f t="shared" ca="1" si="157"/>
        <v>-7</v>
      </c>
      <c r="I1630" s="13">
        <f t="shared" ca="1" si="158"/>
        <v>-5</v>
      </c>
      <c r="J1630" s="14">
        <f t="shared" ca="1" si="155"/>
        <v>18</v>
      </c>
      <c r="K1630" s="12" t="s">
        <v>40</v>
      </c>
      <c r="L1630" s="15">
        <v>126</v>
      </c>
      <c r="M1630" s="25" t="s">
        <v>44</v>
      </c>
      <c r="N1630">
        <v>341</v>
      </c>
    </row>
    <row r="1631" spans="1:14" ht="15.75" thickBot="1">
      <c r="A1631" s="26">
        <f t="shared" si="159"/>
        <v>1627</v>
      </c>
      <c r="B1631" s="67" t="s">
        <v>20</v>
      </c>
      <c r="C1631" s="68" t="s">
        <v>300</v>
      </c>
      <c r="D1631" s="68" t="s">
        <v>299</v>
      </c>
      <c r="E1631" s="23">
        <f t="shared" ca="1" si="154"/>
        <v>40951</v>
      </c>
      <c r="F1631" s="16">
        <f>DATE(94,9,27)</f>
        <v>34604</v>
      </c>
      <c r="G1631" s="17">
        <f t="shared" ca="1" si="156"/>
        <v>18</v>
      </c>
      <c r="H1631" s="17">
        <f t="shared" ca="1" si="157"/>
        <v>-7</v>
      </c>
      <c r="I1631" s="18">
        <f t="shared" ca="1" si="158"/>
        <v>-15</v>
      </c>
      <c r="J1631" s="19">
        <f t="shared" ca="1" si="155"/>
        <v>17</v>
      </c>
      <c r="K1631" s="17" t="s">
        <v>41</v>
      </c>
      <c r="L1631" s="20">
        <v>126</v>
      </c>
      <c r="M1631" s="26" t="s">
        <v>44</v>
      </c>
      <c r="N1631">
        <v>341</v>
      </c>
    </row>
    <row r="1632" spans="1:14">
      <c r="A1632" s="25">
        <f t="shared" si="159"/>
        <v>1628</v>
      </c>
      <c r="B1632" s="67" t="s">
        <v>20</v>
      </c>
      <c r="C1632" s="67" t="s">
        <v>301</v>
      </c>
      <c r="D1632" s="67" t="s">
        <v>298</v>
      </c>
      <c r="E1632" s="22">
        <f t="shared" ca="1" si="154"/>
        <v>40951</v>
      </c>
      <c r="F1632" s="11">
        <f>DATE(71,12,13)</f>
        <v>26280</v>
      </c>
      <c r="G1632" s="12">
        <f t="shared" ca="1" si="156"/>
        <v>41</v>
      </c>
      <c r="H1632" s="12">
        <f t="shared" ca="1" si="157"/>
        <v>-10</v>
      </c>
      <c r="I1632" s="13">
        <f t="shared" ca="1" si="158"/>
        <v>-1</v>
      </c>
      <c r="J1632" s="14">
        <f t="shared" ca="1" si="155"/>
        <v>40</v>
      </c>
      <c r="K1632" s="12" t="s">
        <v>40</v>
      </c>
      <c r="L1632" s="15">
        <v>126</v>
      </c>
      <c r="M1632" s="25" t="s">
        <v>40</v>
      </c>
      <c r="N1632">
        <v>342</v>
      </c>
    </row>
    <row r="1633" spans="1:14">
      <c r="A1633" s="25">
        <f t="shared" si="159"/>
        <v>1629</v>
      </c>
      <c r="B1633" s="67" t="s">
        <v>20</v>
      </c>
      <c r="C1633" s="67" t="s">
        <v>302</v>
      </c>
      <c r="D1633" s="67" t="s">
        <v>301</v>
      </c>
      <c r="E1633" s="22">
        <f t="shared" ca="1" si="154"/>
        <v>40951</v>
      </c>
      <c r="F1633" s="11">
        <f>DATE(74,2,20)</f>
        <v>27080</v>
      </c>
      <c r="G1633" s="12">
        <f t="shared" ca="1" si="156"/>
        <v>38</v>
      </c>
      <c r="H1633" s="12">
        <f t="shared" ca="1" si="157"/>
        <v>0</v>
      </c>
      <c r="I1633" s="13">
        <f t="shared" ca="1" si="158"/>
        <v>-8</v>
      </c>
      <c r="J1633" s="14">
        <f t="shared" ca="1" si="155"/>
        <v>37</v>
      </c>
      <c r="K1633" s="12" t="s">
        <v>41</v>
      </c>
      <c r="L1633" s="15">
        <v>126</v>
      </c>
      <c r="M1633" s="25" t="s">
        <v>40</v>
      </c>
      <c r="N1633">
        <v>342</v>
      </c>
    </row>
    <row r="1634" spans="1:14" ht="15.75" thickBot="1">
      <c r="A1634" s="26">
        <f t="shared" si="159"/>
        <v>1630</v>
      </c>
      <c r="B1634" s="67" t="s">
        <v>20</v>
      </c>
      <c r="C1634" s="68" t="s">
        <v>303</v>
      </c>
      <c r="D1634" s="68" t="s">
        <v>301</v>
      </c>
      <c r="E1634" s="23">
        <f t="shared" ca="1" si="154"/>
        <v>40951</v>
      </c>
      <c r="F1634" s="16">
        <f>DATE(98,8,7)</f>
        <v>36014</v>
      </c>
      <c r="G1634" s="17">
        <f t="shared" ca="1" si="156"/>
        <v>14</v>
      </c>
      <c r="H1634" s="17">
        <f t="shared" ca="1" si="157"/>
        <v>-6</v>
      </c>
      <c r="I1634" s="18">
        <f t="shared" ca="1" si="158"/>
        <v>5</v>
      </c>
      <c r="J1634" s="19">
        <f t="shared" ca="1" si="155"/>
        <v>13</v>
      </c>
      <c r="K1634" s="17" t="s">
        <v>41</v>
      </c>
      <c r="L1634" s="20">
        <v>126</v>
      </c>
      <c r="M1634" s="26" t="s">
        <v>44</v>
      </c>
      <c r="N1634">
        <v>342</v>
      </c>
    </row>
    <row r="1635" spans="1:14" ht="15.75" thickBot="1">
      <c r="A1635" s="26">
        <f t="shared" si="159"/>
        <v>1631</v>
      </c>
      <c r="B1635" s="67" t="s">
        <v>20</v>
      </c>
      <c r="C1635" s="68" t="s">
        <v>266</v>
      </c>
      <c r="D1635" s="68" t="s">
        <v>291</v>
      </c>
      <c r="E1635" s="23">
        <f t="shared" ca="1" si="154"/>
        <v>40951</v>
      </c>
      <c r="F1635" s="16">
        <f>DATE(57,3,9)</f>
        <v>20888</v>
      </c>
      <c r="G1635" s="17">
        <f t="shared" ca="1" si="156"/>
        <v>55</v>
      </c>
      <c r="H1635" s="17">
        <f t="shared" ca="1" si="157"/>
        <v>-1</v>
      </c>
      <c r="I1635" s="18">
        <f t="shared" ca="1" si="158"/>
        <v>3</v>
      </c>
      <c r="J1635" s="19">
        <f t="shared" ca="1" si="155"/>
        <v>54</v>
      </c>
      <c r="K1635" s="17" t="s">
        <v>40</v>
      </c>
      <c r="L1635" s="20">
        <v>126</v>
      </c>
      <c r="M1635" s="26" t="s">
        <v>44</v>
      </c>
      <c r="N1635">
        <v>343</v>
      </c>
    </row>
    <row r="1636" spans="1:14">
      <c r="A1636" s="25">
        <f t="shared" si="159"/>
        <v>1632</v>
      </c>
      <c r="B1636" s="67" t="s">
        <v>20</v>
      </c>
      <c r="C1636" s="67" t="s">
        <v>136</v>
      </c>
      <c r="D1636" s="67" t="s">
        <v>282</v>
      </c>
      <c r="E1636" s="22">
        <f t="shared" ca="1" si="154"/>
        <v>40951</v>
      </c>
      <c r="F1636" s="11">
        <f>DATE(28,9,1)</f>
        <v>10472</v>
      </c>
      <c r="G1636" s="12">
        <f t="shared" ca="1" si="156"/>
        <v>84</v>
      </c>
      <c r="H1636" s="12">
        <f t="shared" ca="1" si="157"/>
        <v>-7</v>
      </c>
      <c r="I1636" s="13">
        <f t="shared" ca="1" si="158"/>
        <v>11</v>
      </c>
      <c r="J1636" s="14">
        <f t="shared" ca="1" si="155"/>
        <v>83</v>
      </c>
      <c r="K1636" s="12" t="s">
        <v>40</v>
      </c>
      <c r="L1636" s="15">
        <v>127</v>
      </c>
      <c r="M1636" s="25" t="s">
        <v>40</v>
      </c>
      <c r="N1636">
        <v>344</v>
      </c>
    </row>
    <row r="1637" spans="1:14">
      <c r="A1637" s="25">
        <f t="shared" si="159"/>
        <v>1633</v>
      </c>
      <c r="B1637" s="67" t="s">
        <v>20</v>
      </c>
      <c r="C1637" s="67" t="s">
        <v>283</v>
      </c>
      <c r="D1637" s="67" t="s">
        <v>136</v>
      </c>
      <c r="E1637" s="22">
        <f t="shared" ref="E1637:E1657" ca="1" si="160">TODAY()</f>
        <v>40951</v>
      </c>
      <c r="F1637" s="11">
        <f>DATE(33,11,2)</f>
        <v>12360</v>
      </c>
      <c r="G1637" s="12">
        <f t="shared" ca="1" si="156"/>
        <v>79</v>
      </c>
      <c r="H1637" s="12">
        <f t="shared" ca="1" si="157"/>
        <v>-9</v>
      </c>
      <c r="I1637" s="13">
        <f t="shared" ca="1" si="158"/>
        <v>10</v>
      </c>
      <c r="J1637" s="14">
        <f t="shared" ca="1" si="155"/>
        <v>78</v>
      </c>
      <c r="K1637" s="12" t="s">
        <v>41</v>
      </c>
      <c r="L1637" s="15">
        <v>127</v>
      </c>
      <c r="M1637" s="25" t="s">
        <v>40</v>
      </c>
      <c r="N1637">
        <v>344</v>
      </c>
    </row>
    <row r="1638" spans="1:14">
      <c r="A1638" s="25">
        <f t="shared" si="159"/>
        <v>1634</v>
      </c>
      <c r="B1638" s="67" t="s">
        <v>20</v>
      </c>
      <c r="C1638" s="67" t="s">
        <v>284</v>
      </c>
      <c r="D1638" s="67" t="s">
        <v>136</v>
      </c>
      <c r="E1638" s="22">
        <f t="shared" ca="1" si="160"/>
        <v>40951</v>
      </c>
      <c r="F1638" s="11">
        <f>DATE(55,10,26)</f>
        <v>20388</v>
      </c>
      <c r="G1638" s="12">
        <f t="shared" ca="1" si="156"/>
        <v>57</v>
      </c>
      <c r="H1638" s="12">
        <f t="shared" ca="1" si="157"/>
        <v>-8</v>
      </c>
      <c r="I1638" s="13">
        <f t="shared" ca="1" si="158"/>
        <v>-14</v>
      </c>
      <c r="J1638" s="14">
        <f t="shared" ca="1" si="155"/>
        <v>56</v>
      </c>
      <c r="K1638" s="12" t="s">
        <v>40</v>
      </c>
      <c r="L1638" s="15">
        <v>127</v>
      </c>
      <c r="M1638" s="25" t="s">
        <v>40</v>
      </c>
      <c r="N1638">
        <v>344</v>
      </c>
    </row>
    <row r="1639" spans="1:14">
      <c r="A1639" s="25">
        <f t="shared" si="159"/>
        <v>1635</v>
      </c>
      <c r="B1639" s="67" t="s">
        <v>20</v>
      </c>
      <c r="C1639" s="67" t="s">
        <v>84</v>
      </c>
      <c r="D1639" s="67" t="s">
        <v>284</v>
      </c>
      <c r="E1639" s="22">
        <f t="shared" ca="1" si="160"/>
        <v>40951</v>
      </c>
      <c r="F1639" s="11">
        <f>DATE(60,12,17)</f>
        <v>22267</v>
      </c>
      <c r="G1639" s="12">
        <f t="shared" ca="1" si="156"/>
        <v>52</v>
      </c>
      <c r="H1639" s="12">
        <f t="shared" ca="1" si="157"/>
        <v>-10</v>
      </c>
      <c r="I1639" s="13">
        <f t="shared" ca="1" si="158"/>
        <v>-5</v>
      </c>
      <c r="J1639" s="14">
        <f t="shared" ca="1" si="155"/>
        <v>51</v>
      </c>
      <c r="K1639" s="12" t="s">
        <v>41</v>
      </c>
      <c r="L1639" s="15">
        <v>127</v>
      </c>
      <c r="M1639" s="25" t="s">
        <v>40</v>
      </c>
      <c r="N1639">
        <v>344</v>
      </c>
    </row>
    <row r="1640" spans="1:14">
      <c r="A1640" s="25">
        <f t="shared" si="159"/>
        <v>1636</v>
      </c>
      <c r="B1640" s="67" t="s">
        <v>20</v>
      </c>
      <c r="C1640" s="67" t="s">
        <v>84</v>
      </c>
      <c r="D1640" s="67" t="s">
        <v>284</v>
      </c>
      <c r="E1640" s="22">
        <f t="shared" ca="1" si="160"/>
        <v>40951</v>
      </c>
      <c r="F1640" s="11">
        <f>DATE(84,9,28)</f>
        <v>30953</v>
      </c>
      <c r="G1640" s="12">
        <f t="shared" ca="1" si="156"/>
        <v>28</v>
      </c>
      <c r="H1640" s="12">
        <f t="shared" ca="1" si="157"/>
        <v>-7</v>
      </c>
      <c r="I1640" s="13">
        <f t="shared" ca="1" si="158"/>
        <v>-16</v>
      </c>
      <c r="J1640" s="14">
        <f t="shared" ca="1" si="155"/>
        <v>27</v>
      </c>
      <c r="K1640" s="12" t="s">
        <v>41</v>
      </c>
      <c r="L1640" s="15">
        <v>127</v>
      </c>
      <c r="M1640" s="25" t="s">
        <v>44</v>
      </c>
      <c r="N1640">
        <v>344</v>
      </c>
    </row>
    <row r="1641" spans="1:14" ht="15.75" thickBot="1">
      <c r="A1641" s="26">
        <f t="shared" si="159"/>
        <v>1637</v>
      </c>
      <c r="B1641" s="67" t="s">
        <v>20</v>
      </c>
      <c r="C1641" s="68" t="s">
        <v>176</v>
      </c>
      <c r="D1641" s="68" t="s">
        <v>284</v>
      </c>
      <c r="E1641" s="23">
        <f t="shared" ca="1" si="160"/>
        <v>40951</v>
      </c>
      <c r="F1641" s="16">
        <f>DATE(88,4,29)</f>
        <v>32262</v>
      </c>
      <c r="G1641" s="17">
        <f t="shared" ca="1" si="156"/>
        <v>24</v>
      </c>
      <c r="H1641" s="17">
        <f t="shared" ca="1" si="157"/>
        <v>-2</v>
      </c>
      <c r="I1641" s="18">
        <f t="shared" ca="1" si="158"/>
        <v>-17</v>
      </c>
      <c r="J1641" s="19">
        <f t="shared" ca="1" si="155"/>
        <v>23</v>
      </c>
      <c r="K1641" s="17" t="s">
        <v>40</v>
      </c>
      <c r="L1641" s="20">
        <v>127</v>
      </c>
      <c r="M1641" s="26" t="s">
        <v>44</v>
      </c>
      <c r="N1641">
        <v>344</v>
      </c>
    </row>
    <row r="1642" spans="1:14">
      <c r="A1642" s="25">
        <f t="shared" si="159"/>
        <v>1638</v>
      </c>
      <c r="B1642" s="67" t="s">
        <v>20</v>
      </c>
      <c r="C1642" s="67" t="s">
        <v>285</v>
      </c>
      <c r="D1642" s="67" t="s">
        <v>286</v>
      </c>
      <c r="E1642" s="22">
        <f t="shared" ca="1" si="160"/>
        <v>40951</v>
      </c>
      <c r="F1642" s="11">
        <f>DATE(39,4,5)</f>
        <v>14340</v>
      </c>
      <c r="G1642" s="12">
        <f t="shared" ca="1" si="156"/>
        <v>73</v>
      </c>
      <c r="H1642" s="12">
        <f t="shared" ca="1" si="157"/>
        <v>-2</v>
      </c>
      <c r="I1642" s="13">
        <f t="shared" ca="1" si="158"/>
        <v>7</v>
      </c>
      <c r="J1642" s="14">
        <f t="shared" ca="1" si="155"/>
        <v>72</v>
      </c>
      <c r="K1642" s="12" t="s">
        <v>40</v>
      </c>
      <c r="L1642" s="15">
        <v>127</v>
      </c>
      <c r="M1642" s="25" t="s">
        <v>40</v>
      </c>
      <c r="N1642">
        <v>345</v>
      </c>
    </row>
    <row r="1643" spans="1:14">
      <c r="A1643" s="25">
        <f t="shared" si="159"/>
        <v>1639</v>
      </c>
      <c r="B1643" s="67" t="s">
        <v>20</v>
      </c>
      <c r="C1643" s="67" t="s">
        <v>287</v>
      </c>
      <c r="D1643" s="67" t="s">
        <v>285</v>
      </c>
      <c r="E1643" s="22">
        <f t="shared" ca="1" si="160"/>
        <v>40951</v>
      </c>
      <c r="F1643" s="11">
        <f>DATE(48,1,15)</f>
        <v>17547</v>
      </c>
      <c r="G1643" s="12">
        <f t="shared" ca="1" si="156"/>
        <v>64</v>
      </c>
      <c r="H1643" s="12">
        <f t="shared" ca="1" si="157"/>
        <v>1</v>
      </c>
      <c r="I1643" s="13">
        <f t="shared" ca="1" si="158"/>
        <v>-3</v>
      </c>
      <c r="J1643" s="14">
        <f t="shared" ca="1" si="155"/>
        <v>64</v>
      </c>
      <c r="K1643" s="12" t="s">
        <v>41</v>
      </c>
      <c r="L1643" s="15">
        <v>127</v>
      </c>
      <c r="M1643" s="25" t="s">
        <v>40</v>
      </c>
      <c r="N1643">
        <v>345</v>
      </c>
    </row>
    <row r="1644" spans="1:14">
      <c r="A1644" s="25">
        <f t="shared" si="159"/>
        <v>1640</v>
      </c>
      <c r="B1644" s="67" t="s">
        <v>20</v>
      </c>
      <c r="C1644" s="67" t="s">
        <v>135</v>
      </c>
      <c r="D1644" s="67" t="s">
        <v>285</v>
      </c>
      <c r="E1644" s="22">
        <f t="shared" ca="1" si="160"/>
        <v>40951</v>
      </c>
      <c r="F1644" s="11">
        <f>DATE(70,3,21)</f>
        <v>25648</v>
      </c>
      <c r="G1644" s="12">
        <f t="shared" ca="1" si="156"/>
        <v>42</v>
      </c>
      <c r="H1644" s="12">
        <f t="shared" ca="1" si="157"/>
        <v>-1</v>
      </c>
      <c r="I1644" s="13">
        <f t="shared" ca="1" si="158"/>
        <v>-9</v>
      </c>
      <c r="J1644" s="14">
        <f t="shared" ca="1" si="155"/>
        <v>41</v>
      </c>
      <c r="K1644" s="12" t="s">
        <v>40</v>
      </c>
      <c r="L1644" s="15">
        <v>127</v>
      </c>
      <c r="M1644" s="25" t="s">
        <v>40</v>
      </c>
      <c r="N1644">
        <v>345</v>
      </c>
    </row>
    <row r="1645" spans="1:14">
      <c r="A1645" s="25">
        <f t="shared" si="159"/>
        <v>1641</v>
      </c>
      <c r="B1645" s="67" t="s">
        <v>20</v>
      </c>
      <c r="C1645" s="67" t="s">
        <v>288</v>
      </c>
      <c r="D1645" s="67" t="s">
        <v>135</v>
      </c>
      <c r="E1645" s="22">
        <f t="shared" ca="1" si="160"/>
        <v>40951</v>
      </c>
      <c r="F1645" s="11">
        <f>DATE(77,5,1)</f>
        <v>28246</v>
      </c>
      <c r="G1645" s="12">
        <f t="shared" ca="1" si="156"/>
        <v>35</v>
      </c>
      <c r="H1645" s="12">
        <f t="shared" ca="1" si="157"/>
        <v>-3</v>
      </c>
      <c r="I1645" s="13">
        <f t="shared" ca="1" si="158"/>
        <v>11</v>
      </c>
      <c r="J1645" s="14">
        <f t="shared" ca="1" si="155"/>
        <v>34</v>
      </c>
      <c r="K1645" s="12" t="s">
        <v>41</v>
      </c>
      <c r="L1645" s="15">
        <v>127</v>
      </c>
      <c r="M1645" s="25" t="s">
        <v>40</v>
      </c>
      <c r="N1645">
        <v>345</v>
      </c>
    </row>
    <row r="1646" spans="1:14">
      <c r="A1646" s="25">
        <f t="shared" si="159"/>
        <v>1642</v>
      </c>
      <c r="B1646" s="67" t="s">
        <v>20</v>
      </c>
      <c r="C1646" s="67" t="s">
        <v>289</v>
      </c>
      <c r="D1646" s="67" t="s">
        <v>135</v>
      </c>
      <c r="E1646" s="22">
        <f t="shared" ca="1" si="160"/>
        <v>40951</v>
      </c>
      <c r="F1646" s="11">
        <f>DATE(2000,10,17)</f>
        <v>36816</v>
      </c>
      <c r="G1646" s="12">
        <f t="shared" ca="1" si="156"/>
        <v>12</v>
      </c>
      <c r="H1646" s="12">
        <f t="shared" ca="1" si="157"/>
        <v>-8</v>
      </c>
      <c r="I1646" s="13">
        <f t="shared" ca="1" si="158"/>
        <v>-5</v>
      </c>
      <c r="J1646" s="14">
        <f t="shared" ca="1" si="155"/>
        <v>11</v>
      </c>
      <c r="K1646" s="12" t="s">
        <v>41</v>
      </c>
      <c r="L1646" s="15">
        <v>127</v>
      </c>
      <c r="M1646" s="25" t="s">
        <v>44</v>
      </c>
      <c r="N1646">
        <v>345</v>
      </c>
    </row>
    <row r="1647" spans="1:14" ht="15.75" thickBot="1">
      <c r="A1647" s="26">
        <f t="shared" si="159"/>
        <v>1643</v>
      </c>
      <c r="B1647" s="67" t="s">
        <v>20</v>
      </c>
      <c r="C1647" s="68" t="s">
        <v>290</v>
      </c>
      <c r="D1647" s="68" t="s">
        <v>135</v>
      </c>
      <c r="E1647" s="23">
        <f t="shared" ca="1" si="160"/>
        <v>40951</v>
      </c>
      <c r="F1647" s="16">
        <f>DATE(2004,7,27)</f>
        <v>38195</v>
      </c>
      <c r="G1647" s="17">
        <f t="shared" ca="1" si="156"/>
        <v>8</v>
      </c>
      <c r="H1647" s="17">
        <f t="shared" ca="1" si="157"/>
        <v>-5</v>
      </c>
      <c r="I1647" s="18">
        <f t="shared" ca="1" si="158"/>
        <v>-15</v>
      </c>
      <c r="J1647" s="19">
        <f t="shared" ca="1" si="155"/>
        <v>7</v>
      </c>
      <c r="K1647" s="17" t="s">
        <v>41</v>
      </c>
      <c r="L1647" s="20">
        <v>127</v>
      </c>
      <c r="M1647" s="26" t="s">
        <v>44</v>
      </c>
      <c r="N1647">
        <v>345</v>
      </c>
    </row>
    <row r="1648" spans="1:14">
      <c r="A1648" s="25">
        <f t="shared" si="159"/>
        <v>1644</v>
      </c>
      <c r="B1648" s="67" t="s">
        <v>0</v>
      </c>
      <c r="C1648" s="67" t="s">
        <v>272</v>
      </c>
      <c r="D1648" s="67" t="s">
        <v>273</v>
      </c>
      <c r="E1648" s="22">
        <f t="shared" ca="1" si="160"/>
        <v>40951</v>
      </c>
      <c r="F1648" s="11">
        <f>DATE(45,10,9)</f>
        <v>16719</v>
      </c>
      <c r="G1648" s="12">
        <f t="shared" ca="1" si="156"/>
        <v>67</v>
      </c>
      <c r="H1648" s="12">
        <f t="shared" ca="1" si="157"/>
        <v>-8</v>
      </c>
      <c r="I1648" s="13">
        <f t="shared" ca="1" si="158"/>
        <v>3</v>
      </c>
      <c r="J1648" s="14">
        <f t="shared" ca="1" si="155"/>
        <v>66</v>
      </c>
      <c r="K1648" s="12" t="s">
        <v>40</v>
      </c>
      <c r="L1648" s="15">
        <v>128</v>
      </c>
      <c r="M1648" s="25" t="s">
        <v>40</v>
      </c>
      <c r="N1648">
        <v>346</v>
      </c>
    </row>
    <row r="1649" spans="1:14">
      <c r="A1649" s="25">
        <f t="shared" si="159"/>
        <v>1645</v>
      </c>
      <c r="B1649" s="67" t="s">
        <v>0</v>
      </c>
      <c r="C1649" s="67" t="s">
        <v>226</v>
      </c>
      <c r="D1649" s="67" t="s">
        <v>272</v>
      </c>
      <c r="E1649" s="22">
        <f t="shared" ca="1" si="160"/>
        <v>40951</v>
      </c>
      <c r="F1649" s="11">
        <f>DATE(45,5,10)</f>
        <v>16567</v>
      </c>
      <c r="G1649" s="12">
        <f t="shared" ca="1" si="156"/>
        <v>67</v>
      </c>
      <c r="H1649" s="12">
        <f t="shared" ca="1" si="157"/>
        <v>-3</v>
      </c>
      <c r="I1649" s="13">
        <f t="shared" ca="1" si="158"/>
        <v>2</v>
      </c>
      <c r="J1649" s="14">
        <f t="shared" ca="1" si="155"/>
        <v>66</v>
      </c>
      <c r="K1649" s="12" t="s">
        <v>41</v>
      </c>
      <c r="L1649" s="15">
        <v>128</v>
      </c>
      <c r="M1649" s="25" t="s">
        <v>40</v>
      </c>
      <c r="N1649">
        <v>346</v>
      </c>
    </row>
    <row r="1650" spans="1:14">
      <c r="A1650" s="25">
        <f t="shared" si="159"/>
        <v>1646</v>
      </c>
      <c r="B1650" s="67" t="s">
        <v>0</v>
      </c>
      <c r="C1650" s="67" t="s">
        <v>274</v>
      </c>
      <c r="D1650" s="67" t="s">
        <v>272</v>
      </c>
      <c r="E1650" s="22">
        <f t="shared" ca="1" si="160"/>
        <v>40951</v>
      </c>
      <c r="F1650" s="11">
        <f>DATE(76,2,29)</f>
        <v>27819</v>
      </c>
      <c r="G1650" s="12">
        <f t="shared" ca="1" si="156"/>
        <v>36</v>
      </c>
      <c r="H1650" s="12">
        <f t="shared" ca="1" si="157"/>
        <v>0</v>
      </c>
      <c r="I1650" s="13">
        <f t="shared" ca="1" si="158"/>
        <v>-17</v>
      </c>
      <c r="J1650" s="14">
        <f t="shared" ca="1" si="155"/>
        <v>35</v>
      </c>
      <c r="K1650" s="12" t="s">
        <v>40</v>
      </c>
      <c r="L1650" s="15">
        <v>128</v>
      </c>
      <c r="M1650" s="25" t="s">
        <v>40</v>
      </c>
      <c r="N1650">
        <v>346</v>
      </c>
    </row>
    <row r="1651" spans="1:14">
      <c r="A1651" s="25">
        <f t="shared" si="159"/>
        <v>1647</v>
      </c>
      <c r="B1651" s="67" t="s">
        <v>0</v>
      </c>
      <c r="C1651" s="67" t="s">
        <v>275</v>
      </c>
      <c r="D1651" s="67" t="s">
        <v>274</v>
      </c>
      <c r="E1651" s="22">
        <f t="shared" ca="1" si="160"/>
        <v>40951</v>
      </c>
      <c r="F1651" s="11">
        <f>DATE(79,12,15)</f>
        <v>29204</v>
      </c>
      <c r="G1651" s="12">
        <f t="shared" ca="1" si="156"/>
        <v>33</v>
      </c>
      <c r="H1651" s="12">
        <f t="shared" ca="1" si="157"/>
        <v>-10</v>
      </c>
      <c r="I1651" s="13">
        <f t="shared" ca="1" si="158"/>
        <v>-3</v>
      </c>
      <c r="J1651" s="14">
        <f t="shared" ca="1" si="155"/>
        <v>32</v>
      </c>
      <c r="K1651" s="12" t="s">
        <v>41</v>
      </c>
      <c r="L1651" s="15">
        <v>128</v>
      </c>
      <c r="M1651" s="25" t="s">
        <v>40</v>
      </c>
      <c r="N1651">
        <v>346</v>
      </c>
    </row>
    <row r="1652" spans="1:14" ht="15.75" thickBot="1">
      <c r="A1652" s="26">
        <f t="shared" si="159"/>
        <v>1648</v>
      </c>
      <c r="B1652" s="68" t="s">
        <v>0</v>
      </c>
      <c r="C1652" s="68" t="s">
        <v>276</v>
      </c>
      <c r="D1652" s="68" t="s">
        <v>274</v>
      </c>
      <c r="E1652" s="23">
        <f t="shared" ca="1" si="160"/>
        <v>40951</v>
      </c>
      <c r="F1652" s="16">
        <f>DATE(2002,11,12)</f>
        <v>37572</v>
      </c>
      <c r="G1652" s="17">
        <f t="shared" ca="1" si="156"/>
        <v>10</v>
      </c>
      <c r="H1652" s="17">
        <f t="shared" ca="1" si="157"/>
        <v>-9</v>
      </c>
      <c r="I1652" s="18">
        <f t="shared" ca="1" si="158"/>
        <v>0</v>
      </c>
      <c r="J1652" s="19">
        <f t="shared" ca="1" si="155"/>
        <v>9</v>
      </c>
      <c r="K1652" s="17" t="s">
        <v>40</v>
      </c>
      <c r="L1652" s="20">
        <v>128</v>
      </c>
      <c r="M1652" s="26" t="s">
        <v>44</v>
      </c>
      <c r="N1652">
        <v>346</v>
      </c>
    </row>
    <row r="1653" spans="1:14">
      <c r="A1653" s="25">
        <f t="shared" si="159"/>
        <v>1649</v>
      </c>
      <c r="B1653" s="67" t="s">
        <v>0</v>
      </c>
      <c r="C1653" s="67" t="s">
        <v>277</v>
      </c>
      <c r="D1653" s="67" t="s">
        <v>278</v>
      </c>
      <c r="E1653" s="22">
        <f t="shared" ca="1" si="160"/>
        <v>40951</v>
      </c>
      <c r="F1653" s="11">
        <f>DATE(63,4,30)</f>
        <v>23131</v>
      </c>
      <c r="G1653" s="12">
        <f t="shared" ca="1" si="156"/>
        <v>49</v>
      </c>
      <c r="H1653" s="12">
        <f t="shared" ca="1" si="157"/>
        <v>-2</v>
      </c>
      <c r="I1653" s="13">
        <f t="shared" ca="1" si="158"/>
        <v>-18</v>
      </c>
      <c r="J1653" s="14">
        <f t="shared" ca="1" si="155"/>
        <v>48</v>
      </c>
      <c r="K1653" s="12" t="s">
        <v>40</v>
      </c>
      <c r="L1653" s="15">
        <v>128</v>
      </c>
      <c r="M1653" s="25" t="s">
        <v>40</v>
      </c>
      <c r="N1653">
        <v>347</v>
      </c>
    </row>
    <row r="1654" spans="1:14">
      <c r="A1654" s="25">
        <f t="shared" si="159"/>
        <v>1650</v>
      </c>
      <c r="B1654" s="67" t="s">
        <v>0</v>
      </c>
      <c r="C1654" s="67" t="s">
        <v>279</v>
      </c>
      <c r="D1654" s="67" t="s">
        <v>277</v>
      </c>
      <c r="E1654" s="22">
        <f t="shared" ca="1" si="160"/>
        <v>40951</v>
      </c>
      <c r="F1654" s="32"/>
      <c r="G1654" s="12">
        <f t="shared" ca="1" si="156"/>
        <v>112</v>
      </c>
      <c r="H1654" s="12">
        <f t="shared" ca="1" si="157"/>
        <v>1</v>
      </c>
      <c r="I1654" s="13">
        <f t="shared" ca="1" si="158"/>
        <v>12</v>
      </c>
      <c r="J1654" s="14">
        <f t="shared" ca="1" si="155"/>
        <v>112</v>
      </c>
      <c r="K1654" s="12" t="s">
        <v>41</v>
      </c>
      <c r="L1654" s="15">
        <v>128</v>
      </c>
      <c r="M1654" s="25" t="s">
        <v>40</v>
      </c>
      <c r="N1654">
        <v>347</v>
      </c>
    </row>
    <row r="1655" spans="1:14">
      <c r="A1655" s="25">
        <f t="shared" si="159"/>
        <v>1651</v>
      </c>
      <c r="B1655" s="67" t="s">
        <v>0</v>
      </c>
      <c r="C1655" s="67" t="s">
        <v>280</v>
      </c>
      <c r="D1655" s="67" t="s">
        <v>277</v>
      </c>
      <c r="E1655" s="22">
        <f t="shared" ca="1" si="160"/>
        <v>40951</v>
      </c>
      <c r="F1655" s="32"/>
      <c r="G1655" s="12">
        <f t="shared" ca="1" si="156"/>
        <v>112</v>
      </c>
      <c r="H1655" s="12">
        <f t="shared" ca="1" si="157"/>
        <v>1</v>
      </c>
      <c r="I1655" s="13">
        <f t="shared" ca="1" si="158"/>
        <v>12</v>
      </c>
      <c r="J1655" s="14">
        <f t="shared" ca="1" si="155"/>
        <v>112</v>
      </c>
      <c r="K1655" s="12" t="s">
        <v>41</v>
      </c>
      <c r="L1655" s="15">
        <v>128</v>
      </c>
      <c r="M1655" s="25" t="s">
        <v>40</v>
      </c>
      <c r="N1655">
        <v>347</v>
      </c>
    </row>
    <row r="1656" spans="1:14">
      <c r="A1656" s="25">
        <f t="shared" si="159"/>
        <v>1652</v>
      </c>
      <c r="B1656" s="67" t="s">
        <v>0</v>
      </c>
      <c r="C1656" s="67" t="s">
        <v>281</v>
      </c>
      <c r="D1656" s="67" t="s">
        <v>277</v>
      </c>
      <c r="E1656" s="22">
        <f t="shared" ca="1" si="160"/>
        <v>40951</v>
      </c>
      <c r="F1656" s="11">
        <f>DATE(92,10,31)</f>
        <v>33908</v>
      </c>
      <c r="G1656" s="12">
        <f t="shared" ca="1" si="156"/>
        <v>20</v>
      </c>
      <c r="H1656" s="12">
        <f t="shared" ca="1" si="157"/>
        <v>-8</v>
      </c>
      <c r="I1656" s="13">
        <f t="shared" ca="1" si="158"/>
        <v>-19</v>
      </c>
      <c r="J1656" s="14">
        <f t="shared" ca="1" si="155"/>
        <v>19</v>
      </c>
      <c r="K1656" s="12" t="s">
        <v>40</v>
      </c>
      <c r="L1656" s="15">
        <v>128</v>
      </c>
      <c r="M1656" s="25" t="s">
        <v>44</v>
      </c>
      <c r="N1656">
        <v>347</v>
      </c>
    </row>
    <row r="1657" spans="1:14" ht="15.75" thickBot="1">
      <c r="A1657" s="26">
        <f t="shared" si="159"/>
        <v>1653</v>
      </c>
      <c r="B1657" s="68" t="s">
        <v>0</v>
      </c>
      <c r="C1657" s="68" t="s">
        <v>179</v>
      </c>
      <c r="D1657" s="68" t="s">
        <v>277</v>
      </c>
      <c r="E1657" s="23">
        <f t="shared" ca="1" si="160"/>
        <v>40951</v>
      </c>
      <c r="F1657" s="16">
        <f>DATE(96,1,3)</f>
        <v>35067</v>
      </c>
      <c r="G1657" s="17">
        <f t="shared" ca="1" si="156"/>
        <v>16</v>
      </c>
      <c r="H1657" s="17">
        <f t="shared" ca="1" si="157"/>
        <v>1</v>
      </c>
      <c r="I1657" s="18">
        <f t="shared" ca="1" si="158"/>
        <v>9</v>
      </c>
      <c r="J1657" s="19">
        <f t="shared" ca="1" si="155"/>
        <v>16</v>
      </c>
      <c r="K1657" s="17" t="s">
        <v>40</v>
      </c>
      <c r="L1657" s="20">
        <v>128</v>
      </c>
      <c r="M1657" s="26" t="s">
        <v>44</v>
      </c>
      <c r="N1657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57"/>
  <sheetViews>
    <sheetView topLeftCell="A1641" workbookViewId="0">
      <selection activeCell="K1653" sqref="K1653"/>
    </sheetView>
  </sheetViews>
  <sheetFormatPr defaultRowHeight="15"/>
  <cols>
    <col min="1" max="1" width="5" bestFit="1" customWidth="1"/>
    <col min="2" max="2" width="10" bestFit="1" customWidth="1"/>
    <col min="3" max="3" width="28.42578125" customWidth="1"/>
    <col min="4" max="4" width="30.140625" customWidth="1"/>
    <col min="5" max="5" width="10.42578125" hidden="1" customWidth="1"/>
    <col min="6" max="6" width="12" style="3" customWidth="1"/>
    <col min="7" max="8" width="9.140625" hidden="1" customWidth="1"/>
    <col min="9" max="9" width="11" hidden="1" customWidth="1"/>
    <col min="10" max="10" width="9.140625" style="3"/>
  </cols>
  <sheetData>
    <row r="1" spans="1:14" ht="15.75" thickBot="1">
      <c r="A1" t="e">
        <f>#REF!+1</f>
        <v>#REF!</v>
      </c>
      <c r="B1" t="s">
        <v>46</v>
      </c>
      <c r="C1" s="76" t="s">
        <v>78</v>
      </c>
      <c r="D1" s="76" t="s">
        <v>521</v>
      </c>
      <c r="E1" s="2">
        <f t="shared" ref="E1:E64" ca="1" si="0">TODAY()</f>
        <v>40951</v>
      </c>
      <c r="F1" s="11">
        <f>DATE(50,2,2)</f>
        <v>18296</v>
      </c>
      <c r="G1" s="12">
        <f t="shared" ref="G1:G64" ca="1" si="1">YEAR(E1)-YEAR(F1)</f>
        <v>62</v>
      </c>
      <c r="H1" s="12">
        <f t="shared" ref="H1:H64" ca="1" si="2">MONTH(E1)-MONTH(F1)</f>
        <v>0</v>
      </c>
      <c r="I1" s="13">
        <f t="shared" ref="I1:I64" ca="1" si="3">DAY(E1)-DAY(F1)</f>
        <v>10</v>
      </c>
      <c r="J1" s="14">
        <f t="shared" ref="J1:J64" ca="1" si="4">IF(H1&lt;0,G1-1,IF(H1&gt;0,G1,IF(I1&lt;0,G1-1,G1)))</f>
        <v>62</v>
      </c>
      <c r="K1" s="12" t="s">
        <v>41</v>
      </c>
      <c r="L1" s="12">
        <v>1</v>
      </c>
      <c r="M1" t="s">
        <v>40</v>
      </c>
    </row>
    <row r="2" spans="1:14">
      <c r="A2" s="24" t="e">
        <f t="shared" ref="A2:A65" si="5">A1+1</f>
        <v>#REF!</v>
      </c>
      <c r="B2" s="66" t="s">
        <v>46</v>
      </c>
      <c r="C2" s="72" t="s">
        <v>129</v>
      </c>
      <c r="D2" s="72" t="s">
        <v>1038</v>
      </c>
      <c r="E2" s="21">
        <f t="shared" ca="1" si="0"/>
        <v>40951</v>
      </c>
      <c r="F2" s="6">
        <f>DATE(80,6,29)</f>
        <v>29401</v>
      </c>
      <c r="G2" s="7">
        <f t="shared" ca="1" si="1"/>
        <v>32</v>
      </c>
      <c r="H2" s="7">
        <f t="shared" ca="1" si="2"/>
        <v>-4</v>
      </c>
      <c r="I2" s="8">
        <f t="shared" ca="1" si="3"/>
        <v>-17</v>
      </c>
      <c r="J2" s="9">
        <f t="shared" ca="1" si="4"/>
        <v>31</v>
      </c>
      <c r="K2" s="7" t="s">
        <v>41</v>
      </c>
      <c r="L2" s="10">
        <v>1</v>
      </c>
      <c r="M2" s="24" t="s">
        <v>40</v>
      </c>
      <c r="N2">
        <v>1</v>
      </c>
    </row>
    <row r="3" spans="1:14">
      <c r="A3" s="25" t="e">
        <f t="shared" si="5"/>
        <v>#REF!</v>
      </c>
      <c r="B3" s="67" t="s">
        <v>46</v>
      </c>
      <c r="C3" s="71" t="s">
        <v>1073</v>
      </c>
      <c r="D3" s="71" t="s">
        <v>1039</v>
      </c>
      <c r="E3" s="22">
        <f t="shared" ca="1" si="0"/>
        <v>40951</v>
      </c>
      <c r="F3" s="11">
        <f>DATE(42,4,29)</f>
        <v>15460</v>
      </c>
      <c r="G3" s="12">
        <f t="shared" ca="1" si="1"/>
        <v>70</v>
      </c>
      <c r="H3" s="12">
        <f t="shared" ca="1" si="2"/>
        <v>-2</v>
      </c>
      <c r="I3" s="13">
        <f t="shared" ca="1" si="3"/>
        <v>-17</v>
      </c>
      <c r="J3" s="14">
        <f t="shared" ca="1" si="4"/>
        <v>69</v>
      </c>
      <c r="K3" s="12" t="s">
        <v>41</v>
      </c>
      <c r="L3" s="15">
        <v>1</v>
      </c>
      <c r="M3" s="25" t="s">
        <v>40</v>
      </c>
      <c r="N3">
        <v>1</v>
      </c>
    </row>
    <row r="4" spans="1:14">
      <c r="A4" s="25" t="e">
        <f t="shared" si="5"/>
        <v>#REF!</v>
      </c>
      <c r="B4" s="67" t="s">
        <v>46</v>
      </c>
      <c r="C4" s="71" t="s">
        <v>669</v>
      </c>
      <c r="D4" s="71" t="s">
        <v>1041</v>
      </c>
      <c r="E4" s="22">
        <f t="shared" ca="1" si="0"/>
        <v>40951</v>
      </c>
      <c r="F4" s="11">
        <f>DATE(64,6,23)</f>
        <v>23551</v>
      </c>
      <c r="G4" s="12">
        <f t="shared" ca="1" si="1"/>
        <v>48</v>
      </c>
      <c r="H4" s="12">
        <f t="shared" ca="1" si="2"/>
        <v>-4</v>
      </c>
      <c r="I4" s="13">
        <f t="shared" ca="1" si="3"/>
        <v>-11</v>
      </c>
      <c r="J4" s="14">
        <f t="shared" ca="1" si="4"/>
        <v>47</v>
      </c>
      <c r="K4" s="12" t="s">
        <v>41</v>
      </c>
      <c r="L4" s="15">
        <v>1</v>
      </c>
      <c r="M4" s="25" t="s">
        <v>40</v>
      </c>
      <c r="N4">
        <v>1</v>
      </c>
    </row>
    <row r="5" spans="1:14" ht="15.75" thickBot="1">
      <c r="A5" s="26" t="e">
        <f t="shared" si="5"/>
        <v>#REF!</v>
      </c>
      <c r="B5" s="68" t="s">
        <v>46</v>
      </c>
      <c r="C5" s="73" t="s">
        <v>1074</v>
      </c>
      <c r="D5" s="73" t="s">
        <v>348</v>
      </c>
      <c r="E5" s="23">
        <f t="shared" ca="1" si="0"/>
        <v>40951</v>
      </c>
      <c r="F5" s="16">
        <f>DATE(65,12,23)</f>
        <v>24099</v>
      </c>
      <c r="G5" s="17">
        <f t="shared" ca="1" si="1"/>
        <v>47</v>
      </c>
      <c r="H5" s="17">
        <f t="shared" ca="1" si="2"/>
        <v>-10</v>
      </c>
      <c r="I5" s="18">
        <f t="shared" ca="1" si="3"/>
        <v>-11</v>
      </c>
      <c r="J5" s="19">
        <f t="shared" ca="1" si="4"/>
        <v>46</v>
      </c>
      <c r="K5" s="17" t="s">
        <v>41</v>
      </c>
      <c r="L5" s="20">
        <v>1</v>
      </c>
      <c r="M5" s="26" t="s">
        <v>40</v>
      </c>
      <c r="N5">
        <v>1</v>
      </c>
    </row>
    <row r="6" spans="1:14">
      <c r="A6" s="24" t="e">
        <f t="shared" si="5"/>
        <v>#REF!</v>
      </c>
      <c r="B6" s="66" t="s">
        <v>46</v>
      </c>
      <c r="C6" s="72" t="s">
        <v>418</v>
      </c>
      <c r="D6" s="72" t="s">
        <v>623</v>
      </c>
      <c r="E6" s="21">
        <f t="shared" ca="1" si="0"/>
        <v>40951</v>
      </c>
      <c r="F6" s="6">
        <f>DATE(56,9,12)</f>
        <v>20710</v>
      </c>
      <c r="G6" s="7">
        <f t="shared" ca="1" si="1"/>
        <v>56</v>
      </c>
      <c r="H6" s="7">
        <f t="shared" ca="1" si="2"/>
        <v>-7</v>
      </c>
      <c r="I6" s="8">
        <f t="shared" ca="1" si="3"/>
        <v>0</v>
      </c>
      <c r="J6" s="9">
        <f t="shared" ca="1" si="4"/>
        <v>55</v>
      </c>
      <c r="K6" s="82" t="s">
        <v>41</v>
      </c>
      <c r="L6" s="28">
        <v>2</v>
      </c>
      <c r="M6" s="24" t="s">
        <v>40</v>
      </c>
      <c r="N6">
        <v>2</v>
      </c>
    </row>
    <row r="7" spans="1:14">
      <c r="A7" s="25" t="e">
        <f t="shared" si="5"/>
        <v>#REF!</v>
      </c>
      <c r="B7" s="67" t="s">
        <v>46</v>
      </c>
      <c r="C7" s="71" t="s">
        <v>701</v>
      </c>
      <c r="D7" s="71" t="s">
        <v>1042</v>
      </c>
      <c r="E7" s="22">
        <f t="shared" ca="1" si="0"/>
        <v>40951</v>
      </c>
      <c r="F7" s="11">
        <f>DATE(76,6,24)</f>
        <v>27935</v>
      </c>
      <c r="G7" s="12">
        <f t="shared" ca="1" si="1"/>
        <v>36</v>
      </c>
      <c r="H7" s="12">
        <f t="shared" ca="1" si="2"/>
        <v>-4</v>
      </c>
      <c r="I7" s="13">
        <f t="shared" ca="1" si="3"/>
        <v>-12</v>
      </c>
      <c r="J7" s="14">
        <f t="shared" ca="1" si="4"/>
        <v>35</v>
      </c>
      <c r="K7" s="30" t="s">
        <v>41</v>
      </c>
      <c r="L7" s="27">
        <v>2</v>
      </c>
      <c r="M7" s="25" t="s">
        <v>40</v>
      </c>
      <c r="N7">
        <v>2</v>
      </c>
    </row>
    <row r="8" spans="1:14">
      <c r="A8" s="25" t="e">
        <f t="shared" si="5"/>
        <v>#REF!</v>
      </c>
      <c r="B8" s="67" t="s">
        <v>46</v>
      </c>
      <c r="C8" s="71" t="s">
        <v>219</v>
      </c>
      <c r="D8" s="71" t="s">
        <v>1042</v>
      </c>
      <c r="E8" s="22">
        <f t="shared" ca="1" si="0"/>
        <v>40951</v>
      </c>
      <c r="F8" s="11">
        <f>DATE(2003,11,30)</f>
        <v>37955</v>
      </c>
      <c r="G8" s="12">
        <f t="shared" ca="1" si="1"/>
        <v>9</v>
      </c>
      <c r="H8" s="12">
        <f t="shared" ca="1" si="2"/>
        <v>-9</v>
      </c>
      <c r="I8" s="13">
        <f t="shared" ca="1" si="3"/>
        <v>-18</v>
      </c>
      <c r="J8" s="14">
        <f t="shared" ca="1" si="4"/>
        <v>8</v>
      </c>
      <c r="K8" s="30" t="s">
        <v>41</v>
      </c>
      <c r="L8" s="27">
        <v>2</v>
      </c>
      <c r="M8" s="25" t="s">
        <v>44</v>
      </c>
      <c r="N8">
        <v>2</v>
      </c>
    </row>
    <row r="9" spans="1:14" ht="15.75" thickBot="1">
      <c r="A9" s="26" t="e">
        <f t="shared" si="5"/>
        <v>#REF!</v>
      </c>
      <c r="B9" s="68" t="s">
        <v>46</v>
      </c>
      <c r="C9" s="73" t="s">
        <v>1077</v>
      </c>
      <c r="D9" s="73" t="s">
        <v>516</v>
      </c>
      <c r="E9" s="23">
        <f t="shared" ca="1" si="0"/>
        <v>40951</v>
      </c>
      <c r="F9" s="16">
        <f>DATE(64,4,23)</f>
        <v>23490</v>
      </c>
      <c r="G9" s="17">
        <f t="shared" ca="1" si="1"/>
        <v>48</v>
      </c>
      <c r="H9" s="17">
        <f t="shared" ca="1" si="2"/>
        <v>-2</v>
      </c>
      <c r="I9" s="18">
        <f t="shared" ca="1" si="3"/>
        <v>-11</v>
      </c>
      <c r="J9" s="19">
        <f t="shared" ca="1" si="4"/>
        <v>47</v>
      </c>
      <c r="K9" s="17" t="s">
        <v>41</v>
      </c>
      <c r="L9" s="29">
        <v>2</v>
      </c>
      <c r="M9" s="26" t="s">
        <v>40</v>
      </c>
      <c r="N9">
        <v>2</v>
      </c>
    </row>
    <row r="10" spans="1:14">
      <c r="A10" s="24" t="e">
        <f t="shared" si="5"/>
        <v>#REF!</v>
      </c>
      <c r="B10" s="66" t="s">
        <v>46</v>
      </c>
      <c r="C10" s="72" t="s">
        <v>638</v>
      </c>
      <c r="D10" s="72" t="s">
        <v>516</v>
      </c>
      <c r="E10" s="21">
        <f t="shared" ca="1" si="0"/>
        <v>40951</v>
      </c>
      <c r="F10" s="6">
        <f>DATE(90,12,13)</f>
        <v>33220</v>
      </c>
      <c r="G10" s="7">
        <f t="shared" ca="1" si="1"/>
        <v>22</v>
      </c>
      <c r="H10" s="7">
        <f t="shared" ca="1" si="2"/>
        <v>-10</v>
      </c>
      <c r="I10" s="8">
        <f t="shared" ca="1" si="3"/>
        <v>-1</v>
      </c>
      <c r="J10" s="9">
        <f t="shared" ca="1" si="4"/>
        <v>21</v>
      </c>
      <c r="K10" s="7" t="s">
        <v>41</v>
      </c>
      <c r="L10" s="28">
        <v>2</v>
      </c>
      <c r="M10" s="24" t="s">
        <v>44</v>
      </c>
      <c r="N10">
        <v>3</v>
      </c>
    </row>
    <row r="11" spans="1:14">
      <c r="A11" s="25" t="e">
        <f t="shared" si="5"/>
        <v>#REF!</v>
      </c>
      <c r="B11" s="67" t="s">
        <v>1</v>
      </c>
      <c r="C11" s="71" t="s">
        <v>462</v>
      </c>
      <c r="D11" s="71" t="s">
        <v>162</v>
      </c>
      <c r="E11" s="22">
        <f t="shared" ca="1" si="0"/>
        <v>40951</v>
      </c>
      <c r="F11" s="11">
        <f>DATE(61,8,7)</f>
        <v>22500</v>
      </c>
      <c r="G11" s="12">
        <f t="shared" ca="1" si="1"/>
        <v>51</v>
      </c>
      <c r="H11" s="12">
        <f t="shared" ca="1" si="2"/>
        <v>-6</v>
      </c>
      <c r="I11" s="13">
        <f t="shared" ca="1" si="3"/>
        <v>5</v>
      </c>
      <c r="J11" s="14">
        <f t="shared" ca="1" si="4"/>
        <v>50</v>
      </c>
      <c r="K11" s="12" t="s">
        <v>41</v>
      </c>
      <c r="L11" s="27">
        <v>3</v>
      </c>
      <c r="M11" s="25" t="s">
        <v>40</v>
      </c>
      <c r="N11">
        <v>3</v>
      </c>
    </row>
    <row r="12" spans="1:14">
      <c r="A12" s="25" t="e">
        <f t="shared" si="5"/>
        <v>#REF!</v>
      </c>
      <c r="B12" s="67" t="s">
        <v>1</v>
      </c>
      <c r="C12" s="71" t="s">
        <v>125</v>
      </c>
      <c r="D12" s="71" t="s">
        <v>162</v>
      </c>
      <c r="E12" s="22">
        <f t="shared" ca="1" si="0"/>
        <v>40951</v>
      </c>
      <c r="F12" s="11">
        <f>DATE(91,3,8)</f>
        <v>33305</v>
      </c>
      <c r="G12" s="12">
        <f t="shared" ca="1" si="1"/>
        <v>21</v>
      </c>
      <c r="H12" s="12">
        <f t="shared" ca="1" si="2"/>
        <v>-1</v>
      </c>
      <c r="I12" s="13">
        <f t="shared" ca="1" si="3"/>
        <v>4</v>
      </c>
      <c r="J12" s="14">
        <f t="shared" ca="1" si="4"/>
        <v>20</v>
      </c>
      <c r="K12" s="12" t="s">
        <v>41</v>
      </c>
      <c r="L12" s="27">
        <v>3</v>
      </c>
      <c r="M12" s="25" t="s">
        <v>44</v>
      </c>
      <c r="N12">
        <v>3</v>
      </c>
    </row>
    <row r="13" spans="1:14">
      <c r="A13" s="25" t="e">
        <f t="shared" si="5"/>
        <v>#REF!</v>
      </c>
      <c r="B13" s="67" t="s">
        <v>1</v>
      </c>
      <c r="C13" s="71" t="s">
        <v>503</v>
      </c>
      <c r="D13" s="71" t="s">
        <v>94</v>
      </c>
      <c r="E13" s="22">
        <f t="shared" ca="1" si="0"/>
        <v>40951</v>
      </c>
      <c r="F13" s="36"/>
      <c r="G13" s="12">
        <f t="shared" ca="1" si="1"/>
        <v>112</v>
      </c>
      <c r="H13" s="12">
        <f t="shared" ca="1" si="2"/>
        <v>1</v>
      </c>
      <c r="I13" s="13">
        <f t="shared" ca="1" si="3"/>
        <v>12</v>
      </c>
      <c r="J13" s="14">
        <f t="shared" ca="1" si="4"/>
        <v>112</v>
      </c>
      <c r="K13" s="12" t="s">
        <v>41</v>
      </c>
      <c r="L13" s="27">
        <v>3</v>
      </c>
      <c r="M13" s="25" t="s">
        <v>40</v>
      </c>
      <c r="N13">
        <v>3</v>
      </c>
    </row>
    <row r="14" spans="1:14">
      <c r="A14" s="25" t="e">
        <f t="shared" si="5"/>
        <v>#REF!</v>
      </c>
      <c r="B14" s="67" t="s">
        <v>1</v>
      </c>
      <c r="C14" s="71" t="s">
        <v>464</v>
      </c>
      <c r="D14" s="71" t="s">
        <v>521</v>
      </c>
      <c r="E14" s="22">
        <f t="shared" ca="1" si="0"/>
        <v>40951</v>
      </c>
      <c r="F14" s="11">
        <f>DATE(57,12,28)</f>
        <v>21182</v>
      </c>
      <c r="G14" s="12">
        <f t="shared" ca="1" si="1"/>
        <v>55</v>
      </c>
      <c r="H14" s="12">
        <f t="shared" ca="1" si="2"/>
        <v>-10</v>
      </c>
      <c r="I14" s="13">
        <f t="shared" ca="1" si="3"/>
        <v>-16</v>
      </c>
      <c r="J14" s="14">
        <f t="shared" ca="1" si="4"/>
        <v>54</v>
      </c>
      <c r="K14" s="12" t="s">
        <v>41</v>
      </c>
      <c r="L14" s="27">
        <v>3</v>
      </c>
      <c r="M14" s="25" t="s">
        <v>40</v>
      </c>
      <c r="N14">
        <v>3</v>
      </c>
    </row>
    <row r="15" spans="1:14">
      <c r="A15" s="25" t="e">
        <f t="shared" si="5"/>
        <v>#REF!</v>
      </c>
      <c r="B15" s="67" t="s">
        <v>1</v>
      </c>
      <c r="C15" s="71" t="s">
        <v>1080</v>
      </c>
      <c r="D15" s="71" t="s">
        <v>521</v>
      </c>
      <c r="E15" s="22">
        <f t="shared" ca="1" si="0"/>
        <v>40951</v>
      </c>
      <c r="F15" s="11">
        <f>DATE(52,11,26)</f>
        <v>19324</v>
      </c>
      <c r="G15" s="12">
        <f t="shared" ca="1" si="1"/>
        <v>60</v>
      </c>
      <c r="H15" s="12">
        <f t="shared" ca="1" si="2"/>
        <v>-9</v>
      </c>
      <c r="I15" s="13">
        <f t="shared" ca="1" si="3"/>
        <v>-14</v>
      </c>
      <c r="J15" s="14">
        <f t="shared" ca="1" si="4"/>
        <v>59</v>
      </c>
      <c r="K15" s="12" t="s">
        <v>41</v>
      </c>
      <c r="L15" s="27">
        <v>3</v>
      </c>
      <c r="M15" s="25" t="s">
        <v>40</v>
      </c>
      <c r="N15">
        <v>3</v>
      </c>
    </row>
    <row r="16" spans="1:14">
      <c r="A16" s="25" t="e">
        <f t="shared" si="5"/>
        <v>#REF!</v>
      </c>
      <c r="B16" s="67" t="s">
        <v>1</v>
      </c>
      <c r="C16" s="71" t="s">
        <v>1081</v>
      </c>
      <c r="D16" s="71" t="s">
        <v>521</v>
      </c>
      <c r="E16" s="22">
        <f t="shared" ca="1" si="0"/>
        <v>40951</v>
      </c>
      <c r="F16" s="11">
        <f>DATE(77,12,26)</f>
        <v>28485</v>
      </c>
      <c r="G16" s="12">
        <f t="shared" ca="1" si="1"/>
        <v>35</v>
      </c>
      <c r="H16" s="12">
        <f t="shared" ca="1" si="2"/>
        <v>-10</v>
      </c>
      <c r="I16" s="13">
        <f t="shared" ca="1" si="3"/>
        <v>-14</v>
      </c>
      <c r="J16" s="14">
        <f t="shared" ca="1" si="4"/>
        <v>34</v>
      </c>
      <c r="K16" s="12" t="s">
        <v>41</v>
      </c>
      <c r="L16" s="27">
        <v>3</v>
      </c>
      <c r="M16" s="25" t="s">
        <v>44</v>
      </c>
      <c r="N16">
        <v>3</v>
      </c>
    </row>
    <row r="17" spans="1:14" ht="15.75" thickBot="1">
      <c r="A17" s="26" t="e">
        <f t="shared" si="5"/>
        <v>#REF!</v>
      </c>
      <c r="B17" s="68" t="s">
        <v>1</v>
      </c>
      <c r="C17" s="73" t="s">
        <v>221</v>
      </c>
      <c r="D17" s="73" t="s">
        <v>962</v>
      </c>
      <c r="E17" s="23">
        <f t="shared" ca="1" si="0"/>
        <v>40951</v>
      </c>
      <c r="F17" s="16">
        <f>DATE(58,10,12)</f>
        <v>21470</v>
      </c>
      <c r="G17" s="17">
        <f t="shared" ca="1" si="1"/>
        <v>54</v>
      </c>
      <c r="H17" s="17">
        <f t="shared" ca="1" si="2"/>
        <v>-8</v>
      </c>
      <c r="I17" s="18">
        <f t="shared" ca="1" si="3"/>
        <v>0</v>
      </c>
      <c r="J17" s="19">
        <f t="shared" ca="1" si="4"/>
        <v>53</v>
      </c>
      <c r="K17" s="17" t="s">
        <v>41</v>
      </c>
      <c r="L17" s="29">
        <v>4</v>
      </c>
      <c r="M17" s="26" t="s">
        <v>40</v>
      </c>
      <c r="N17">
        <v>3</v>
      </c>
    </row>
    <row r="18" spans="1:14">
      <c r="A18" s="24" t="e">
        <f t="shared" si="5"/>
        <v>#REF!</v>
      </c>
      <c r="B18" s="66" t="s">
        <v>1</v>
      </c>
      <c r="C18" s="72" t="s">
        <v>628</v>
      </c>
      <c r="D18" s="72" t="s">
        <v>962</v>
      </c>
      <c r="E18" s="21">
        <f t="shared" ca="1" si="0"/>
        <v>40951</v>
      </c>
      <c r="F18" s="6">
        <f>DATE(81,3,10)</f>
        <v>29655</v>
      </c>
      <c r="G18" s="7">
        <f t="shared" ca="1" si="1"/>
        <v>31</v>
      </c>
      <c r="H18" s="7">
        <f t="shared" ca="1" si="2"/>
        <v>-1</v>
      </c>
      <c r="I18" s="8">
        <f t="shared" ca="1" si="3"/>
        <v>2</v>
      </c>
      <c r="J18" s="9">
        <f t="shared" ca="1" si="4"/>
        <v>30</v>
      </c>
      <c r="K18" s="7" t="s">
        <v>41</v>
      </c>
      <c r="L18" s="28">
        <v>4</v>
      </c>
      <c r="M18" s="24" t="s">
        <v>40</v>
      </c>
      <c r="N18">
        <v>4</v>
      </c>
    </row>
    <row r="19" spans="1:14">
      <c r="A19" s="25" t="e">
        <f t="shared" si="5"/>
        <v>#REF!</v>
      </c>
      <c r="B19" s="67" t="s">
        <v>1</v>
      </c>
      <c r="C19" s="71" t="s">
        <v>125</v>
      </c>
      <c r="D19" s="71" t="s">
        <v>962</v>
      </c>
      <c r="E19" s="22">
        <f t="shared" ca="1" si="0"/>
        <v>40951</v>
      </c>
      <c r="F19" s="11">
        <f>DATE(85,10,17)</f>
        <v>31337</v>
      </c>
      <c r="G19" s="12">
        <f t="shared" ca="1" si="1"/>
        <v>27</v>
      </c>
      <c r="H19" s="12">
        <f t="shared" ca="1" si="2"/>
        <v>-8</v>
      </c>
      <c r="I19" s="13">
        <f t="shared" ca="1" si="3"/>
        <v>-5</v>
      </c>
      <c r="J19" s="14">
        <f t="shared" ca="1" si="4"/>
        <v>26</v>
      </c>
      <c r="K19" s="12" t="s">
        <v>41</v>
      </c>
      <c r="L19" s="27">
        <v>4</v>
      </c>
      <c r="M19" s="25" t="s">
        <v>44</v>
      </c>
      <c r="N19">
        <v>4</v>
      </c>
    </row>
    <row r="20" spans="1:14">
      <c r="A20" s="25" t="e">
        <f t="shared" si="5"/>
        <v>#REF!</v>
      </c>
      <c r="B20" s="67" t="s">
        <v>1</v>
      </c>
      <c r="C20" s="71" t="s">
        <v>731</v>
      </c>
      <c r="D20" s="71" t="s">
        <v>1043</v>
      </c>
      <c r="E20" s="22">
        <f t="shared" ca="1" si="0"/>
        <v>40951</v>
      </c>
      <c r="F20" s="11">
        <f>DATE(46,5,31)</f>
        <v>16953</v>
      </c>
      <c r="G20" s="12">
        <f t="shared" ca="1" si="1"/>
        <v>66</v>
      </c>
      <c r="H20" s="12">
        <f t="shared" ca="1" si="2"/>
        <v>-3</v>
      </c>
      <c r="I20" s="13">
        <f t="shared" ca="1" si="3"/>
        <v>-19</v>
      </c>
      <c r="J20" s="14">
        <f t="shared" ca="1" si="4"/>
        <v>65</v>
      </c>
      <c r="K20" s="12" t="s">
        <v>41</v>
      </c>
      <c r="L20" s="27">
        <v>4</v>
      </c>
      <c r="M20" s="25" t="s">
        <v>40</v>
      </c>
      <c r="N20">
        <v>4</v>
      </c>
    </row>
    <row r="21" spans="1:14">
      <c r="A21" s="25" t="e">
        <f t="shared" si="5"/>
        <v>#REF!</v>
      </c>
      <c r="B21" s="67" t="s">
        <v>1</v>
      </c>
      <c r="C21" s="71" t="s">
        <v>299</v>
      </c>
      <c r="D21" s="71" t="s">
        <v>1044</v>
      </c>
      <c r="E21" s="22">
        <f t="shared" ca="1" si="0"/>
        <v>40951</v>
      </c>
      <c r="F21" s="11">
        <f>DATE(78,7,29)</f>
        <v>28700</v>
      </c>
      <c r="G21" s="12">
        <f t="shared" ca="1" si="1"/>
        <v>34</v>
      </c>
      <c r="H21" s="12">
        <f t="shared" ca="1" si="2"/>
        <v>-5</v>
      </c>
      <c r="I21" s="13">
        <f t="shared" ca="1" si="3"/>
        <v>-17</v>
      </c>
      <c r="J21" s="14">
        <f t="shared" ca="1" si="4"/>
        <v>33</v>
      </c>
      <c r="K21" s="12" t="s">
        <v>41</v>
      </c>
      <c r="L21" s="27">
        <v>4</v>
      </c>
      <c r="M21" s="25" t="s">
        <v>40</v>
      </c>
      <c r="N21">
        <v>4</v>
      </c>
    </row>
    <row r="22" spans="1:14">
      <c r="A22" s="25" t="e">
        <f t="shared" si="5"/>
        <v>#REF!</v>
      </c>
      <c r="B22" s="67" t="s">
        <v>1</v>
      </c>
      <c r="C22" s="71" t="s">
        <v>488</v>
      </c>
      <c r="D22" s="71" t="s">
        <v>962</v>
      </c>
      <c r="E22" s="22">
        <f t="shared" ca="1" si="0"/>
        <v>40951</v>
      </c>
      <c r="F22" s="11">
        <f>DATE(56,4,4)</f>
        <v>20549</v>
      </c>
      <c r="G22" s="12">
        <f t="shared" ca="1" si="1"/>
        <v>56</v>
      </c>
      <c r="H22" s="12">
        <f t="shared" ca="1" si="2"/>
        <v>-2</v>
      </c>
      <c r="I22" s="13">
        <f t="shared" ca="1" si="3"/>
        <v>8</v>
      </c>
      <c r="J22" s="14">
        <f t="shared" ca="1" si="4"/>
        <v>55</v>
      </c>
      <c r="K22" s="12" t="s">
        <v>41</v>
      </c>
      <c r="L22" s="27">
        <v>4</v>
      </c>
      <c r="M22" s="25" t="s">
        <v>40</v>
      </c>
      <c r="N22">
        <v>4</v>
      </c>
    </row>
    <row r="23" spans="1:14">
      <c r="A23" s="25" t="e">
        <f t="shared" si="5"/>
        <v>#REF!</v>
      </c>
      <c r="B23" s="67" t="s">
        <v>1</v>
      </c>
      <c r="C23" s="71" t="s">
        <v>216</v>
      </c>
      <c r="D23" s="71" t="s">
        <v>1045</v>
      </c>
      <c r="E23" s="22">
        <f t="shared" ca="1" si="0"/>
        <v>40951</v>
      </c>
      <c r="F23" s="11">
        <f>DATE(55,12,16)</f>
        <v>20439</v>
      </c>
      <c r="G23" s="12">
        <f t="shared" ca="1" si="1"/>
        <v>57</v>
      </c>
      <c r="H23" s="12">
        <f t="shared" ca="1" si="2"/>
        <v>-10</v>
      </c>
      <c r="I23" s="13">
        <f t="shared" ca="1" si="3"/>
        <v>-4</v>
      </c>
      <c r="J23" s="14">
        <f t="shared" ca="1" si="4"/>
        <v>56</v>
      </c>
      <c r="K23" s="12" t="s">
        <v>41</v>
      </c>
      <c r="L23" s="15">
        <v>5</v>
      </c>
      <c r="M23" s="25" t="s">
        <v>40</v>
      </c>
      <c r="N23">
        <v>4</v>
      </c>
    </row>
    <row r="24" spans="1:14" ht="15.75" thickBot="1">
      <c r="A24" s="26" t="e">
        <f t="shared" si="5"/>
        <v>#REF!</v>
      </c>
      <c r="B24" s="68" t="s">
        <v>1</v>
      </c>
      <c r="C24" s="73" t="s">
        <v>231</v>
      </c>
      <c r="D24" s="73" t="s">
        <v>1045</v>
      </c>
      <c r="E24" s="23">
        <f t="shared" ca="1" si="0"/>
        <v>40951</v>
      </c>
      <c r="F24" s="16">
        <f>DATE(78,3,26)</f>
        <v>28575</v>
      </c>
      <c r="G24" s="17">
        <f t="shared" ca="1" si="1"/>
        <v>34</v>
      </c>
      <c r="H24" s="17">
        <f t="shared" ca="1" si="2"/>
        <v>-1</v>
      </c>
      <c r="I24" s="18">
        <f t="shared" ca="1" si="3"/>
        <v>-14</v>
      </c>
      <c r="J24" s="19">
        <f t="shared" ca="1" si="4"/>
        <v>33</v>
      </c>
      <c r="K24" s="17" t="s">
        <v>41</v>
      </c>
      <c r="L24" s="20">
        <v>5</v>
      </c>
      <c r="M24" s="26" t="s">
        <v>44</v>
      </c>
      <c r="N24">
        <v>4</v>
      </c>
    </row>
    <row r="25" spans="1:14">
      <c r="A25" s="24" t="e">
        <f t="shared" si="5"/>
        <v>#REF!</v>
      </c>
      <c r="B25" s="66" t="s">
        <v>1</v>
      </c>
      <c r="C25" s="72" t="s">
        <v>1083</v>
      </c>
      <c r="D25" s="72" t="s">
        <v>1045</v>
      </c>
      <c r="E25" s="21">
        <f t="shared" ca="1" si="0"/>
        <v>40951</v>
      </c>
      <c r="F25" s="78">
        <f>DATE(78,6,2)</f>
        <v>28643</v>
      </c>
      <c r="G25" s="7">
        <f t="shared" ca="1" si="1"/>
        <v>34</v>
      </c>
      <c r="H25" s="7">
        <f t="shared" ca="1" si="2"/>
        <v>-4</v>
      </c>
      <c r="I25" s="8">
        <f t="shared" ca="1" si="3"/>
        <v>10</v>
      </c>
      <c r="J25" s="9">
        <f t="shared" ca="1" si="4"/>
        <v>33</v>
      </c>
      <c r="K25" s="7" t="s">
        <v>41</v>
      </c>
      <c r="L25" s="10">
        <v>5</v>
      </c>
      <c r="M25" s="24" t="s">
        <v>44</v>
      </c>
      <c r="N25">
        <v>5</v>
      </c>
    </row>
    <row r="26" spans="1:14">
      <c r="A26" s="25" t="e">
        <f t="shared" si="5"/>
        <v>#REF!</v>
      </c>
      <c r="B26" s="67" t="s">
        <v>1</v>
      </c>
      <c r="C26" s="71" t="s">
        <v>1084</v>
      </c>
      <c r="D26" s="71" t="s">
        <v>315</v>
      </c>
      <c r="E26" s="22">
        <f t="shared" ca="1" si="0"/>
        <v>40951</v>
      </c>
      <c r="F26" s="11">
        <f>DATE(54,2,11)</f>
        <v>19766</v>
      </c>
      <c r="G26" s="12">
        <f t="shared" ca="1" si="1"/>
        <v>58</v>
      </c>
      <c r="H26" s="12">
        <f t="shared" ca="1" si="2"/>
        <v>0</v>
      </c>
      <c r="I26" s="13">
        <f t="shared" ca="1" si="3"/>
        <v>1</v>
      </c>
      <c r="J26" s="14">
        <f t="shared" ca="1" si="4"/>
        <v>58</v>
      </c>
      <c r="K26" s="12" t="s">
        <v>41</v>
      </c>
      <c r="L26" s="15">
        <v>5</v>
      </c>
      <c r="M26" s="25" t="s">
        <v>40</v>
      </c>
      <c r="N26">
        <v>5</v>
      </c>
    </row>
    <row r="27" spans="1:14">
      <c r="A27" s="25" t="e">
        <f t="shared" si="5"/>
        <v>#REF!</v>
      </c>
      <c r="B27" s="67" t="s">
        <v>1</v>
      </c>
      <c r="C27" s="71" t="s">
        <v>1085</v>
      </c>
      <c r="D27" s="71" t="s">
        <v>315</v>
      </c>
      <c r="E27" s="22">
        <f t="shared" ca="1" si="0"/>
        <v>40951</v>
      </c>
      <c r="F27" s="32"/>
      <c r="G27" s="12">
        <f t="shared" ca="1" si="1"/>
        <v>112</v>
      </c>
      <c r="H27" s="12">
        <f t="shared" ca="1" si="2"/>
        <v>1</v>
      </c>
      <c r="I27" s="13">
        <f t="shared" ca="1" si="3"/>
        <v>12</v>
      </c>
      <c r="J27" s="14">
        <f t="shared" ca="1" si="4"/>
        <v>112</v>
      </c>
      <c r="K27" s="12" t="s">
        <v>41</v>
      </c>
      <c r="L27" s="15">
        <v>5</v>
      </c>
      <c r="M27" s="25" t="s">
        <v>44</v>
      </c>
      <c r="N27">
        <v>5</v>
      </c>
    </row>
    <row r="28" spans="1:14" ht="15.75" thickBot="1">
      <c r="A28" s="26" t="e">
        <f t="shared" si="5"/>
        <v>#REF!</v>
      </c>
      <c r="B28" s="68" t="s">
        <v>1</v>
      </c>
      <c r="C28" s="73" t="s">
        <v>1086</v>
      </c>
      <c r="D28" s="73" t="s">
        <v>315</v>
      </c>
      <c r="E28" s="23">
        <f t="shared" ca="1" si="0"/>
        <v>40951</v>
      </c>
      <c r="F28" s="33"/>
      <c r="G28" s="17">
        <f t="shared" ca="1" si="1"/>
        <v>112</v>
      </c>
      <c r="H28" s="17">
        <f t="shared" ca="1" si="2"/>
        <v>1</v>
      </c>
      <c r="I28" s="18">
        <f t="shared" ca="1" si="3"/>
        <v>12</v>
      </c>
      <c r="J28" s="19">
        <f t="shared" ca="1" si="4"/>
        <v>112</v>
      </c>
      <c r="K28" s="17" t="s">
        <v>41</v>
      </c>
      <c r="L28" s="20">
        <v>5</v>
      </c>
      <c r="M28" s="26" t="s">
        <v>40</v>
      </c>
      <c r="N28">
        <v>5</v>
      </c>
    </row>
    <row r="29" spans="1:14">
      <c r="A29" s="24" t="e">
        <f t="shared" si="5"/>
        <v>#REF!</v>
      </c>
      <c r="B29" s="66" t="s">
        <v>1</v>
      </c>
      <c r="C29" s="72" t="s">
        <v>122</v>
      </c>
      <c r="D29" s="72" t="s">
        <v>1046</v>
      </c>
      <c r="E29" s="21">
        <f t="shared" ca="1" si="0"/>
        <v>40951</v>
      </c>
      <c r="F29" s="6">
        <f>DATE(68,10,4)</f>
        <v>25115</v>
      </c>
      <c r="G29" s="7">
        <f t="shared" ca="1" si="1"/>
        <v>44</v>
      </c>
      <c r="H29" s="7">
        <f t="shared" ca="1" si="2"/>
        <v>-8</v>
      </c>
      <c r="I29" s="8">
        <f t="shared" ca="1" si="3"/>
        <v>8</v>
      </c>
      <c r="J29" s="9">
        <f t="shared" ca="1" si="4"/>
        <v>43</v>
      </c>
      <c r="K29" s="7" t="s">
        <v>41</v>
      </c>
      <c r="L29" s="10">
        <v>6</v>
      </c>
      <c r="M29" s="24" t="s">
        <v>40</v>
      </c>
      <c r="N29">
        <v>6</v>
      </c>
    </row>
    <row r="30" spans="1:14">
      <c r="A30" s="25" t="e">
        <f t="shared" si="5"/>
        <v>#REF!</v>
      </c>
      <c r="B30" s="67" t="s">
        <v>1</v>
      </c>
      <c r="C30" s="71" t="s">
        <v>170</v>
      </c>
      <c r="D30" s="71" t="s">
        <v>1047</v>
      </c>
      <c r="E30" s="22">
        <f t="shared" ca="1" si="0"/>
        <v>40951</v>
      </c>
      <c r="F30" s="11">
        <f>DATE(78,7,13)</f>
        <v>28684</v>
      </c>
      <c r="G30" s="12">
        <f t="shared" ca="1" si="1"/>
        <v>34</v>
      </c>
      <c r="H30" s="12">
        <f t="shared" ca="1" si="2"/>
        <v>-5</v>
      </c>
      <c r="I30" s="13">
        <f t="shared" ca="1" si="3"/>
        <v>-1</v>
      </c>
      <c r="J30" s="14">
        <f t="shared" ca="1" si="4"/>
        <v>33</v>
      </c>
      <c r="K30" s="12" t="s">
        <v>41</v>
      </c>
      <c r="L30" s="15">
        <v>6</v>
      </c>
      <c r="M30" s="25" t="s">
        <v>40</v>
      </c>
      <c r="N30">
        <v>6</v>
      </c>
    </row>
    <row r="31" spans="1:14">
      <c r="A31" s="25" t="e">
        <f t="shared" si="5"/>
        <v>#REF!</v>
      </c>
      <c r="B31" s="67" t="s">
        <v>1</v>
      </c>
      <c r="C31" s="71" t="s">
        <v>1089</v>
      </c>
      <c r="D31" s="71" t="s">
        <v>1049</v>
      </c>
      <c r="E31" s="22">
        <f t="shared" ca="1" si="0"/>
        <v>40951</v>
      </c>
      <c r="F31" s="32"/>
      <c r="G31" s="12">
        <f t="shared" ca="1" si="1"/>
        <v>112</v>
      </c>
      <c r="H31" s="12">
        <f t="shared" ca="1" si="2"/>
        <v>1</v>
      </c>
      <c r="I31" s="13">
        <f t="shared" ca="1" si="3"/>
        <v>12</v>
      </c>
      <c r="J31" s="14">
        <f t="shared" ca="1" si="4"/>
        <v>112</v>
      </c>
      <c r="K31" s="12" t="s">
        <v>41</v>
      </c>
      <c r="L31" s="15">
        <v>6</v>
      </c>
      <c r="M31" s="25" t="s">
        <v>40</v>
      </c>
      <c r="N31">
        <v>6</v>
      </c>
    </row>
    <row r="32" spans="1:14">
      <c r="A32" s="25" t="e">
        <f t="shared" si="5"/>
        <v>#REF!</v>
      </c>
      <c r="B32" s="67" t="s">
        <v>1</v>
      </c>
      <c r="C32" s="71" t="s">
        <v>1090</v>
      </c>
      <c r="D32" s="71" t="s">
        <v>967</v>
      </c>
      <c r="E32" s="22">
        <f t="shared" ca="1" si="0"/>
        <v>40951</v>
      </c>
      <c r="F32" s="11">
        <f>DATE(57,2,22)</f>
        <v>20873</v>
      </c>
      <c r="G32" s="12">
        <f t="shared" ca="1" si="1"/>
        <v>55</v>
      </c>
      <c r="H32" s="12">
        <f t="shared" ca="1" si="2"/>
        <v>0</v>
      </c>
      <c r="I32" s="13">
        <f t="shared" ca="1" si="3"/>
        <v>-10</v>
      </c>
      <c r="J32" s="14">
        <f t="shared" ca="1" si="4"/>
        <v>54</v>
      </c>
      <c r="K32" s="12" t="s">
        <v>41</v>
      </c>
      <c r="L32" s="15">
        <v>6</v>
      </c>
      <c r="M32" s="25" t="s">
        <v>40</v>
      </c>
      <c r="N32">
        <v>6</v>
      </c>
    </row>
    <row r="33" spans="1:14" ht="15.75" thickBot="1">
      <c r="A33" s="26" t="e">
        <f t="shared" si="5"/>
        <v>#REF!</v>
      </c>
      <c r="B33" s="68" t="s">
        <v>1</v>
      </c>
      <c r="C33" s="71" t="s">
        <v>160</v>
      </c>
      <c r="D33" s="71" t="s">
        <v>1050</v>
      </c>
      <c r="E33" s="23">
        <f t="shared" ca="1" si="0"/>
        <v>40951</v>
      </c>
      <c r="F33" s="16">
        <f>DATE(81,11,23)</f>
        <v>29913</v>
      </c>
      <c r="G33" s="17">
        <f t="shared" ca="1" si="1"/>
        <v>31</v>
      </c>
      <c r="H33" s="17">
        <f t="shared" ca="1" si="2"/>
        <v>-9</v>
      </c>
      <c r="I33" s="18">
        <f t="shared" ca="1" si="3"/>
        <v>-11</v>
      </c>
      <c r="J33" s="19">
        <f t="shared" ca="1" si="4"/>
        <v>30</v>
      </c>
      <c r="K33" s="17" t="s">
        <v>41</v>
      </c>
      <c r="L33" s="20">
        <v>6</v>
      </c>
      <c r="M33" s="26" t="s">
        <v>40</v>
      </c>
      <c r="N33">
        <v>6</v>
      </c>
    </row>
    <row r="34" spans="1:14">
      <c r="A34" s="24" t="e">
        <f t="shared" si="5"/>
        <v>#REF!</v>
      </c>
      <c r="B34" s="66" t="s">
        <v>1</v>
      </c>
      <c r="C34" s="72" t="s">
        <v>406</v>
      </c>
      <c r="D34" s="72" t="s">
        <v>967</v>
      </c>
      <c r="E34" s="21">
        <f t="shared" ca="1" si="0"/>
        <v>40951</v>
      </c>
      <c r="F34" s="6">
        <f>DATE(83,11,23)</f>
        <v>30643</v>
      </c>
      <c r="G34" s="7">
        <f t="shared" ca="1" si="1"/>
        <v>29</v>
      </c>
      <c r="H34" s="7">
        <f t="shared" ca="1" si="2"/>
        <v>-9</v>
      </c>
      <c r="I34" s="8">
        <f t="shared" ca="1" si="3"/>
        <v>-11</v>
      </c>
      <c r="J34" s="9">
        <f t="shared" ca="1" si="4"/>
        <v>28</v>
      </c>
      <c r="K34" s="7" t="s">
        <v>41</v>
      </c>
      <c r="L34" s="10">
        <v>6</v>
      </c>
      <c r="M34" s="24" t="s">
        <v>44</v>
      </c>
      <c r="N34">
        <v>7</v>
      </c>
    </row>
    <row r="35" spans="1:14">
      <c r="A35" s="25" t="e">
        <f t="shared" si="5"/>
        <v>#REF!</v>
      </c>
      <c r="B35" s="67" t="s">
        <v>1</v>
      </c>
      <c r="C35" s="71" t="s">
        <v>119</v>
      </c>
      <c r="D35" s="71" t="s">
        <v>545</v>
      </c>
      <c r="E35" s="22">
        <f t="shared" ca="1" si="0"/>
        <v>40951</v>
      </c>
      <c r="F35" s="44">
        <f>DATE(66,9,9)</f>
        <v>24359</v>
      </c>
      <c r="G35" s="12">
        <f t="shared" ca="1" si="1"/>
        <v>46</v>
      </c>
      <c r="H35" s="12">
        <f t="shared" ca="1" si="2"/>
        <v>-7</v>
      </c>
      <c r="I35" s="13">
        <f t="shared" ca="1" si="3"/>
        <v>3</v>
      </c>
      <c r="J35" s="14">
        <f t="shared" ca="1" si="4"/>
        <v>45</v>
      </c>
      <c r="K35" s="12" t="s">
        <v>41</v>
      </c>
      <c r="L35" s="15">
        <v>7</v>
      </c>
      <c r="M35" s="25" t="s">
        <v>40</v>
      </c>
      <c r="N35">
        <v>7</v>
      </c>
    </row>
    <row r="36" spans="1:14" ht="15.75" thickBot="1">
      <c r="A36" s="26" t="e">
        <f t="shared" si="5"/>
        <v>#REF!</v>
      </c>
      <c r="B36" s="68" t="s">
        <v>1</v>
      </c>
      <c r="C36" s="73" t="s">
        <v>1091</v>
      </c>
      <c r="D36" s="73" t="s">
        <v>545</v>
      </c>
      <c r="E36" s="23">
        <f t="shared" ca="1" si="0"/>
        <v>40951</v>
      </c>
      <c r="F36" s="16">
        <f>DATE(90,2,6)</f>
        <v>32910</v>
      </c>
      <c r="G36" s="17">
        <f t="shared" ca="1" si="1"/>
        <v>22</v>
      </c>
      <c r="H36" s="17">
        <f t="shared" ca="1" si="2"/>
        <v>0</v>
      </c>
      <c r="I36" s="18">
        <f t="shared" ca="1" si="3"/>
        <v>6</v>
      </c>
      <c r="J36" s="19">
        <f t="shared" ca="1" si="4"/>
        <v>22</v>
      </c>
      <c r="K36" s="17" t="s">
        <v>41</v>
      </c>
      <c r="L36" s="20">
        <v>7</v>
      </c>
      <c r="M36" s="26" t="s">
        <v>44</v>
      </c>
      <c r="N36">
        <v>7</v>
      </c>
    </row>
    <row r="37" spans="1:14">
      <c r="A37" s="24" t="e">
        <f t="shared" si="5"/>
        <v>#REF!</v>
      </c>
      <c r="B37" s="66" t="s">
        <v>1</v>
      </c>
      <c r="C37" s="72" t="s">
        <v>1092</v>
      </c>
      <c r="D37" s="72" t="s">
        <v>1052</v>
      </c>
      <c r="E37" s="21">
        <f t="shared" ca="1" si="0"/>
        <v>40951</v>
      </c>
      <c r="F37" s="6">
        <f>DATE(52,12,26)</f>
        <v>19354</v>
      </c>
      <c r="G37" s="7">
        <f t="shared" ca="1" si="1"/>
        <v>60</v>
      </c>
      <c r="H37" s="7">
        <f t="shared" ca="1" si="2"/>
        <v>-10</v>
      </c>
      <c r="I37" s="8">
        <f t="shared" ca="1" si="3"/>
        <v>-14</v>
      </c>
      <c r="J37" s="9">
        <f t="shared" ca="1" si="4"/>
        <v>59</v>
      </c>
      <c r="K37" s="7" t="s">
        <v>41</v>
      </c>
      <c r="L37" s="10">
        <v>7</v>
      </c>
      <c r="M37" s="24" t="s">
        <v>40</v>
      </c>
      <c r="N37">
        <v>8</v>
      </c>
    </row>
    <row r="38" spans="1:14">
      <c r="A38" s="25" t="e">
        <f t="shared" si="5"/>
        <v>#REF!</v>
      </c>
      <c r="B38" s="67" t="s">
        <v>1</v>
      </c>
      <c r="C38" s="71" t="s">
        <v>1093</v>
      </c>
      <c r="D38" s="71" t="s">
        <v>560</v>
      </c>
      <c r="E38" s="22">
        <f t="shared" ca="1" si="0"/>
        <v>40951</v>
      </c>
      <c r="F38" s="11">
        <f>DATE(61,9,24)</f>
        <v>22548</v>
      </c>
      <c r="G38" s="12">
        <f t="shared" ca="1" si="1"/>
        <v>51</v>
      </c>
      <c r="H38" s="12">
        <f t="shared" ca="1" si="2"/>
        <v>-7</v>
      </c>
      <c r="I38" s="13">
        <f t="shared" ca="1" si="3"/>
        <v>-12</v>
      </c>
      <c r="J38" s="14">
        <f t="shared" ca="1" si="4"/>
        <v>50</v>
      </c>
      <c r="K38" s="12" t="s">
        <v>41</v>
      </c>
      <c r="L38" s="15">
        <v>7</v>
      </c>
      <c r="M38" s="25" t="s">
        <v>40</v>
      </c>
      <c r="N38">
        <v>8</v>
      </c>
    </row>
    <row r="39" spans="1:14">
      <c r="A39" s="25" t="e">
        <f t="shared" si="5"/>
        <v>#REF!</v>
      </c>
      <c r="B39" s="67" t="s">
        <v>1</v>
      </c>
      <c r="C39" s="71" t="s">
        <v>324</v>
      </c>
      <c r="D39" s="71" t="s">
        <v>560</v>
      </c>
      <c r="E39" s="22">
        <f t="shared" ca="1" si="0"/>
        <v>40951</v>
      </c>
      <c r="F39" s="11">
        <f>DATE(2002,12,29)</f>
        <v>37619</v>
      </c>
      <c r="G39" s="12">
        <f t="shared" ca="1" si="1"/>
        <v>10</v>
      </c>
      <c r="H39" s="12">
        <f t="shared" ca="1" si="2"/>
        <v>-10</v>
      </c>
      <c r="I39" s="13">
        <f t="shared" ca="1" si="3"/>
        <v>-17</v>
      </c>
      <c r="J39" s="14">
        <f t="shared" ca="1" si="4"/>
        <v>9</v>
      </c>
      <c r="K39" s="12" t="s">
        <v>41</v>
      </c>
      <c r="L39" s="15">
        <v>7</v>
      </c>
      <c r="M39" s="25" t="s">
        <v>44</v>
      </c>
      <c r="N39">
        <v>8</v>
      </c>
    </row>
    <row r="40" spans="1:14" ht="15.75" thickBot="1">
      <c r="A40" s="26" t="e">
        <f t="shared" si="5"/>
        <v>#REF!</v>
      </c>
      <c r="B40" s="68" t="s">
        <v>1</v>
      </c>
      <c r="C40" s="73" t="s">
        <v>1054</v>
      </c>
      <c r="D40" s="73" t="s">
        <v>1055</v>
      </c>
      <c r="E40" s="23">
        <f t="shared" ca="1" si="0"/>
        <v>40951</v>
      </c>
      <c r="F40" s="16">
        <f>DATE(58,12,19)</f>
        <v>21538</v>
      </c>
      <c r="G40" s="17">
        <f t="shared" ca="1" si="1"/>
        <v>54</v>
      </c>
      <c r="H40" s="17">
        <f t="shared" ca="1" si="2"/>
        <v>-10</v>
      </c>
      <c r="I40" s="18">
        <f t="shared" ca="1" si="3"/>
        <v>-7</v>
      </c>
      <c r="J40" s="19">
        <f t="shared" ca="1" si="4"/>
        <v>53</v>
      </c>
      <c r="K40" s="17" t="s">
        <v>41</v>
      </c>
      <c r="L40" s="20">
        <v>8</v>
      </c>
      <c r="M40" s="26" t="s">
        <v>40</v>
      </c>
      <c r="N40">
        <v>8</v>
      </c>
    </row>
    <row r="41" spans="1:14">
      <c r="A41" s="24" t="e">
        <f t="shared" si="5"/>
        <v>#REF!</v>
      </c>
      <c r="B41" s="66" t="s">
        <v>1</v>
      </c>
      <c r="C41" s="72" t="s">
        <v>160</v>
      </c>
      <c r="D41" s="72" t="s">
        <v>277</v>
      </c>
      <c r="E41" s="21">
        <f t="shared" ca="1" si="0"/>
        <v>40951</v>
      </c>
      <c r="F41" s="6">
        <f>DATE(87,8,16)</f>
        <v>32005</v>
      </c>
      <c r="G41" s="7">
        <f t="shared" ca="1" si="1"/>
        <v>25</v>
      </c>
      <c r="H41" s="7">
        <f t="shared" ca="1" si="2"/>
        <v>-6</v>
      </c>
      <c r="I41" s="8">
        <f t="shared" ca="1" si="3"/>
        <v>-4</v>
      </c>
      <c r="J41" s="9">
        <f t="shared" ca="1" si="4"/>
        <v>24</v>
      </c>
      <c r="K41" s="7" t="s">
        <v>41</v>
      </c>
      <c r="L41" s="10">
        <v>8</v>
      </c>
      <c r="M41" s="24" t="s">
        <v>44</v>
      </c>
      <c r="N41">
        <v>9</v>
      </c>
    </row>
    <row r="42" spans="1:14">
      <c r="A42" s="25" t="e">
        <f t="shared" si="5"/>
        <v>#REF!</v>
      </c>
      <c r="B42" s="67" t="s">
        <v>1</v>
      </c>
      <c r="C42" s="71" t="s">
        <v>487</v>
      </c>
      <c r="D42" s="71" t="s">
        <v>277</v>
      </c>
      <c r="E42" s="22">
        <f t="shared" ca="1" si="0"/>
        <v>40951</v>
      </c>
      <c r="F42" s="11">
        <f>DATE(65,7,18)</f>
        <v>23941</v>
      </c>
      <c r="G42" s="12">
        <f t="shared" ca="1" si="1"/>
        <v>47</v>
      </c>
      <c r="H42" s="12">
        <f t="shared" ca="1" si="2"/>
        <v>-5</v>
      </c>
      <c r="I42" s="13">
        <f t="shared" ca="1" si="3"/>
        <v>-6</v>
      </c>
      <c r="J42" s="14">
        <f t="shared" ca="1" si="4"/>
        <v>46</v>
      </c>
      <c r="K42" s="12" t="s">
        <v>41</v>
      </c>
      <c r="L42" s="15">
        <v>8</v>
      </c>
      <c r="M42" s="25" t="s">
        <v>40</v>
      </c>
      <c r="N42">
        <v>9</v>
      </c>
    </row>
    <row r="43" spans="1:14">
      <c r="A43" s="25" t="e">
        <f t="shared" si="5"/>
        <v>#REF!</v>
      </c>
      <c r="B43" s="67" t="s">
        <v>1</v>
      </c>
      <c r="C43" s="71" t="s">
        <v>395</v>
      </c>
      <c r="D43" s="71" t="s">
        <v>1059</v>
      </c>
      <c r="E43" s="22">
        <f t="shared" ca="1" si="0"/>
        <v>40951</v>
      </c>
      <c r="F43" s="11">
        <f>DATE(49,6,27)</f>
        <v>18076</v>
      </c>
      <c r="G43" s="12">
        <f t="shared" ca="1" si="1"/>
        <v>63</v>
      </c>
      <c r="H43" s="12">
        <f t="shared" ca="1" si="2"/>
        <v>-4</v>
      </c>
      <c r="I43" s="13">
        <f t="shared" ca="1" si="3"/>
        <v>-15</v>
      </c>
      <c r="J43" s="14">
        <f t="shared" ca="1" si="4"/>
        <v>62</v>
      </c>
      <c r="K43" s="12" t="s">
        <v>41</v>
      </c>
      <c r="L43" s="15">
        <v>8</v>
      </c>
      <c r="M43" s="25" t="s">
        <v>40</v>
      </c>
      <c r="N43">
        <v>9</v>
      </c>
    </row>
    <row r="44" spans="1:14" ht="15.75" thickBot="1">
      <c r="A44" s="26" t="e">
        <f t="shared" si="5"/>
        <v>#REF!</v>
      </c>
      <c r="B44" s="68" t="s">
        <v>1</v>
      </c>
      <c r="C44" s="73" t="s">
        <v>288</v>
      </c>
      <c r="D44" s="73" t="s">
        <v>1060</v>
      </c>
      <c r="E44" s="23">
        <f t="shared" ca="1" si="0"/>
        <v>40951</v>
      </c>
      <c r="F44" s="16">
        <f>DATE(73,12,18)</f>
        <v>27016</v>
      </c>
      <c r="G44" s="17">
        <f t="shared" ca="1" si="1"/>
        <v>39</v>
      </c>
      <c r="H44" s="17">
        <f t="shared" ca="1" si="2"/>
        <v>-10</v>
      </c>
      <c r="I44" s="18">
        <f t="shared" ca="1" si="3"/>
        <v>-6</v>
      </c>
      <c r="J44" s="19">
        <f t="shared" ca="1" si="4"/>
        <v>38</v>
      </c>
      <c r="K44" s="17" t="s">
        <v>41</v>
      </c>
      <c r="L44" s="20">
        <v>8</v>
      </c>
      <c r="M44" s="26" t="s">
        <v>40</v>
      </c>
      <c r="N44">
        <v>9</v>
      </c>
    </row>
    <row r="45" spans="1:14">
      <c r="A45" s="24" t="e">
        <f t="shared" si="5"/>
        <v>#REF!</v>
      </c>
      <c r="B45" s="66" t="s">
        <v>1</v>
      </c>
      <c r="C45" s="72" t="s">
        <v>1062</v>
      </c>
      <c r="D45" s="72" t="s">
        <v>1060</v>
      </c>
      <c r="E45" s="21">
        <f t="shared" ca="1" si="0"/>
        <v>40951</v>
      </c>
      <c r="F45" s="6">
        <f>DATE(91,12,16)</f>
        <v>33588</v>
      </c>
      <c r="G45" s="7">
        <f t="shared" ca="1" si="1"/>
        <v>21</v>
      </c>
      <c r="H45" s="7">
        <f t="shared" ca="1" si="2"/>
        <v>-10</v>
      </c>
      <c r="I45" s="8">
        <f t="shared" ca="1" si="3"/>
        <v>-4</v>
      </c>
      <c r="J45" s="9">
        <f t="shared" ca="1" si="4"/>
        <v>20</v>
      </c>
      <c r="K45" s="7" t="s">
        <v>41</v>
      </c>
      <c r="L45" s="10">
        <v>8</v>
      </c>
      <c r="M45" s="24" t="s">
        <v>44</v>
      </c>
      <c r="N45">
        <v>10</v>
      </c>
    </row>
    <row r="46" spans="1:14">
      <c r="A46" s="25" t="e">
        <f t="shared" si="5"/>
        <v>#REF!</v>
      </c>
      <c r="B46" s="67" t="s">
        <v>1</v>
      </c>
      <c r="C46" s="71" t="s">
        <v>768</v>
      </c>
      <c r="D46" s="71" t="s">
        <v>1063</v>
      </c>
      <c r="E46" s="22">
        <f t="shared" ca="1" si="0"/>
        <v>40951</v>
      </c>
      <c r="F46" s="11">
        <f>DATE(58,8,12)</f>
        <v>21409</v>
      </c>
      <c r="G46" s="12">
        <f t="shared" ca="1" si="1"/>
        <v>54</v>
      </c>
      <c r="H46" s="12">
        <f t="shared" ca="1" si="2"/>
        <v>-6</v>
      </c>
      <c r="I46" s="13">
        <f t="shared" ca="1" si="3"/>
        <v>0</v>
      </c>
      <c r="J46" s="14">
        <f t="shared" ca="1" si="4"/>
        <v>53</v>
      </c>
      <c r="K46" s="12" t="s">
        <v>41</v>
      </c>
      <c r="L46" s="15">
        <v>9</v>
      </c>
      <c r="M46" s="25" t="s">
        <v>40</v>
      </c>
      <c r="N46">
        <v>10</v>
      </c>
    </row>
    <row r="47" spans="1:14">
      <c r="A47" s="25" t="e">
        <f t="shared" si="5"/>
        <v>#REF!</v>
      </c>
      <c r="B47" s="67" t="s">
        <v>1</v>
      </c>
      <c r="C47" s="71" t="s">
        <v>125</v>
      </c>
      <c r="D47" s="71" t="s">
        <v>857</v>
      </c>
      <c r="E47" s="22">
        <f t="shared" ca="1" si="0"/>
        <v>40951</v>
      </c>
      <c r="F47" s="32"/>
      <c r="G47" s="12">
        <f t="shared" ca="1" si="1"/>
        <v>112</v>
      </c>
      <c r="H47" s="12">
        <f t="shared" ca="1" si="2"/>
        <v>1</v>
      </c>
      <c r="I47" s="13">
        <f t="shared" ca="1" si="3"/>
        <v>12</v>
      </c>
      <c r="J47" s="14">
        <f t="shared" ca="1" si="4"/>
        <v>112</v>
      </c>
      <c r="K47" s="12" t="s">
        <v>41</v>
      </c>
      <c r="L47" s="15">
        <v>9</v>
      </c>
      <c r="M47" s="25" t="s">
        <v>40</v>
      </c>
      <c r="N47">
        <v>10</v>
      </c>
    </row>
    <row r="48" spans="1:14" ht="15.75" thickBot="1">
      <c r="A48" s="26" t="e">
        <f t="shared" si="5"/>
        <v>#REF!</v>
      </c>
      <c r="B48" s="68" t="s">
        <v>1</v>
      </c>
      <c r="C48" s="73" t="s">
        <v>113</v>
      </c>
      <c r="D48" s="73" t="s">
        <v>1066</v>
      </c>
      <c r="E48" s="23">
        <f t="shared" ca="1" si="0"/>
        <v>40951</v>
      </c>
      <c r="F48" s="16">
        <f>DATE(57,1,22)</f>
        <v>20842</v>
      </c>
      <c r="G48" s="17">
        <f t="shared" ca="1" si="1"/>
        <v>55</v>
      </c>
      <c r="H48" s="17">
        <f t="shared" ca="1" si="2"/>
        <v>1</v>
      </c>
      <c r="I48" s="18">
        <f t="shared" ca="1" si="3"/>
        <v>-10</v>
      </c>
      <c r="J48" s="19">
        <f t="shared" ca="1" si="4"/>
        <v>55</v>
      </c>
      <c r="K48" s="17" t="s">
        <v>41</v>
      </c>
      <c r="L48" s="20">
        <v>9</v>
      </c>
      <c r="M48" s="26" t="s">
        <v>40</v>
      </c>
      <c r="N48">
        <v>10</v>
      </c>
    </row>
    <row r="49" spans="1:14">
      <c r="A49" s="24" t="e">
        <f t="shared" si="5"/>
        <v>#REF!</v>
      </c>
      <c r="B49" s="66" t="s">
        <v>1</v>
      </c>
      <c r="C49" s="72" t="s">
        <v>155</v>
      </c>
      <c r="D49" s="72" t="s">
        <v>1068</v>
      </c>
      <c r="E49" s="21">
        <f t="shared" ca="1" si="0"/>
        <v>40951</v>
      </c>
      <c r="F49" s="6">
        <f>DATE(62,6,28)</f>
        <v>22825</v>
      </c>
      <c r="G49" s="7">
        <f t="shared" ca="1" si="1"/>
        <v>50</v>
      </c>
      <c r="H49" s="7">
        <f t="shared" ca="1" si="2"/>
        <v>-4</v>
      </c>
      <c r="I49" s="8">
        <f t="shared" ca="1" si="3"/>
        <v>-16</v>
      </c>
      <c r="J49" s="9">
        <f t="shared" ca="1" si="4"/>
        <v>49</v>
      </c>
      <c r="K49" s="7" t="s">
        <v>41</v>
      </c>
      <c r="L49" s="10">
        <v>9</v>
      </c>
      <c r="M49" s="24" t="s">
        <v>40</v>
      </c>
      <c r="N49">
        <v>11</v>
      </c>
    </row>
    <row r="50" spans="1:14">
      <c r="A50" s="25" t="e">
        <f t="shared" si="5"/>
        <v>#REF!</v>
      </c>
      <c r="B50" s="67" t="s">
        <v>1</v>
      </c>
      <c r="C50" s="71" t="s">
        <v>74</v>
      </c>
      <c r="D50" s="71" t="s">
        <v>1068</v>
      </c>
      <c r="E50" s="22">
        <f t="shared" ca="1" si="0"/>
        <v>40951</v>
      </c>
      <c r="F50" s="11">
        <f>DATE(86,8,17)</f>
        <v>31641</v>
      </c>
      <c r="G50" s="12">
        <f t="shared" ca="1" si="1"/>
        <v>26</v>
      </c>
      <c r="H50" s="12">
        <f t="shared" ca="1" si="2"/>
        <v>-6</v>
      </c>
      <c r="I50" s="13">
        <f t="shared" ca="1" si="3"/>
        <v>-5</v>
      </c>
      <c r="J50" s="14">
        <f t="shared" ca="1" si="4"/>
        <v>25</v>
      </c>
      <c r="K50" s="12" t="s">
        <v>41</v>
      </c>
      <c r="L50" s="15">
        <v>9</v>
      </c>
      <c r="M50" s="25" t="s">
        <v>44</v>
      </c>
      <c r="N50">
        <v>11</v>
      </c>
    </row>
    <row r="51" spans="1:14" ht="15.75" thickBot="1">
      <c r="A51" s="26" t="e">
        <f t="shared" si="5"/>
        <v>#REF!</v>
      </c>
      <c r="B51" s="68" t="s">
        <v>1</v>
      </c>
      <c r="C51" s="73" t="s">
        <v>503</v>
      </c>
      <c r="D51" s="73" t="s">
        <v>94</v>
      </c>
      <c r="E51" s="23">
        <f t="shared" ca="1" si="0"/>
        <v>40951</v>
      </c>
      <c r="F51" s="33"/>
      <c r="G51" s="17">
        <f t="shared" ca="1" si="1"/>
        <v>112</v>
      </c>
      <c r="H51" s="17">
        <f t="shared" ca="1" si="2"/>
        <v>1</v>
      </c>
      <c r="I51" s="18">
        <f t="shared" ca="1" si="3"/>
        <v>12</v>
      </c>
      <c r="J51" s="19">
        <f t="shared" ca="1" si="4"/>
        <v>112</v>
      </c>
      <c r="K51" s="17" t="s">
        <v>41</v>
      </c>
      <c r="L51" s="20">
        <v>10</v>
      </c>
      <c r="M51" s="26" t="s">
        <v>40</v>
      </c>
      <c r="N51">
        <v>11</v>
      </c>
    </row>
    <row r="52" spans="1:14">
      <c r="A52" s="24" t="e">
        <f t="shared" si="5"/>
        <v>#REF!</v>
      </c>
      <c r="B52" s="66" t="s">
        <v>1</v>
      </c>
      <c r="C52" s="72" t="s">
        <v>458</v>
      </c>
      <c r="D52" s="72" t="s">
        <v>348</v>
      </c>
      <c r="E52" s="21">
        <f t="shared" ca="1" si="0"/>
        <v>40951</v>
      </c>
      <c r="F52" s="6">
        <f>DATE(66,5,1)</f>
        <v>24228</v>
      </c>
      <c r="G52" s="7">
        <f t="shared" ca="1" si="1"/>
        <v>46</v>
      </c>
      <c r="H52" s="7">
        <f t="shared" ca="1" si="2"/>
        <v>-3</v>
      </c>
      <c r="I52" s="8">
        <f t="shared" ca="1" si="3"/>
        <v>11</v>
      </c>
      <c r="J52" s="9">
        <f t="shared" ca="1" si="4"/>
        <v>45</v>
      </c>
      <c r="K52" s="7" t="s">
        <v>41</v>
      </c>
      <c r="L52" s="10">
        <v>10</v>
      </c>
      <c r="M52" s="24" t="s">
        <v>40</v>
      </c>
      <c r="N52">
        <v>12</v>
      </c>
    </row>
    <row r="53" spans="1:14">
      <c r="A53" s="25" t="e">
        <f t="shared" si="5"/>
        <v>#REF!</v>
      </c>
      <c r="B53" s="67" t="s">
        <v>1</v>
      </c>
      <c r="C53" s="71" t="s">
        <v>403</v>
      </c>
      <c r="D53" s="71" t="s">
        <v>348</v>
      </c>
      <c r="E53" s="22">
        <f t="shared" ca="1" si="0"/>
        <v>40951</v>
      </c>
      <c r="F53" s="11">
        <f>DATE(86,8,12)</f>
        <v>31636</v>
      </c>
      <c r="G53" s="12">
        <f t="shared" ca="1" si="1"/>
        <v>26</v>
      </c>
      <c r="H53" s="12">
        <f t="shared" ca="1" si="2"/>
        <v>-6</v>
      </c>
      <c r="I53" s="13">
        <f t="shared" ca="1" si="3"/>
        <v>0</v>
      </c>
      <c r="J53" s="14">
        <f t="shared" ca="1" si="4"/>
        <v>25</v>
      </c>
      <c r="K53" s="12" t="s">
        <v>41</v>
      </c>
      <c r="L53" s="15">
        <v>10</v>
      </c>
      <c r="M53" s="25" t="s">
        <v>44</v>
      </c>
      <c r="N53">
        <v>12</v>
      </c>
    </row>
    <row r="54" spans="1:14">
      <c r="A54" s="25" t="e">
        <f t="shared" si="5"/>
        <v>#REF!</v>
      </c>
      <c r="B54" s="67" t="s">
        <v>1</v>
      </c>
      <c r="C54" s="71" t="s">
        <v>1070</v>
      </c>
      <c r="D54" s="71" t="s">
        <v>348</v>
      </c>
      <c r="E54" s="22">
        <f t="shared" ca="1" si="0"/>
        <v>40951</v>
      </c>
      <c r="F54" s="11">
        <f>DATE(97,6,15)</f>
        <v>35596</v>
      </c>
      <c r="G54" s="12">
        <f t="shared" ca="1" si="1"/>
        <v>15</v>
      </c>
      <c r="H54" s="12">
        <f t="shared" ca="1" si="2"/>
        <v>-4</v>
      </c>
      <c r="I54" s="13">
        <f t="shared" ca="1" si="3"/>
        <v>-3</v>
      </c>
      <c r="J54" s="14">
        <f t="shared" ca="1" si="4"/>
        <v>14</v>
      </c>
      <c r="K54" s="12" t="s">
        <v>41</v>
      </c>
      <c r="L54" s="15">
        <v>10</v>
      </c>
      <c r="M54" s="25" t="s">
        <v>44</v>
      </c>
      <c r="N54">
        <v>12</v>
      </c>
    </row>
    <row r="55" spans="1:14">
      <c r="A55" s="25" t="e">
        <f t="shared" si="5"/>
        <v>#REF!</v>
      </c>
      <c r="B55" s="67" t="s">
        <v>1</v>
      </c>
      <c r="C55" s="71" t="s">
        <v>1071</v>
      </c>
      <c r="D55" s="71" t="s">
        <v>591</v>
      </c>
      <c r="E55" s="22">
        <f t="shared" ca="1" si="0"/>
        <v>40951</v>
      </c>
      <c r="F55" s="11">
        <f>DATE(61,7,27)</f>
        <v>22489</v>
      </c>
      <c r="G55" s="12">
        <f t="shared" ca="1" si="1"/>
        <v>51</v>
      </c>
      <c r="H55" s="12">
        <f t="shared" ca="1" si="2"/>
        <v>-5</v>
      </c>
      <c r="I55" s="13">
        <f t="shared" ca="1" si="3"/>
        <v>-15</v>
      </c>
      <c r="J55" s="14">
        <f t="shared" ca="1" si="4"/>
        <v>50</v>
      </c>
      <c r="K55" s="12" t="s">
        <v>41</v>
      </c>
      <c r="L55" s="15">
        <v>10</v>
      </c>
      <c r="M55" s="25" t="s">
        <v>40</v>
      </c>
      <c r="N55">
        <v>12</v>
      </c>
    </row>
    <row r="56" spans="1:14" ht="15.75" thickBot="1">
      <c r="A56" s="26" t="e">
        <f t="shared" si="5"/>
        <v>#REF!</v>
      </c>
      <c r="B56" s="68" t="s">
        <v>1</v>
      </c>
      <c r="C56" s="73" t="s">
        <v>533</v>
      </c>
      <c r="D56" s="71" t="s">
        <v>591</v>
      </c>
      <c r="E56" s="23">
        <f t="shared" ca="1" si="0"/>
        <v>40951</v>
      </c>
      <c r="F56" s="16">
        <f>DATE(84,7,7)</f>
        <v>30870</v>
      </c>
      <c r="G56" s="17">
        <f t="shared" ca="1" si="1"/>
        <v>28</v>
      </c>
      <c r="H56" s="17">
        <f t="shared" ca="1" si="2"/>
        <v>-5</v>
      </c>
      <c r="I56" s="18">
        <f t="shared" ca="1" si="3"/>
        <v>5</v>
      </c>
      <c r="J56" s="19">
        <f t="shared" ca="1" si="4"/>
        <v>27</v>
      </c>
      <c r="K56" s="17" t="s">
        <v>41</v>
      </c>
      <c r="L56" s="20">
        <v>10</v>
      </c>
      <c r="M56" s="26" t="s">
        <v>44</v>
      </c>
      <c r="N56">
        <v>12</v>
      </c>
    </row>
    <row r="57" spans="1:14">
      <c r="A57" s="24" t="e">
        <f t="shared" si="5"/>
        <v>#REF!</v>
      </c>
      <c r="B57" s="66" t="s">
        <v>1</v>
      </c>
      <c r="C57" s="72" t="s">
        <v>1072</v>
      </c>
      <c r="D57" s="72" t="s">
        <v>591</v>
      </c>
      <c r="E57" s="21">
        <f t="shared" ca="1" si="0"/>
        <v>40951</v>
      </c>
      <c r="F57" s="6">
        <f>DATE(86,12,1)</f>
        <v>31747</v>
      </c>
      <c r="G57" s="7">
        <f t="shared" ca="1" si="1"/>
        <v>26</v>
      </c>
      <c r="H57" s="7">
        <f t="shared" ca="1" si="2"/>
        <v>-10</v>
      </c>
      <c r="I57" s="8">
        <f t="shared" ca="1" si="3"/>
        <v>11</v>
      </c>
      <c r="J57" s="9">
        <f t="shared" ca="1" si="4"/>
        <v>25</v>
      </c>
      <c r="K57" s="7" t="s">
        <v>41</v>
      </c>
      <c r="L57" s="10">
        <v>10</v>
      </c>
      <c r="M57" s="24" t="s">
        <v>44</v>
      </c>
      <c r="N57">
        <v>13</v>
      </c>
    </row>
    <row r="58" spans="1:14">
      <c r="A58" s="25" t="e">
        <f t="shared" si="5"/>
        <v>#REF!</v>
      </c>
      <c r="B58" s="67" t="s">
        <v>1</v>
      </c>
      <c r="C58" s="71" t="s">
        <v>741</v>
      </c>
      <c r="D58" s="71" t="s">
        <v>591</v>
      </c>
      <c r="E58" s="22">
        <f t="shared" ca="1" si="0"/>
        <v>40951</v>
      </c>
      <c r="F58" s="11">
        <f>DATE(88,10,14)</f>
        <v>32430</v>
      </c>
      <c r="G58" s="12">
        <f t="shared" ca="1" si="1"/>
        <v>24</v>
      </c>
      <c r="H58" s="12">
        <f t="shared" ca="1" si="2"/>
        <v>-8</v>
      </c>
      <c r="I58" s="13">
        <f t="shared" ca="1" si="3"/>
        <v>-2</v>
      </c>
      <c r="J58" s="14">
        <f t="shared" ca="1" si="4"/>
        <v>23</v>
      </c>
      <c r="K58" s="12" t="s">
        <v>41</v>
      </c>
      <c r="L58" s="15">
        <v>10</v>
      </c>
      <c r="M58" s="25" t="s">
        <v>44</v>
      </c>
      <c r="N58">
        <v>13</v>
      </c>
    </row>
    <row r="59" spans="1:14">
      <c r="A59" s="25" t="e">
        <f t="shared" si="5"/>
        <v>#REF!</v>
      </c>
      <c r="B59" s="67" t="s">
        <v>1</v>
      </c>
      <c r="C59" s="67" t="s">
        <v>51</v>
      </c>
      <c r="D59" s="67" t="s">
        <v>49</v>
      </c>
      <c r="E59" s="22">
        <f t="shared" ca="1" si="0"/>
        <v>40951</v>
      </c>
      <c r="F59" s="11">
        <f>DATE(53,5,8)</f>
        <v>19487</v>
      </c>
      <c r="G59" s="12">
        <f t="shared" ca="1" si="1"/>
        <v>59</v>
      </c>
      <c r="H59" s="12">
        <f t="shared" ca="1" si="2"/>
        <v>-3</v>
      </c>
      <c r="I59" s="13">
        <f t="shared" ca="1" si="3"/>
        <v>4</v>
      </c>
      <c r="J59" s="14">
        <f t="shared" ca="1" si="4"/>
        <v>58</v>
      </c>
      <c r="K59" s="12" t="s">
        <v>41</v>
      </c>
      <c r="L59" s="15">
        <v>11</v>
      </c>
      <c r="M59" s="25" t="s">
        <v>40</v>
      </c>
      <c r="N59">
        <v>13</v>
      </c>
    </row>
    <row r="60" spans="1:14" ht="15.75" thickBot="1">
      <c r="A60" s="26" t="e">
        <f t="shared" si="5"/>
        <v>#REF!</v>
      </c>
      <c r="B60" s="68" t="s">
        <v>1</v>
      </c>
      <c r="C60" s="68" t="s">
        <v>53</v>
      </c>
      <c r="D60" s="67" t="s">
        <v>50</v>
      </c>
      <c r="E60" s="23">
        <f t="shared" ca="1" si="0"/>
        <v>40951</v>
      </c>
      <c r="F60" s="16">
        <f>DATE(31,3,11)</f>
        <v>11393</v>
      </c>
      <c r="G60" s="17">
        <f t="shared" ca="1" si="1"/>
        <v>81</v>
      </c>
      <c r="H60" s="17">
        <f t="shared" ca="1" si="2"/>
        <v>-1</v>
      </c>
      <c r="I60" s="18">
        <f t="shared" ca="1" si="3"/>
        <v>1</v>
      </c>
      <c r="J60" s="19">
        <f t="shared" ca="1" si="4"/>
        <v>80</v>
      </c>
      <c r="K60" s="17" t="s">
        <v>41</v>
      </c>
      <c r="L60" s="20">
        <v>11</v>
      </c>
      <c r="M60" s="26" t="s">
        <v>40</v>
      </c>
      <c r="N60">
        <v>13</v>
      </c>
    </row>
    <row r="61" spans="1:14">
      <c r="A61" s="24" t="e">
        <f t="shared" si="5"/>
        <v>#REF!</v>
      </c>
      <c r="B61" s="66" t="s">
        <v>1</v>
      </c>
      <c r="C61" s="66" t="s">
        <v>57</v>
      </c>
      <c r="D61" s="66" t="s">
        <v>55</v>
      </c>
      <c r="E61" s="21">
        <f t="shared" ca="1" si="0"/>
        <v>40951</v>
      </c>
      <c r="F61" s="45"/>
      <c r="G61" s="7">
        <f t="shared" ca="1" si="1"/>
        <v>112</v>
      </c>
      <c r="H61" s="7">
        <f t="shared" ca="1" si="2"/>
        <v>1</v>
      </c>
      <c r="I61" s="8">
        <f t="shared" ca="1" si="3"/>
        <v>12</v>
      </c>
      <c r="J61" s="9">
        <f t="shared" ca="1" si="4"/>
        <v>112</v>
      </c>
      <c r="K61" s="7" t="s">
        <v>41</v>
      </c>
      <c r="L61" s="10">
        <v>11</v>
      </c>
      <c r="M61" s="24" t="s">
        <v>40</v>
      </c>
      <c r="N61">
        <v>14</v>
      </c>
    </row>
    <row r="62" spans="1:14">
      <c r="A62" s="25" t="e">
        <f t="shared" si="5"/>
        <v>#REF!</v>
      </c>
      <c r="B62" s="67" t="s">
        <v>1</v>
      </c>
      <c r="C62" s="67" t="s">
        <v>59</v>
      </c>
      <c r="D62" s="67" t="s">
        <v>60</v>
      </c>
      <c r="E62" s="22">
        <f t="shared" ca="1" si="0"/>
        <v>40951</v>
      </c>
      <c r="F62" s="32"/>
      <c r="G62" s="12">
        <f t="shared" ca="1" si="1"/>
        <v>112</v>
      </c>
      <c r="H62" s="12">
        <f t="shared" ca="1" si="2"/>
        <v>1</v>
      </c>
      <c r="I62" s="13">
        <f t="shared" ca="1" si="3"/>
        <v>12</v>
      </c>
      <c r="J62" s="14">
        <f t="shared" ca="1" si="4"/>
        <v>112</v>
      </c>
      <c r="K62" s="12" t="s">
        <v>41</v>
      </c>
      <c r="L62" s="15">
        <v>11</v>
      </c>
      <c r="M62" s="25" t="s">
        <v>40</v>
      </c>
      <c r="N62">
        <v>14</v>
      </c>
    </row>
    <row r="63" spans="1:14">
      <c r="A63" s="25" t="e">
        <f t="shared" si="5"/>
        <v>#REF!</v>
      </c>
      <c r="B63" s="67" t="s">
        <v>1</v>
      </c>
      <c r="C63" s="67" t="s">
        <v>62</v>
      </c>
      <c r="D63" s="67" t="s">
        <v>61</v>
      </c>
      <c r="E63" s="22">
        <f t="shared" ca="1" si="0"/>
        <v>40951</v>
      </c>
      <c r="F63" s="11">
        <f>DATE(73,9,29)</f>
        <v>26936</v>
      </c>
      <c r="G63" s="12">
        <f t="shared" ca="1" si="1"/>
        <v>39</v>
      </c>
      <c r="H63" s="12">
        <f t="shared" ca="1" si="2"/>
        <v>-7</v>
      </c>
      <c r="I63" s="13">
        <f t="shared" ca="1" si="3"/>
        <v>-17</v>
      </c>
      <c r="J63" s="14">
        <f t="shared" ca="1" si="4"/>
        <v>38</v>
      </c>
      <c r="K63" s="12" t="s">
        <v>41</v>
      </c>
      <c r="L63" s="15">
        <v>11</v>
      </c>
      <c r="M63" s="25" t="s">
        <v>40</v>
      </c>
      <c r="N63">
        <v>14</v>
      </c>
    </row>
    <row r="64" spans="1:14" ht="15.75" thickBot="1">
      <c r="A64" s="26" t="e">
        <f t="shared" si="5"/>
        <v>#REF!</v>
      </c>
      <c r="B64" s="68" t="s">
        <v>1</v>
      </c>
      <c r="C64" s="68" t="s">
        <v>66</v>
      </c>
      <c r="D64" s="67" t="s">
        <v>64</v>
      </c>
      <c r="E64" s="23">
        <f t="shared" ca="1" si="0"/>
        <v>40951</v>
      </c>
      <c r="F64" s="16">
        <f>DATE(56,1,3)</f>
        <v>20457</v>
      </c>
      <c r="G64" s="17">
        <f t="shared" ca="1" si="1"/>
        <v>56</v>
      </c>
      <c r="H64" s="17">
        <f t="shared" ca="1" si="2"/>
        <v>1</v>
      </c>
      <c r="I64" s="18">
        <f t="shared" ca="1" si="3"/>
        <v>9</v>
      </c>
      <c r="J64" s="19">
        <f t="shared" ca="1" si="4"/>
        <v>56</v>
      </c>
      <c r="K64" s="17" t="s">
        <v>41</v>
      </c>
      <c r="L64" s="20">
        <v>12</v>
      </c>
      <c r="M64" s="26" t="s">
        <v>40</v>
      </c>
      <c r="N64">
        <v>14</v>
      </c>
    </row>
    <row r="65" spans="1:14">
      <c r="A65" s="24" t="e">
        <f t="shared" si="5"/>
        <v>#REF!</v>
      </c>
      <c r="B65" s="66" t="s">
        <v>1</v>
      </c>
      <c r="C65" s="66" t="s">
        <v>68</v>
      </c>
      <c r="D65" s="66" t="s">
        <v>64</v>
      </c>
      <c r="E65" s="21">
        <f t="shared" ref="E65:E128" ca="1" si="6">TODAY()</f>
        <v>40951</v>
      </c>
      <c r="F65" s="6">
        <f>DATE(82,12,28)</f>
        <v>30313</v>
      </c>
      <c r="G65" s="7">
        <f t="shared" ref="G65:G128" ca="1" si="7">YEAR(E65)-YEAR(F65)</f>
        <v>30</v>
      </c>
      <c r="H65" s="7">
        <f t="shared" ref="H65:H128" ca="1" si="8">MONTH(E65)-MONTH(F65)</f>
        <v>-10</v>
      </c>
      <c r="I65" s="8">
        <f t="shared" ref="I65:I128" ca="1" si="9">DAY(E65)-DAY(F65)</f>
        <v>-16</v>
      </c>
      <c r="J65" s="9">
        <f t="shared" ref="J65:J128" ca="1" si="10">IF(H65&lt;0,G65-1,IF(H65&gt;0,G65,IF(I65&lt;0,G65-1,G65)))</f>
        <v>29</v>
      </c>
      <c r="K65" s="7" t="s">
        <v>41</v>
      </c>
      <c r="L65" s="10">
        <v>12</v>
      </c>
      <c r="M65" s="24" t="s">
        <v>40</v>
      </c>
      <c r="N65">
        <v>15</v>
      </c>
    </row>
    <row r="66" spans="1:14">
      <c r="A66" s="25" t="e">
        <f t="shared" ref="A66:A129" si="11">A65+1</f>
        <v>#REF!</v>
      </c>
      <c r="B66" s="67" t="s">
        <v>1</v>
      </c>
      <c r="C66" s="67" t="s">
        <v>69</v>
      </c>
      <c r="D66" s="67" t="s">
        <v>70</v>
      </c>
      <c r="E66" s="22">
        <f t="shared" ca="1" si="6"/>
        <v>40951</v>
      </c>
      <c r="F66" s="11">
        <f>DATE(51,11,14)</f>
        <v>18946</v>
      </c>
      <c r="G66" s="12">
        <f t="shared" ca="1" si="7"/>
        <v>61</v>
      </c>
      <c r="H66" s="12">
        <f t="shared" ca="1" si="8"/>
        <v>-9</v>
      </c>
      <c r="I66" s="13">
        <f t="shared" ca="1" si="9"/>
        <v>-2</v>
      </c>
      <c r="J66" s="14">
        <f t="shared" ca="1" si="10"/>
        <v>60</v>
      </c>
      <c r="K66" s="12" t="s">
        <v>41</v>
      </c>
      <c r="L66" s="15">
        <v>12</v>
      </c>
      <c r="M66" s="25" t="s">
        <v>40</v>
      </c>
      <c r="N66">
        <v>15</v>
      </c>
    </row>
    <row r="67" spans="1:14">
      <c r="A67" s="25" t="e">
        <f t="shared" si="11"/>
        <v>#REF!</v>
      </c>
      <c r="B67" s="67" t="s">
        <v>1</v>
      </c>
      <c r="C67" s="67" t="s">
        <v>73</v>
      </c>
      <c r="D67" s="67" t="s">
        <v>71</v>
      </c>
      <c r="E67" s="22">
        <f t="shared" ca="1" si="6"/>
        <v>40951</v>
      </c>
      <c r="F67" s="11">
        <f>DATE(72,5,21)</f>
        <v>26440</v>
      </c>
      <c r="G67" s="12">
        <f t="shared" ca="1" si="7"/>
        <v>40</v>
      </c>
      <c r="H67" s="12">
        <f t="shared" ca="1" si="8"/>
        <v>-3</v>
      </c>
      <c r="I67" s="13">
        <f t="shared" ca="1" si="9"/>
        <v>-9</v>
      </c>
      <c r="J67" s="14">
        <f t="shared" ca="1" si="10"/>
        <v>39</v>
      </c>
      <c r="K67" s="12" t="s">
        <v>41</v>
      </c>
      <c r="L67" s="15">
        <v>12</v>
      </c>
      <c r="M67" s="25" t="s">
        <v>40</v>
      </c>
      <c r="N67">
        <v>15</v>
      </c>
    </row>
    <row r="68" spans="1:14">
      <c r="A68" s="25" t="e">
        <f t="shared" si="11"/>
        <v>#REF!</v>
      </c>
      <c r="B68" s="67" t="s">
        <v>1</v>
      </c>
      <c r="C68" s="67" t="s">
        <v>74</v>
      </c>
      <c r="D68" s="67" t="s">
        <v>71</v>
      </c>
      <c r="E68" s="22">
        <f t="shared" ca="1" si="6"/>
        <v>40951</v>
      </c>
      <c r="F68" s="11">
        <f>DATE(92,10,31)</f>
        <v>33908</v>
      </c>
      <c r="G68" s="12">
        <f t="shared" ca="1" si="7"/>
        <v>20</v>
      </c>
      <c r="H68" s="12">
        <f t="shared" ca="1" si="8"/>
        <v>-8</v>
      </c>
      <c r="I68" s="13">
        <f t="shared" ca="1" si="9"/>
        <v>-19</v>
      </c>
      <c r="J68" s="14">
        <f t="shared" ca="1" si="10"/>
        <v>19</v>
      </c>
      <c r="K68" s="12" t="s">
        <v>41</v>
      </c>
      <c r="L68" s="15">
        <v>12</v>
      </c>
      <c r="M68" s="25" t="s">
        <v>44</v>
      </c>
      <c r="N68">
        <v>15</v>
      </c>
    </row>
    <row r="69" spans="1:14" ht="15.75" thickBot="1">
      <c r="A69" s="26" t="e">
        <f t="shared" si="11"/>
        <v>#REF!</v>
      </c>
      <c r="B69" s="68" t="s">
        <v>1</v>
      </c>
      <c r="C69" s="68" t="s">
        <v>75</v>
      </c>
      <c r="D69" s="67" t="s">
        <v>71</v>
      </c>
      <c r="E69" s="23">
        <f t="shared" ca="1" si="6"/>
        <v>40951</v>
      </c>
      <c r="F69" s="16">
        <f>DATE(91,5,11)</f>
        <v>33369</v>
      </c>
      <c r="G69" s="17">
        <f t="shared" ca="1" si="7"/>
        <v>21</v>
      </c>
      <c r="H69" s="17">
        <f t="shared" ca="1" si="8"/>
        <v>-3</v>
      </c>
      <c r="I69" s="18">
        <f t="shared" ca="1" si="9"/>
        <v>1</v>
      </c>
      <c r="J69" s="19">
        <f t="shared" ca="1" si="10"/>
        <v>20</v>
      </c>
      <c r="K69" s="17" t="s">
        <v>41</v>
      </c>
      <c r="L69" s="20">
        <v>12</v>
      </c>
      <c r="M69" s="26" t="s">
        <v>44</v>
      </c>
      <c r="N69">
        <v>15</v>
      </c>
    </row>
    <row r="70" spans="1:14">
      <c r="A70" s="24" t="e">
        <f t="shared" si="11"/>
        <v>#REF!</v>
      </c>
      <c r="B70" s="66" t="s">
        <v>1</v>
      </c>
      <c r="C70" s="66" t="s">
        <v>78</v>
      </c>
      <c r="D70" s="66" t="s">
        <v>76</v>
      </c>
      <c r="E70" s="21">
        <f t="shared" ca="1" si="6"/>
        <v>40951</v>
      </c>
      <c r="F70" s="6">
        <f>DATE(43,10,19)</f>
        <v>15998</v>
      </c>
      <c r="G70" s="7">
        <f t="shared" ca="1" si="7"/>
        <v>69</v>
      </c>
      <c r="H70" s="7">
        <f t="shared" ca="1" si="8"/>
        <v>-8</v>
      </c>
      <c r="I70" s="8">
        <f t="shared" ca="1" si="9"/>
        <v>-7</v>
      </c>
      <c r="J70" s="9">
        <f t="shared" ca="1" si="10"/>
        <v>68</v>
      </c>
      <c r="K70" s="7" t="s">
        <v>41</v>
      </c>
      <c r="L70" s="10">
        <v>13</v>
      </c>
      <c r="M70" s="24" t="s">
        <v>40</v>
      </c>
      <c r="N70">
        <v>16</v>
      </c>
    </row>
    <row r="71" spans="1:14" ht="15.75" thickBot="1">
      <c r="A71" s="26" t="e">
        <f t="shared" si="11"/>
        <v>#REF!</v>
      </c>
      <c r="B71" s="68" t="s">
        <v>1</v>
      </c>
      <c r="C71" s="68" t="s">
        <v>47</v>
      </c>
      <c r="D71" s="68" t="s">
        <v>76</v>
      </c>
      <c r="E71" s="23">
        <f t="shared" ca="1" si="6"/>
        <v>40951</v>
      </c>
      <c r="F71" s="16">
        <f>DATE(73,12,31)</f>
        <v>27029</v>
      </c>
      <c r="G71" s="17">
        <f t="shared" ca="1" si="7"/>
        <v>39</v>
      </c>
      <c r="H71" s="17">
        <f t="shared" ca="1" si="8"/>
        <v>-10</v>
      </c>
      <c r="I71" s="18">
        <f t="shared" ca="1" si="9"/>
        <v>-19</v>
      </c>
      <c r="J71" s="19">
        <f t="shared" ca="1" si="10"/>
        <v>38</v>
      </c>
      <c r="K71" s="17" t="s">
        <v>41</v>
      </c>
      <c r="L71" s="20">
        <v>13</v>
      </c>
      <c r="M71" s="26" t="s">
        <v>40</v>
      </c>
      <c r="N71">
        <v>16</v>
      </c>
    </row>
    <row r="72" spans="1:14">
      <c r="A72" s="24" t="e">
        <f t="shared" si="11"/>
        <v>#REF!</v>
      </c>
      <c r="B72" s="66" t="s">
        <v>1</v>
      </c>
      <c r="C72" s="66" t="s">
        <v>81</v>
      </c>
      <c r="D72" s="66" t="s">
        <v>82</v>
      </c>
      <c r="E72" s="21">
        <f t="shared" ca="1" si="6"/>
        <v>40951</v>
      </c>
      <c r="F72" s="6">
        <f>DATE(45,7,25)</f>
        <v>16643</v>
      </c>
      <c r="G72" s="7">
        <f t="shared" ca="1" si="7"/>
        <v>67</v>
      </c>
      <c r="H72" s="7">
        <f t="shared" ca="1" si="8"/>
        <v>-5</v>
      </c>
      <c r="I72" s="8">
        <f t="shared" ca="1" si="9"/>
        <v>-13</v>
      </c>
      <c r="J72" s="9">
        <f t="shared" ca="1" si="10"/>
        <v>66</v>
      </c>
      <c r="K72" s="7" t="s">
        <v>41</v>
      </c>
      <c r="L72" s="10">
        <v>13</v>
      </c>
      <c r="M72" s="24" t="s">
        <v>44</v>
      </c>
      <c r="N72">
        <v>17</v>
      </c>
    </row>
    <row r="73" spans="1:14">
      <c r="A73" s="25" t="e">
        <f t="shared" si="11"/>
        <v>#REF!</v>
      </c>
      <c r="B73" s="67" t="s">
        <v>1</v>
      </c>
      <c r="C73" s="67" t="s">
        <v>83</v>
      </c>
      <c r="D73" s="67" t="s">
        <v>82</v>
      </c>
      <c r="E73" s="22">
        <f t="shared" ca="1" si="6"/>
        <v>40951</v>
      </c>
      <c r="F73" s="11">
        <f>DATE(52,9,26)</f>
        <v>19263</v>
      </c>
      <c r="G73" s="12">
        <f t="shared" ca="1" si="7"/>
        <v>60</v>
      </c>
      <c r="H73" s="12">
        <f t="shared" ca="1" si="8"/>
        <v>-7</v>
      </c>
      <c r="I73" s="13">
        <f t="shared" ca="1" si="9"/>
        <v>-14</v>
      </c>
      <c r="J73" s="14">
        <f t="shared" ca="1" si="10"/>
        <v>59</v>
      </c>
      <c r="K73" s="12" t="s">
        <v>41</v>
      </c>
      <c r="L73" s="15">
        <v>13</v>
      </c>
      <c r="M73" s="25" t="s">
        <v>44</v>
      </c>
      <c r="N73">
        <v>17</v>
      </c>
    </row>
    <row r="74" spans="1:14">
      <c r="A74" s="25" t="e">
        <f t="shared" si="11"/>
        <v>#REF!</v>
      </c>
      <c r="B74" s="67" t="s">
        <v>1</v>
      </c>
      <c r="C74" s="67" t="s">
        <v>84</v>
      </c>
      <c r="D74" s="67" t="s">
        <v>82</v>
      </c>
      <c r="E74" s="22">
        <f t="shared" ca="1" si="6"/>
        <v>40951</v>
      </c>
      <c r="F74" s="11">
        <f>DATE(47,7,28)</f>
        <v>17376</v>
      </c>
      <c r="G74" s="12">
        <f t="shared" ca="1" si="7"/>
        <v>65</v>
      </c>
      <c r="H74" s="12">
        <f t="shared" ca="1" si="8"/>
        <v>-5</v>
      </c>
      <c r="I74" s="13">
        <f t="shared" ca="1" si="9"/>
        <v>-16</v>
      </c>
      <c r="J74" s="14">
        <f t="shared" ca="1" si="10"/>
        <v>64</v>
      </c>
      <c r="K74" s="12" t="s">
        <v>41</v>
      </c>
      <c r="L74" s="15">
        <v>13</v>
      </c>
      <c r="M74" s="25" t="s">
        <v>44</v>
      </c>
      <c r="N74">
        <v>17</v>
      </c>
    </row>
    <row r="75" spans="1:14">
      <c r="A75" s="25" t="e">
        <f t="shared" si="11"/>
        <v>#REF!</v>
      </c>
      <c r="B75" s="67" t="s">
        <v>1</v>
      </c>
      <c r="C75" s="67" t="s">
        <v>87</v>
      </c>
      <c r="D75" s="67" t="s">
        <v>86</v>
      </c>
      <c r="E75" s="22">
        <f t="shared" ca="1" si="6"/>
        <v>40951</v>
      </c>
      <c r="F75" s="11">
        <f>DATE(48,7,7)</f>
        <v>17721</v>
      </c>
      <c r="G75" s="12">
        <f t="shared" ca="1" si="7"/>
        <v>64</v>
      </c>
      <c r="H75" s="12">
        <f t="shared" ca="1" si="8"/>
        <v>-5</v>
      </c>
      <c r="I75" s="13">
        <f t="shared" ca="1" si="9"/>
        <v>5</v>
      </c>
      <c r="J75" s="14">
        <f t="shared" ca="1" si="10"/>
        <v>63</v>
      </c>
      <c r="K75" s="12" t="s">
        <v>41</v>
      </c>
      <c r="L75" s="15">
        <v>13</v>
      </c>
      <c r="M75" s="25" t="s">
        <v>40</v>
      </c>
      <c r="N75">
        <v>17</v>
      </c>
    </row>
    <row r="76" spans="1:14">
      <c r="A76" s="25" t="e">
        <f t="shared" si="11"/>
        <v>#REF!</v>
      </c>
      <c r="B76" s="67" t="s">
        <v>1</v>
      </c>
      <c r="C76" s="67" t="s">
        <v>89</v>
      </c>
      <c r="D76" s="67" t="s">
        <v>88</v>
      </c>
      <c r="E76" s="22">
        <f t="shared" ca="1" si="6"/>
        <v>40951</v>
      </c>
      <c r="F76" s="11">
        <f>DATE(75,10,7)</f>
        <v>27674</v>
      </c>
      <c r="G76" s="12">
        <f t="shared" ca="1" si="7"/>
        <v>37</v>
      </c>
      <c r="H76" s="12">
        <f t="shared" ca="1" si="8"/>
        <v>-8</v>
      </c>
      <c r="I76" s="13">
        <f t="shared" ca="1" si="9"/>
        <v>5</v>
      </c>
      <c r="J76" s="14">
        <f t="shared" ca="1" si="10"/>
        <v>36</v>
      </c>
      <c r="K76" s="12" t="s">
        <v>41</v>
      </c>
      <c r="L76" s="15">
        <v>14</v>
      </c>
      <c r="M76" s="25" t="s">
        <v>40</v>
      </c>
      <c r="N76">
        <v>17</v>
      </c>
    </row>
    <row r="77" spans="1:14">
      <c r="A77" s="25" t="e">
        <f t="shared" si="11"/>
        <v>#REF!</v>
      </c>
      <c r="B77" s="67" t="s">
        <v>1</v>
      </c>
      <c r="C77" s="67" t="s">
        <v>48</v>
      </c>
      <c r="D77" s="67" t="s">
        <v>90</v>
      </c>
      <c r="E77" s="22">
        <f t="shared" ca="1" si="6"/>
        <v>40951</v>
      </c>
      <c r="F77" s="11">
        <f>DATE(58,1,2)</f>
        <v>21187</v>
      </c>
      <c r="G77" s="12">
        <f t="shared" ca="1" si="7"/>
        <v>54</v>
      </c>
      <c r="H77" s="12">
        <f t="shared" ca="1" si="8"/>
        <v>1</v>
      </c>
      <c r="I77" s="13">
        <f t="shared" ca="1" si="9"/>
        <v>10</v>
      </c>
      <c r="J77" s="14">
        <f t="shared" ca="1" si="10"/>
        <v>54</v>
      </c>
      <c r="K77" s="12" t="s">
        <v>41</v>
      </c>
      <c r="L77" s="15">
        <v>14</v>
      </c>
      <c r="M77" s="25" t="s">
        <v>40</v>
      </c>
      <c r="N77">
        <v>17</v>
      </c>
    </row>
    <row r="78" spans="1:14" ht="15.75" thickBot="1">
      <c r="A78" s="26" t="e">
        <f t="shared" si="11"/>
        <v>#REF!</v>
      </c>
      <c r="B78" s="68" t="s">
        <v>1</v>
      </c>
      <c r="C78" s="68" t="s">
        <v>95</v>
      </c>
      <c r="D78" s="68" t="s">
        <v>96</v>
      </c>
      <c r="E78" s="23">
        <f t="shared" ca="1" si="6"/>
        <v>40951</v>
      </c>
      <c r="F78" s="16">
        <f>DATE(67,11,18)</f>
        <v>24794</v>
      </c>
      <c r="G78" s="17">
        <f t="shared" ca="1" si="7"/>
        <v>45</v>
      </c>
      <c r="H78" s="17">
        <f t="shared" ca="1" si="8"/>
        <v>-9</v>
      </c>
      <c r="I78" s="18">
        <f t="shared" ca="1" si="9"/>
        <v>-6</v>
      </c>
      <c r="J78" s="19">
        <f t="shared" ca="1" si="10"/>
        <v>44</v>
      </c>
      <c r="K78" s="17" t="s">
        <v>41</v>
      </c>
      <c r="L78" s="20">
        <v>14</v>
      </c>
      <c r="M78" s="26" t="s">
        <v>40</v>
      </c>
      <c r="N78">
        <v>17</v>
      </c>
    </row>
    <row r="79" spans="1:14">
      <c r="A79" s="24" t="e">
        <f t="shared" si="11"/>
        <v>#REF!</v>
      </c>
      <c r="B79" s="66" t="s">
        <v>1</v>
      </c>
      <c r="C79" s="66" t="s">
        <v>97</v>
      </c>
      <c r="D79" s="66" t="s">
        <v>96</v>
      </c>
      <c r="E79" s="21">
        <f t="shared" ca="1" si="6"/>
        <v>40951</v>
      </c>
      <c r="F79" s="6">
        <f>DATE(95,3,18)</f>
        <v>34776</v>
      </c>
      <c r="G79" s="7">
        <f t="shared" ca="1" si="7"/>
        <v>17</v>
      </c>
      <c r="H79" s="7">
        <f t="shared" ca="1" si="8"/>
        <v>-1</v>
      </c>
      <c r="I79" s="8">
        <f t="shared" ca="1" si="9"/>
        <v>-6</v>
      </c>
      <c r="J79" s="9">
        <f t="shared" ca="1" si="10"/>
        <v>16</v>
      </c>
      <c r="K79" s="7" t="s">
        <v>41</v>
      </c>
      <c r="L79" s="10">
        <v>14</v>
      </c>
      <c r="M79" s="24" t="s">
        <v>44</v>
      </c>
      <c r="N79">
        <v>18</v>
      </c>
    </row>
    <row r="80" spans="1:14">
      <c r="A80" s="25" t="e">
        <f t="shared" si="11"/>
        <v>#REF!</v>
      </c>
      <c r="B80" s="67" t="s">
        <v>1</v>
      </c>
      <c r="C80" s="67" t="s">
        <v>100</v>
      </c>
      <c r="D80" s="67" t="s">
        <v>98</v>
      </c>
      <c r="E80" s="22">
        <f t="shared" ca="1" si="6"/>
        <v>40951</v>
      </c>
      <c r="F80" s="11">
        <f>DATE(76,3,12)</f>
        <v>27831</v>
      </c>
      <c r="G80" s="12">
        <f t="shared" ca="1" si="7"/>
        <v>36</v>
      </c>
      <c r="H80" s="12">
        <f t="shared" ca="1" si="8"/>
        <v>-1</v>
      </c>
      <c r="I80" s="13">
        <f t="shared" ca="1" si="9"/>
        <v>0</v>
      </c>
      <c r="J80" s="14">
        <f t="shared" ca="1" si="10"/>
        <v>35</v>
      </c>
      <c r="K80" s="12" t="s">
        <v>41</v>
      </c>
      <c r="L80" s="15">
        <v>14</v>
      </c>
      <c r="M80" s="25" t="s">
        <v>40</v>
      </c>
      <c r="N80">
        <v>18</v>
      </c>
    </row>
    <row r="81" spans="1:14">
      <c r="A81" s="25" t="e">
        <f t="shared" si="11"/>
        <v>#REF!</v>
      </c>
      <c r="B81" s="67" t="s">
        <v>1</v>
      </c>
      <c r="C81" s="67" t="s">
        <v>102</v>
      </c>
      <c r="D81" s="67" t="s">
        <v>103</v>
      </c>
      <c r="E81" s="22">
        <f t="shared" ca="1" si="6"/>
        <v>40951</v>
      </c>
      <c r="F81" s="80"/>
      <c r="G81" s="12">
        <f t="shared" ca="1" si="7"/>
        <v>112</v>
      </c>
      <c r="H81" s="12">
        <f t="shared" ca="1" si="8"/>
        <v>1</v>
      </c>
      <c r="I81" s="13">
        <f t="shared" ca="1" si="9"/>
        <v>12</v>
      </c>
      <c r="J81" s="14">
        <f t="shared" ca="1" si="10"/>
        <v>112</v>
      </c>
      <c r="K81" s="12" t="s">
        <v>41</v>
      </c>
      <c r="L81" s="15">
        <v>15</v>
      </c>
      <c r="M81" s="25" t="s">
        <v>40</v>
      </c>
      <c r="N81">
        <v>18</v>
      </c>
    </row>
    <row r="82" spans="1:14" ht="15.75" thickBot="1">
      <c r="A82" s="26" t="e">
        <f t="shared" si="11"/>
        <v>#REF!</v>
      </c>
      <c r="B82" s="68" t="s">
        <v>1</v>
      </c>
      <c r="C82" s="68" t="s">
        <v>105</v>
      </c>
      <c r="D82" s="67" t="s">
        <v>104</v>
      </c>
      <c r="E82" s="23">
        <f t="shared" ca="1" si="6"/>
        <v>40951</v>
      </c>
      <c r="F82" s="16">
        <f>DATE(75,2,7)</f>
        <v>27432</v>
      </c>
      <c r="G82" s="17">
        <f t="shared" ca="1" si="7"/>
        <v>37</v>
      </c>
      <c r="H82" s="17">
        <f t="shared" ca="1" si="8"/>
        <v>0</v>
      </c>
      <c r="I82" s="18">
        <f t="shared" ca="1" si="9"/>
        <v>5</v>
      </c>
      <c r="J82" s="19">
        <f t="shared" ca="1" si="10"/>
        <v>37</v>
      </c>
      <c r="K82" s="17" t="s">
        <v>41</v>
      </c>
      <c r="L82" s="20">
        <v>15</v>
      </c>
      <c r="M82" s="26" t="s">
        <v>40</v>
      </c>
      <c r="N82">
        <v>18</v>
      </c>
    </row>
    <row r="83" spans="1:14">
      <c r="A83" s="24" t="e">
        <f t="shared" si="11"/>
        <v>#REF!</v>
      </c>
      <c r="B83" s="66" t="s">
        <v>1</v>
      </c>
      <c r="C83" s="66" t="s">
        <v>107</v>
      </c>
      <c r="D83" s="66" t="s">
        <v>104</v>
      </c>
      <c r="E83" s="21">
        <f t="shared" ca="1" si="6"/>
        <v>40951</v>
      </c>
      <c r="F83" s="6">
        <f>DATE(2006,5,21)</f>
        <v>38858</v>
      </c>
      <c r="G83" s="7">
        <f t="shared" ca="1" si="7"/>
        <v>6</v>
      </c>
      <c r="H83" s="7">
        <f t="shared" ca="1" si="8"/>
        <v>-3</v>
      </c>
      <c r="I83" s="8">
        <f t="shared" ca="1" si="9"/>
        <v>-9</v>
      </c>
      <c r="J83" s="9">
        <f t="shared" ca="1" si="10"/>
        <v>5</v>
      </c>
      <c r="K83" s="7" t="s">
        <v>41</v>
      </c>
      <c r="L83" s="10">
        <v>15</v>
      </c>
      <c r="M83" s="24" t="s">
        <v>44</v>
      </c>
      <c r="N83">
        <v>19</v>
      </c>
    </row>
    <row r="84" spans="1:14">
      <c r="A84" s="25" t="e">
        <f t="shared" si="11"/>
        <v>#REF!</v>
      </c>
      <c r="B84" s="67" t="s">
        <v>1</v>
      </c>
      <c r="C84" s="67" t="s">
        <v>111</v>
      </c>
      <c r="D84" s="67" t="s">
        <v>109</v>
      </c>
      <c r="E84" s="22">
        <f t="shared" ca="1" si="6"/>
        <v>40951</v>
      </c>
      <c r="F84" s="11">
        <f>DATE(47,2,9)</f>
        <v>17207</v>
      </c>
      <c r="G84" s="12">
        <f t="shared" ca="1" si="7"/>
        <v>65</v>
      </c>
      <c r="H84" s="12">
        <f t="shared" ca="1" si="8"/>
        <v>0</v>
      </c>
      <c r="I84" s="13">
        <f t="shared" ca="1" si="9"/>
        <v>3</v>
      </c>
      <c r="J84" s="14">
        <f t="shared" ca="1" si="10"/>
        <v>65</v>
      </c>
      <c r="K84" s="12" t="s">
        <v>41</v>
      </c>
      <c r="L84" s="15">
        <v>15</v>
      </c>
      <c r="M84" s="25" t="s">
        <v>40</v>
      </c>
      <c r="N84">
        <v>19</v>
      </c>
    </row>
    <row r="85" spans="1:14" ht="15.75" thickBot="1">
      <c r="A85" s="26" t="e">
        <f t="shared" si="11"/>
        <v>#REF!</v>
      </c>
      <c r="B85" s="68" t="s">
        <v>1</v>
      </c>
      <c r="C85" s="68" t="s">
        <v>113</v>
      </c>
      <c r="D85" s="67" t="s">
        <v>112</v>
      </c>
      <c r="E85" s="23">
        <f t="shared" ca="1" si="6"/>
        <v>40951</v>
      </c>
      <c r="F85" s="16">
        <f>DATE(74,1,23)</f>
        <v>27052</v>
      </c>
      <c r="G85" s="17">
        <f t="shared" ca="1" si="7"/>
        <v>38</v>
      </c>
      <c r="H85" s="17">
        <f t="shared" ca="1" si="8"/>
        <v>1</v>
      </c>
      <c r="I85" s="18">
        <f t="shared" ca="1" si="9"/>
        <v>-11</v>
      </c>
      <c r="J85" s="19">
        <f t="shared" ca="1" si="10"/>
        <v>38</v>
      </c>
      <c r="K85" s="17" t="s">
        <v>41</v>
      </c>
      <c r="L85" s="20">
        <v>15</v>
      </c>
      <c r="M85" s="26" t="s">
        <v>40</v>
      </c>
      <c r="N85">
        <v>19</v>
      </c>
    </row>
    <row r="86" spans="1:14">
      <c r="A86" s="24" t="e">
        <f t="shared" si="11"/>
        <v>#REF!</v>
      </c>
      <c r="B86" s="66" t="s">
        <v>1</v>
      </c>
      <c r="C86" s="66" t="s">
        <v>115</v>
      </c>
      <c r="D86" s="66" t="s">
        <v>114</v>
      </c>
      <c r="E86" s="21">
        <f t="shared" ca="1" si="6"/>
        <v>40951</v>
      </c>
      <c r="F86" s="6">
        <f>DATE(75,8,2)</f>
        <v>27608</v>
      </c>
      <c r="G86" s="7">
        <f t="shared" ca="1" si="7"/>
        <v>37</v>
      </c>
      <c r="H86" s="7">
        <f t="shared" ca="1" si="8"/>
        <v>-6</v>
      </c>
      <c r="I86" s="8">
        <f t="shared" ca="1" si="9"/>
        <v>10</v>
      </c>
      <c r="J86" s="9">
        <f t="shared" ca="1" si="10"/>
        <v>36</v>
      </c>
      <c r="K86" s="7" t="s">
        <v>41</v>
      </c>
      <c r="L86" s="10">
        <v>15</v>
      </c>
      <c r="M86" s="24" t="s">
        <v>40</v>
      </c>
      <c r="N86">
        <v>20</v>
      </c>
    </row>
    <row r="87" spans="1:14">
      <c r="A87" s="25" t="e">
        <f t="shared" si="11"/>
        <v>#REF!</v>
      </c>
      <c r="B87" s="67" t="s">
        <v>1</v>
      </c>
      <c r="C87" s="67" t="s">
        <v>119</v>
      </c>
      <c r="D87" s="67" t="s">
        <v>118</v>
      </c>
      <c r="E87" s="22">
        <f t="shared" ca="1" si="6"/>
        <v>40951</v>
      </c>
      <c r="F87" s="11">
        <f>DATE(74,12,14)</f>
        <v>27377</v>
      </c>
      <c r="G87" s="12">
        <f t="shared" ca="1" si="7"/>
        <v>38</v>
      </c>
      <c r="H87" s="12">
        <f t="shared" ca="1" si="8"/>
        <v>-10</v>
      </c>
      <c r="I87" s="13">
        <f t="shared" ca="1" si="9"/>
        <v>-2</v>
      </c>
      <c r="J87" s="14">
        <f t="shared" ca="1" si="10"/>
        <v>37</v>
      </c>
      <c r="K87" s="12" t="s">
        <v>41</v>
      </c>
      <c r="L87" s="15">
        <v>15</v>
      </c>
      <c r="M87" s="25" t="s">
        <v>40</v>
      </c>
      <c r="N87">
        <v>20</v>
      </c>
    </row>
    <row r="88" spans="1:14">
      <c r="A88" s="25" t="e">
        <f t="shared" si="11"/>
        <v>#REF!</v>
      </c>
      <c r="B88" s="67" t="s">
        <v>1</v>
      </c>
      <c r="C88" s="67" t="s">
        <v>122</v>
      </c>
      <c r="D88" s="67" t="s">
        <v>121</v>
      </c>
      <c r="E88" s="22">
        <f t="shared" ca="1" si="6"/>
        <v>40951</v>
      </c>
      <c r="F88" s="11">
        <f>DATE(82,4,20)</f>
        <v>30061</v>
      </c>
      <c r="G88" s="12">
        <f t="shared" ca="1" si="7"/>
        <v>30</v>
      </c>
      <c r="H88" s="12">
        <f t="shared" ca="1" si="8"/>
        <v>-2</v>
      </c>
      <c r="I88" s="13">
        <f t="shared" ca="1" si="9"/>
        <v>-8</v>
      </c>
      <c r="J88" s="14">
        <f t="shared" ca="1" si="10"/>
        <v>29</v>
      </c>
      <c r="K88" s="12" t="s">
        <v>41</v>
      </c>
      <c r="L88" s="15">
        <v>15</v>
      </c>
      <c r="M88" s="25" t="s">
        <v>40</v>
      </c>
      <c r="N88">
        <v>20</v>
      </c>
    </row>
    <row r="89" spans="1:14" ht="15.75" thickBot="1">
      <c r="A89" s="26" t="e">
        <f t="shared" si="11"/>
        <v>#REF!</v>
      </c>
      <c r="B89" s="68" t="s">
        <v>1</v>
      </c>
      <c r="C89" s="68" t="s">
        <v>124</v>
      </c>
      <c r="D89" s="67" t="s">
        <v>123</v>
      </c>
      <c r="E89" s="23">
        <f t="shared" ca="1" si="6"/>
        <v>40951</v>
      </c>
      <c r="F89" s="16">
        <f>DATE(60,2,19)</f>
        <v>21965</v>
      </c>
      <c r="G89" s="17">
        <f t="shared" ca="1" si="7"/>
        <v>52</v>
      </c>
      <c r="H89" s="17">
        <f t="shared" ca="1" si="8"/>
        <v>0</v>
      </c>
      <c r="I89" s="18">
        <f t="shared" ca="1" si="9"/>
        <v>-7</v>
      </c>
      <c r="J89" s="19">
        <f t="shared" ca="1" si="10"/>
        <v>51</v>
      </c>
      <c r="K89" s="17" t="s">
        <v>41</v>
      </c>
      <c r="L89" s="20">
        <v>16</v>
      </c>
      <c r="M89" s="26" t="s">
        <v>40</v>
      </c>
      <c r="N89">
        <v>20</v>
      </c>
    </row>
    <row r="90" spans="1:14">
      <c r="A90" s="24" t="e">
        <f t="shared" si="11"/>
        <v>#REF!</v>
      </c>
      <c r="B90" s="66" t="s">
        <v>1</v>
      </c>
      <c r="C90" s="66" t="s">
        <v>125</v>
      </c>
      <c r="D90" s="66" t="s">
        <v>123</v>
      </c>
      <c r="E90" s="21">
        <f t="shared" ca="1" si="6"/>
        <v>40951</v>
      </c>
      <c r="F90" s="6">
        <f>DATE(81,10,1)</f>
        <v>29860</v>
      </c>
      <c r="G90" s="7">
        <f t="shared" ca="1" si="7"/>
        <v>31</v>
      </c>
      <c r="H90" s="7">
        <f t="shared" ca="1" si="8"/>
        <v>-8</v>
      </c>
      <c r="I90" s="8">
        <f t="shared" ca="1" si="9"/>
        <v>11</v>
      </c>
      <c r="J90" s="9">
        <f t="shared" ca="1" si="10"/>
        <v>30</v>
      </c>
      <c r="K90" s="7" t="s">
        <v>41</v>
      </c>
      <c r="L90" s="10">
        <v>16</v>
      </c>
      <c r="M90" s="24" t="s">
        <v>44</v>
      </c>
      <c r="N90">
        <v>21</v>
      </c>
    </row>
    <row r="91" spans="1:14">
      <c r="A91" s="25" t="e">
        <f t="shared" si="11"/>
        <v>#REF!</v>
      </c>
      <c r="B91" s="67" t="s">
        <v>1</v>
      </c>
      <c r="C91" s="67" t="s">
        <v>129</v>
      </c>
      <c r="D91" s="67" t="s">
        <v>127</v>
      </c>
      <c r="E91" s="22">
        <f t="shared" ca="1" si="6"/>
        <v>40951</v>
      </c>
      <c r="F91" s="11">
        <f>DATE(66,4,1)</f>
        <v>24198</v>
      </c>
      <c r="G91" s="12">
        <f t="shared" ca="1" si="7"/>
        <v>46</v>
      </c>
      <c r="H91" s="12">
        <f t="shared" ca="1" si="8"/>
        <v>-2</v>
      </c>
      <c r="I91" s="13">
        <f t="shared" ca="1" si="9"/>
        <v>11</v>
      </c>
      <c r="J91" s="14">
        <f t="shared" ca="1" si="10"/>
        <v>45</v>
      </c>
      <c r="K91" s="12" t="s">
        <v>41</v>
      </c>
      <c r="L91" s="15">
        <v>16</v>
      </c>
      <c r="M91" s="25" t="s">
        <v>40</v>
      </c>
      <c r="N91">
        <v>21</v>
      </c>
    </row>
    <row r="92" spans="1:14">
      <c r="A92" s="25" t="e">
        <f t="shared" si="11"/>
        <v>#REF!</v>
      </c>
      <c r="B92" s="67" t="s">
        <v>1</v>
      </c>
      <c r="C92" s="67" t="s">
        <v>131</v>
      </c>
      <c r="D92" s="67" t="s">
        <v>127</v>
      </c>
      <c r="E92" s="22">
        <f t="shared" ca="1" si="6"/>
        <v>40951</v>
      </c>
      <c r="F92" s="11">
        <f>DATE(96,6,3)</f>
        <v>35219</v>
      </c>
      <c r="G92" s="12">
        <f t="shared" ca="1" si="7"/>
        <v>16</v>
      </c>
      <c r="H92" s="12">
        <f t="shared" ca="1" si="8"/>
        <v>-4</v>
      </c>
      <c r="I92" s="13">
        <f t="shared" ca="1" si="9"/>
        <v>9</v>
      </c>
      <c r="J92" s="14">
        <f t="shared" ca="1" si="10"/>
        <v>15</v>
      </c>
      <c r="K92" s="12" t="s">
        <v>41</v>
      </c>
      <c r="L92" s="15">
        <v>16</v>
      </c>
      <c r="M92" s="25" t="s">
        <v>44</v>
      </c>
      <c r="N92">
        <v>21</v>
      </c>
    </row>
    <row r="93" spans="1:14" ht="15.75" thickBot="1">
      <c r="A93" s="26" t="e">
        <f t="shared" si="11"/>
        <v>#REF!</v>
      </c>
      <c r="B93" s="68" t="s">
        <v>1</v>
      </c>
      <c r="C93" s="68" t="s">
        <v>133</v>
      </c>
      <c r="D93" s="68" t="s">
        <v>132</v>
      </c>
      <c r="E93" s="23">
        <f t="shared" ca="1" si="6"/>
        <v>40951</v>
      </c>
      <c r="F93" s="33"/>
      <c r="G93" s="17">
        <f t="shared" ca="1" si="7"/>
        <v>112</v>
      </c>
      <c r="H93" s="17">
        <f t="shared" ca="1" si="8"/>
        <v>1</v>
      </c>
      <c r="I93" s="18">
        <f t="shared" ca="1" si="9"/>
        <v>12</v>
      </c>
      <c r="J93" s="19">
        <f t="shared" ca="1" si="10"/>
        <v>112</v>
      </c>
      <c r="K93" s="17" t="s">
        <v>41</v>
      </c>
      <c r="L93" s="20">
        <v>16</v>
      </c>
      <c r="M93" s="26" t="s">
        <v>40</v>
      </c>
      <c r="N93">
        <v>21</v>
      </c>
    </row>
    <row r="94" spans="1:14">
      <c r="A94" s="24" t="e">
        <f t="shared" si="11"/>
        <v>#REF!</v>
      </c>
      <c r="B94" s="66" t="s">
        <v>1</v>
      </c>
      <c r="C94" s="66" t="s">
        <v>111</v>
      </c>
      <c r="D94" s="66" t="s">
        <v>134</v>
      </c>
      <c r="E94" s="21">
        <f t="shared" ca="1" si="6"/>
        <v>40951</v>
      </c>
      <c r="F94" s="45"/>
      <c r="G94" s="7">
        <f t="shared" ca="1" si="7"/>
        <v>112</v>
      </c>
      <c r="H94" s="7">
        <f t="shared" ca="1" si="8"/>
        <v>1</v>
      </c>
      <c r="I94" s="8">
        <f t="shared" ca="1" si="9"/>
        <v>12</v>
      </c>
      <c r="J94" s="9">
        <f t="shared" ca="1" si="10"/>
        <v>112</v>
      </c>
      <c r="K94" s="7" t="s">
        <v>41</v>
      </c>
      <c r="L94" s="10">
        <v>17</v>
      </c>
      <c r="M94" s="24" t="s">
        <v>40</v>
      </c>
      <c r="N94">
        <v>22</v>
      </c>
    </row>
    <row r="95" spans="1:14">
      <c r="A95" s="25" t="e">
        <f t="shared" si="11"/>
        <v>#REF!</v>
      </c>
      <c r="B95" s="67" t="s">
        <v>1</v>
      </c>
      <c r="C95" s="67" t="s">
        <v>137</v>
      </c>
      <c r="D95" s="67" t="s">
        <v>135</v>
      </c>
      <c r="E95" s="22">
        <f t="shared" ca="1" si="6"/>
        <v>40951</v>
      </c>
      <c r="F95" s="11">
        <f>DATE(72,6,25)</f>
        <v>26475</v>
      </c>
      <c r="G95" s="12">
        <f t="shared" ca="1" si="7"/>
        <v>40</v>
      </c>
      <c r="H95" s="12">
        <f t="shared" ca="1" si="8"/>
        <v>-4</v>
      </c>
      <c r="I95" s="13">
        <f t="shared" ca="1" si="9"/>
        <v>-13</v>
      </c>
      <c r="J95" s="14">
        <f t="shared" ca="1" si="10"/>
        <v>39</v>
      </c>
      <c r="K95" s="12" t="s">
        <v>41</v>
      </c>
      <c r="L95" s="15">
        <v>17</v>
      </c>
      <c r="M95" s="25" t="s">
        <v>40</v>
      </c>
      <c r="N95">
        <v>22</v>
      </c>
    </row>
    <row r="96" spans="1:14">
      <c r="A96" s="25" t="e">
        <f t="shared" si="11"/>
        <v>#REF!</v>
      </c>
      <c r="B96" s="67" t="s">
        <v>1</v>
      </c>
      <c r="C96" s="67" t="s">
        <v>139</v>
      </c>
      <c r="D96" s="67" t="s">
        <v>138</v>
      </c>
      <c r="E96" s="22">
        <f t="shared" ca="1" si="6"/>
        <v>40951</v>
      </c>
      <c r="F96" s="11">
        <f>DATE(76,1,25)</f>
        <v>27784</v>
      </c>
      <c r="G96" s="12">
        <f t="shared" ca="1" si="7"/>
        <v>36</v>
      </c>
      <c r="H96" s="12">
        <f t="shared" ca="1" si="8"/>
        <v>1</v>
      </c>
      <c r="I96" s="13">
        <f t="shared" ca="1" si="9"/>
        <v>-13</v>
      </c>
      <c r="J96" s="14">
        <f t="shared" ca="1" si="10"/>
        <v>36</v>
      </c>
      <c r="K96" s="12" t="s">
        <v>41</v>
      </c>
      <c r="L96" s="15">
        <v>17</v>
      </c>
      <c r="M96" s="25" t="s">
        <v>40</v>
      </c>
      <c r="N96">
        <v>22</v>
      </c>
    </row>
    <row r="97" spans="1:14" ht="15.75" thickBot="1">
      <c r="A97" s="26" t="e">
        <f t="shared" si="11"/>
        <v>#REF!</v>
      </c>
      <c r="B97" s="68" t="s">
        <v>1</v>
      </c>
      <c r="C97" s="68" t="s">
        <v>143</v>
      </c>
      <c r="D97" s="68" t="s">
        <v>144</v>
      </c>
      <c r="E97" s="23">
        <f t="shared" ca="1" si="6"/>
        <v>40951</v>
      </c>
      <c r="F97" s="16">
        <f>DATE(68,8,3)</f>
        <v>25053</v>
      </c>
      <c r="G97" s="17">
        <f t="shared" ca="1" si="7"/>
        <v>44</v>
      </c>
      <c r="H97" s="17">
        <f t="shared" ca="1" si="8"/>
        <v>-6</v>
      </c>
      <c r="I97" s="18">
        <f t="shared" ca="1" si="9"/>
        <v>9</v>
      </c>
      <c r="J97" s="19">
        <f t="shared" ca="1" si="10"/>
        <v>43</v>
      </c>
      <c r="K97" s="17" t="s">
        <v>41</v>
      </c>
      <c r="L97" s="20">
        <v>17</v>
      </c>
      <c r="M97" s="26" t="s">
        <v>40</v>
      </c>
      <c r="N97">
        <v>22</v>
      </c>
    </row>
    <row r="98" spans="1:14">
      <c r="A98" s="24" t="e">
        <f t="shared" si="11"/>
        <v>#REF!</v>
      </c>
      <c r="B98" s="66" t="s">
        <v>1</v>
      </c>
      <c r="C98" s="66" t="s">
        <v>145</v>
      </c>
      <c r="D98" s="66" t="s">
        <v>144</v>
      </c>
      <c r="E98" s="21">
        <f t="shared" ca="1" si="6"/>
        <v>40951</v>
      </c>
      <c r="F98" s="6">
        <f>DATE(88,6,21)</f>
        <v>32315</v>
      </c>
      <c r="G98" s="7">
        <f t="shared" ca="1" si="7"/>
        <v>24</v>
      </c>
      <c r="H98" s="7">
        <f t="shared" ca="1" si="8"/>
        <v>-4</v>
      </c>
      <c r="I98" s="8">
        <f t="shared" ca="1" si="9"/>
        <v>-9</v>
      </c>
      <c r="J98" s="9">
        <f t="shared" ca="1" si="10"/>
        <v>23</v>
      </c>
      <c r="K98" s="7" t="s">
        <v>41</v>
      </c>
      <c r="L98" s="10">
        <v>17</v>
      </c>
      <c r="M98" s="24" t="s">
        <v>44</v>
      </c>
      <c r="N98">
        <v>23</v>
      </c>
    </row>
    <row r="99" spans="1:14">
      <c r="A99" s="25" t="e">
        <f t="shared" si="11"/>
        <v>#REF!</v>
      </c>
      <c r="B99" s="67" t="s">
        <v>1</v>
      </c>
      <c r="C99" s="67" t="s">
        <v>147</v>
      </c>
      <c r="D99" s="67" t="s">
        <v>146</v>
      </c>
      <c r="E99" s="22">
        <f t="shared" ca="1" si="6"/>
        <v>40951</v>
      </c>
      <c r="F99" s="11">
        <f>DATE(62,6,2)</f>
        <v>22799</v>
      </c>
      <c r="G99" s="12">
        <f t="shared" ca="1" si="7"/>
        <v>50</v>
      </c>
      <c r="H99" s="12">
        <f t="shared" ca="1" si="8"/>
        <v>-4</v>
      </c>
      <c r="I99" s="13">
        <f t="shared" ca="1" si="9"/>
        <v>10</v>
      </c>
      <c r="J99" s="14">
        <f t="shared" ca="1" si="10"/>
        <v>49</v>
      </c>
      <c r="K99" s="12" t="s">
        <v>41</v>
      </c>
      <c r="L99" s="15">
        <v>17</v>
      </c>
      <c r="M99" s="25" t="s">
        <v>40</v>
      </c>
      <c r="N99">
        <v>23</v>
      </c>
    </row>
    <row r="100" spans="1:14">
      <c r="A100" s="25" t="e">
        <f t="shared" si="11"/>
        <v>#REF!</v>
      </c>
      <c r="B100" s="67" t="s">
        <v>1</v>
      </c>
      <c r="C100" s="67" t="s">
        <v>150</v>
      </c>
      <c r="D100" s="67" t="s">
        <v>149</v>
      </c>
      <c r="E100" s="22">
        <f t="shared" ca="1" si="6"/>
        <v>40951</v>
      </c>
      <c r="F100" s="11">
        <f>DATE(82,2,2)</f>
        <v>29984</v>
      </c>
      <c r="G100" s="12">
        <f t="shared" ca="1" si="7"/>
        <v>30</v>
      </c>
      <c r="H100" s="12">
        <f t="shared" ca="1" si="8"/>
        <v>0</v>
      </c>
      <c r="I100" s="13">
        <f t="shared" ca="1" si="9"/>
        <v>10</v>
      </c>
      <c r="J100" s="14">
        <f t="shared" ca="1" si="10"/>
        <v>30</v>
      </c>
      <c r="K100" s="12" t="s">
        <v>41</v>
      </c>
      <c r="L100" s="15">
        <v>18</v>
      </c>
      <c r="M100" s="25" t="s">
        <v>40</v>
      </c>
      <c r="N100">
        <v>23</v>
      </c>
    </row>
    <row r="101" spans="1:14">
      <c r="A101" s="25" t="e">
        <f t="shared" si="11"/>
        <v>#REF!</v>
      </c>
      <c r="B101" s="67" t="s">
        <v>1</v>
      </c>
      <c r="C101" s="67" t="s">
        <v>154</v>
      </c>
      <c r="D101" s="67" t="s">
        <v>152</v>
      </c>
      <c r="E101" s="22">
        <f t="shared" ca="1" si="6"/>
        <v>40951</v>
      </c>
      <c r="F101" s="32"/>
      <c r="G101" s="12">
        <f t="shared" ca="1" si="7"/>
        <v>112</v>
      </c>
      <c r="H101" s="12">
        <f t="shared" ca="1" si="8"/>
        <v>1</v>
      </c>
      <c r="I101" s="13">
        <f t="shared" ca="1" si="9"/>
        <v>12</v>
      </c>
      <c r="J101" s="14">
        <f t="shared" ca="1" si="10"/>
        <v>112</v>
      </c>
      <c r="K101" s="12" t="s">
        <v>41</v>
      </c>
      <c r="L101" s="15">
        <v>18</v>
      </c>
      <c r="M101" s="25" t="s">
        <v>40</v>
      </c>
      <c r="N101">
        <v>23</v>
      </c>
    </row>
    <row r="102" spans="1:14">
      <c r="A102" s="25" t="e">
        <f t="shared" si="11"/>
        <v>#REF!</v>
      </c>
      <c r="B102" s="67" t="s">
        <v>1</v>
      </c>
      <c r="C102" s="67" t="s">
        <v>155</v>
      </c>
      <c r="D102" s="67" t="s">
        <v>153</v>
      </c>
      <c r="E102" s="22">
        <f t="shared" ca="1" si="6"/>
        <v>40951</v>
      </c>
      <c r="F102" s="32"/>
      <c r="G102" s="12">
        <f t="shared" ca="1" si="7"/>
        <v>112</v>
      </c>
      <c r="H102" s="12">
        <f t="shared" ca="1" si="8"/>
        <v>1</v>
      </c>
      <c r="I102" s="13">
        <f t="shared" ca="1" si="9"/>
        <v>12</v>
      </c>
      <c r="J102" s="14">
        <f t="shared" ca="1" si="10"/>
        <v>112</v>
      </c>
      <c r="K102" s="12" t="s">
        <v>41</v>
      </c>
      <c r="L102" s="15">
        <v>18</v>
      </c>
      <c r="M102" s="25" t="s">
        <v>44</v>
      </c>
      <c r="N102">
        <v>23</v>
      </c>
    </row>
    <row r="103" spans="1:14" ht="15.75" thickBot="1">
      <c r="A103" s="26" t="e">
        <f t="shared" si="11"/>
        <v>#REF!</v>
      </c>
      <c r="B103" s="68" t="s">
        <v>1</v>
      </c>
      <c r="C103" s="68" t="s">
        <v>73</v>
      </c>
      <c r="D103" s="68" t="s">
        <v>153</v>
      </c>
      <c r="E103" s="23">
        <f t="shared" ca="1" si="6"/>
        <v>40951</v>
      </c>
      <c r="F103" s="33"/>
      <c r="G103" s="17">
        <f t="shared" ca="1" si="7"/>
        <v>112</v>
      </c>
      <c r="H103" s="17">
        <f t="shared" ca="1" si="8"/>
        <v>1</v>
      </c>
      <c r="I103" s="18">
        <f t="shared" ca="1" si="9"/>
        <v>12</v>
      </c>
      <c r="J103" s="19">
        <f t="shared" ca="1" si="10"/>
        <v>112</v>
      </c>
      <c r="K103" s="17" t="s">
        <v>41</v>
      </c>
      <c r="L103" s="20">
        <v>18</v>
      </c>
      <c r="M103" s="26" t="s">
        <v>44</v>
      </c>
      <c r="N103">
        <v>23</v>
      </c>
    </row>
    <row r="104" spans="1:14">
      <c r="A104" s="24" t="e">
        <f t="shared" si="11"/>
        <v>#REF!</v>
      </c>
      <c r="B104" s="66" t="s">
        <v>1</v>
      </c>
      <c r="C104" s="66" t="s">
        <v>156</v>
      </c>
      <c r="D104" s="66" t="s">
        <v>152</v>
      </c>
      <c r="E104" s="21">
        <f t="shared" ca="1" si="6"/>
        <v>40951</v>
      </c>
      <c r="F104" s="45"/>
      <c r="G104" s="7">
        <f t="shared" ca="1" si="7"/>
        <v>112</v>
      </c>
      <c r="H104" s="7">
        <f t="shared" ca="1" si="8"/>
        <v>1</v>
      </c>
      <c r="I104" s="8">
        <f t="shared" ca="1" si="9"/>
        <v>12</v>
      </c>
      <c r="J104" s="9">
        <f t="shared" ca="1" si="10"/>
        <v>112</v>
      </c>
      <c r="K104" s="7" t="s">
        <v>41</v>
      </c>
      <c r="L104" s="10">
        <v>18</v>
      </c>
      <c r="M104" s="24" t="s">
        <v>44</v>
      </c>
      <c r="N104">
        <v>24</v>
      </c>
    </row>
    <row r="105" spans="1:14">
      <c r="A105" s="25" t="e">
        <f t="shared" si="11"/>
        <v>#REF!</v>
      </c>
      <c r="B105" s="67" t="s">
        <v>5</v>
      </c>
      <c r="C105" s="67" t="s">
        <v>159</v>
      </c>
      <c r="D105" s="67" t="s">
        <v>157</v>
      </c>
      <c r="E105" s="22">
        <f t="shared" ca="1" si="6"/>
        <v>40951</v>
      </c>
      <c r="F105" s="11">
        <f>DATE(53,10,26)</f>
        <v>19658</v>
      </c>
      <c r="G105" s="12">
        <f t="shared" ca="1" si="7"/>
        <v>59</v>
      </c>
      <c r="H105" s="12">
        <f t="shared" ca="1" si="8"/>
        <v>-8</v>
      </c>
      <c r="I105" s="13">
        <f t="shared" ca="1" si="9"/>
        <v>-14</v>
      </c>
      <c r="J105" s="14">
        <f t="shared" ca="1" si="10"/>
        <v>58</v>
      </c>
      <c r="K105" s="12" t="s">
        <v>41</v>
      </c>
      <c r="L105" s="15">
        <v>19</v>
      </c>
      <c r="M105" s="25" t="s">
        <v>40</v>
      </c>
      <c r="N105">
        <v>24</v>
      </c>
    </row>
    <row r="106" spans="1:14">
      <c r="A106" s="25" t="e">
        <f t="shared" si="11"/>
        <v>#REF!</v>
      </c>
      <c r="B106" s="67" t="s">
        <v>5</v>
      </c>
      <c r="C106" s="67" t="s">
        <v>160</v>
      </c>
      <c r="D106" s="67" t="s">
        <v>157</v>
      </c>
      <c r="E106" s="22">
        <f t="shared" ca="1" si="6"/>
        <v>40951</v>
      </c>
      <c r="F106" s="11">
        <f>DATE(80,10,5)</f>
        <v>29499</v>
      </c>
      <c r="G106" s="12">
        <f t="shared" ca="1" si="7"/>
        <v>32</v>
      </c>
      <c r="H106" s="12">
        <f t="shared" ca="1" si="8"/>
        <v>-8</v>
      </c>
      <c r="I106" s="13">
        <f t="shared" ca="1" si="9"/>
        <v>7</v>
      </c>
      <c r="J106" s="14">
        <f t="shared" ca="1" si="10"/>
        <v>31</v>
      </c>
      <c r="K106" s="12" t="s">
        <v>41</v>
      </c>
      <c r="L106" s="15">
        <v>19</v>
      </c>
      <c r="M106" s="25" t="s">
        <v>44</v>
      </c>
      <c r="N106">
        <v>24</v>
      </c>
    </row>
    <row r="107" spans="1:14" ht="15.75" thickBot="1">
      <c r="A107" s="26" t="e">
        <f t="shared" si="11"/>
        <v>#REF!</v>
      </c>
      <c r="B107" s="68" t="s">
        <v>6</v>
      </c>
      <c r="C107" s="68" t="s">
        <v>163</v>
      </c>
      <c r="D107" s="68" t="s">
        <v>162</v>
      </c>
      <c r="E107" s="23">
        <f t="shared" ca="1" si="6"/>
        <v>40951</v>
      </c>
      <c r="F107" s="16">
        <f>DATE(48,10,26)</f>
        <v>17832</v>
      </c>
      <c r="G107" s="17">
        <f t="shared" ca="1" si="7"/>
        <v>64</v>
      </c>
      <c r="H107" s="17">
        <f t="shared" ca="1" si="8"/>
        <v>-8</v>
      </c>
      <c r="I107" s="18">
        <f t="shared" ca="1" si="9"/>
        <v>-14</v>
      </c>
      <c r="J107" s="19">
        <f t="shared" ca="1" si="10"/>
        <v>63</v>
      </c>
      <c r="K107" s="17" t="s">
        <v>41</v>
      </c>
      <c r="L107" s="20">
        <v>20</v>
      </c>
      <c r="M107" s="26" t="s">
        <v>40</v>
      </c>
      <c r="N107">
        <v>24</v>
      </c>
    </row>
    <row r="108" spans="1:14" ht="15.75" thickBot="1">
      <c r="A108" s="43" t="e">
        <f t="shared" si="11"/>
        <v>#REF!</v>
      </c>
      <c r="B108" s="69" t="s">
        <v>6</v>
      </c>
      <c r="C108" s="69" t="s">
        <v>165</v>
      </c>
      <c r="D108" s="69" t="s">
        <v>164</v>
      </c>
      <c r="E108" s="37">
        <f t="shared" ca="1" si="6"/>
        <v>40951</v>
      </c>
      <c r="F108" s="38">
        <f>DATE(75,12,12)</f>
        <v>27740</v>
      </c>
      <c r="G108" s="39">
        <f t="shared" ca="1" si="7"/>
        <v>37</v>
      </c>
      <c r="H108" s="39">
        <f t="shared" ca="1" si="8"/>
        <v>-10</v>
      </c>
      <c r="I108" s="40">
        <f t="shared" ca="1" si="9"/>
        <v>0</v>
      </c>
      <c r="J108" s="41">
        <f t="shared" ca="1" si="10"/>
        <v>36</v>
      </c>
      <c r="K108" s="39" t="s">
        <v>41</v>
      </c>
      <c r="L108" s="42">
        <v>20</v>
      </c>
      <c r="M108" s="43" t="s">
        <v>40</v>
      </c>
      <c r="N108">
        <v>25</v>
      </c>
    </row>
    <row r="109" spans="1:14">
      <c r="A109" s="24" t="e">
        <f t="shared" si="11"/>
        <v>#REF!</v>
      </c>
      <c r="B109" s="66" t="s">
        <v>6</v>
      </c>
      <c r="C109" s="66" t="s">
        <v>167</v>
      </c>
      <c r="D109" s="66" t="s">
        <v>166</v>
      </c>
      <c r="E109" s="21">
        <f t="shared" ca="1" si="6"/>
        <v>40951</v>
      </c>
      <c r="F109" s="6">
        <f>DATE(79,12,9)</f>
        <v>29198</v>
      </c>
      <c r="G109" s="7">
        <f t="shared" ca="1" si="7"/>
        <v>33</v>
      </c>
      <c r="H109" s="7">
        <f t="shared" ca="1" si="8"/>
        <v>-10</v>
      </c>
      <c r="I109" s="8">
        <f t="shared" ca="1" si="9"/>
        <v>3</v>
      </c>
      <c r="J109" s="9">
        <f t="shared" ca="1" si="10"/>
        <v>32</v>
      </c>
      <c r="K109" s="7" t="s">
        <v>41</v>
      </c>
      <c r="L109" s="10">
        <v>20</v>
      </c>
      <c r="M109" s="24" t="s">
        <v>40</v>
      </c>
      <c r="N109">
        <v>26</v>
      </c>
    </row>
    <row r="110" spans="1:14">
      <c r="A110" s="25" t="e">
        <f t="shared" si="11"/>
        <v>#REF!</v>
      </c>
      <c r="B110" s="67" t="s">
        <v>6</v>
      </c>
      <c r="C110" s="67" t="s">
        <v>170</v>
      </c>
      <c r="D110" s="67" t="s">
        <v>169</v>
      </c>
      <c r="E110" s="22">
        <f t="shared" ca="1" si="6"/>
        <v>40951</v>
      </c>
      <c r="F110" s="11">
        <f>DATE(82,12,17)</f>
        <v>30302</v>
      </c>
      <c r="G110" s="12">
        <f t="shared" ca="1" si="7"/>
        <v>30</v>
      </c>
      <c r="H110" s="12">
        <f t="shared" ca="1" si="8"/>
        <v>-10</v>
      </c>
      <c r="I110" s="13">
        <f t="shared" ca="1" si="9"/>
        <v>-5</v>
      </c>
      <c r="J110" s="14">
        <f t="shared" ca="1" si="10"/>
        <v>29</v>
      </c>
      <c r="K110" s="12" t="s">
        <v>41</v>
      </c>
      <c r="L110" s="15">
        <v>20</v>
      </c>
      <c r="M110" s="25" t="s">
        <v>40</v>
      </c>
      <c r="N110">
        <v>26</v>
      </c>
    </row>
    <row r="111" spans="1:14">
      <c r="A111" s="25" t="e">
        <f t="shared" si="11"/>
        <v>#REF!</v>
      </c>
      <c r="B111" s="67" t="s">
        <v>6</v>
      </c>
      <c r="C111" s="67" t="s">
        <v>173</v>
      </c>
      <c r="D111" s="67" t="s">
        <v>171</v>
      </c>
      <c r="E111" s="22">
        <f t="shared" ca="1" si="6"/>
        <v>40951</v>
      </c>
      <c r="F111" s="11">
        <f>DATE(47,1,2)</f>
        <v>17169</v>
      </c>
      <c r="G111" s="12">
        <f t="shared" ca="1" si="7"/>
        <v>65</v>
      </c>
      <c r="H111" s="12">
        <f t="shared" ca="1" si="8"/>
        <v>1</v>
      </c>
      <c r="I111" s="13">
        <f t="shared" ca="1" si="9"/>
        <v>10</v>
      </c>
      <c r="J111" s="14">
        <f t="shared" ca="1" si="10"/>
        <v>65</v>
      </c>
      <c r="K111" s="12" t="s">
        <v>41</v>
      </c>
      <c r="L111" s="15">
        <v>20</v>
      </c>
      <c r="M111" s="25" t="s">
        <v>40</v>
      </c>
      <c r="N111">
        <v>26</v>
      </c>
    </row>
    <row r="112" spans="1:14" ht="15.75" thickBot="1">
      <c r="A112" s="26" t="e">
        <f t="shared" si="11"/>
        <v>#REF!</v>
      </c>
      <c r="B112" s="68" t="s">
        <v>6</v>
      </c>
      <c r="C112" s="68" t="s">
        <v>175</v>
      </c>
      <c r="D112" s="68" t="s">
        <v>174</v>
      </c>
      <c r="E112" s="23">
        <f t="shared" ca="1" si="6"/>
        <v>40951</v>
      </c>
      <c r="F112" s="16">
        <f>DATE(73,9,5)</f>
        <v>26912</v>
      </c>
      <c r="G112" s="17">
        <f t="shared" ca="1" si="7"/>
        <v>39</v>
      </c>
      <c r="H112" s="17">
        <f t="shared" ca="1" si="8"/>
        <v>-7</v>
      </c>
      <c r="I112" s="18">
        <f t="shared" ca="1" si="9"/>
        <v>7</v>
      </c>
      <c r="J112" s="19">
        <f t="shared" ca="1" si="10"/>
        <v>38</v>
      </c>
      <c r="K112" s="17" t="s">
        <v>41</v>
      </c>
      <c r="L112" s="20">
        <v>20</v>
      </c>
      <c r="M112" s="26" t="s">
        <v>40</v>
      </c>
      <c r="N112">
        <v>26</v>
      </c>
    </row>
    <row r="113" spans="1:14">
      <c r="A113" s="24" t="e">
        <f t="shared" si="11"/>
        <v>#REF!</v>
      </c>
      <c r="B113" s="66" t="s">
        <v>6</v>
      </c>
      <c r="C113" s="66" t="s">
        <v>176</v>
      </c>
      <c r="D113" s="66" t="s">
        <v>174</v>
      </c>
      <c r="E113" s="21">
        <f t="shared" ca="1" si="6"/>
        <v>40951</v>
      </c>
      <c r="F113" s="6">
        <f>DATE(2001,6,27)</f>
        <v>37069</v>
      </c>
      <c r="G113" s="7">
        <f t="shared" ca="1" si="7"/>
        <v>11</v>
      </c>
      <c r="H113" s="7">
        <f t="shared" ca="1" si="8"/>
        <v>-4</v>
      </c>
      <c r="I113" s="8">
        <f t="shared" ca="1" si="9"/>
        <v>-15</v>
      </c>
      <c r="J113" s="9">
        <f t="shared" ca="1" si="10"/>
        <v>10</v>
      </c>
      <c r="K113" s="7" t="s">
        <v>41</v>
      </c>
      <c r="L113" s="10">
        <v>20</v>
      </c>
      <c r="M113" s="24" t="s">
        <v>44</v>
      </c>
      <c r="N113">
        <v>27</v>
      </c>
    </row>
    <row r="114" spans="1:14">
      <c r="A114" s="25" t="e">
        <f t="shared" si="11"/>
        <v>#REF!</v>
      </c>
      <c r="B114" s="67" t="s">
        <v>6</v>
      </c>
      <c r="C114" s="67" t="s">
        <v>178</v>
      </c>
      <c r="D114" s="67" t="s">
        <v>112</v>
      </c>
      <c r="E114" s="22">
        <f t="shared" ca="1" si="6"/>
        <v>40951</v>
      </c>
      <c r="F114" s="11">
        <f>DATE(76,10,28)</f>
        <v>28061</v>
      </c>
      <c r="G114" s="12">
        <f t="shared" ca="1" si="7"/>
        <v>36</v>
      </c>
      <c r="H114" s="12">
        <f t="shared" ca="1" si="8"/>
        <v>-8</v>
      </c>
      <c r="I114" s="13">
        <f t="shared" ca="1" si="9"/>
        <v>-16</v>
      </c>
      <c r="J114" s="14">
        <f t="shared" ca="1" si="10"/>
        <v>35</v>
      </c>
      <c r="K114" s="12" t="s">
        <v>41</v>
      </c>
      <c r="L114" s="15">
        <v>20</v>
      </c>
      <c r="M114" s="25" t="s">
        <v>40</v>
      </c>
      <c r="N114">
        <v>27</v>
      </c>
    </row>
    <row r="115" spans="1:14" ht="15.75" thickBot="1">
      <c r="A115" s="26" t="e">
        <f t="shared" si="11"/>
        <v>#REF!</v>
      </c>
      <c r="B115" s="68" t="s">
        <v>6</v>
      </c>
      <c r="C115" s="68" t="s">
        <v>180</v>
      </c>
      <c r="D115" s="68" t="s">
        <v>112</v>
      </c>
      <c r="E115" s="23">
        <f t="shared" ca="1" si="6"/>
        <v>40951</v>
      </c>
      <c r="F115" s="16">
        <f>DATE(2004,7,15)</f>
        <v>38183</v>
      </c>
      <c r="G115" s="17">
        <f t="shared" ca="1" si="7"/>
        <v>8</v>
      </c>
      <c r="H115" s="17">
        <f t="shared" ca="1" si="8"/>
        <v>-5</v>
      </c>
      <c r="I115" s="18">
        <f t="shared" ca="1" si="9"/>
        <v>-3</v>
      </c>
      <c r="J115" s="19">
        <f t="shared" ca="1" si="10"/>
        <v>7</v>
      </c>
      <c r="K115" s="17" t="s">
        <v>41</v>
      </c>
      <c r="L115" s="20">
        <v>20</v>
      </c>
      <c r="M115" s="26" t="s">
        <v>44</v>
      </c>
      <c r="N115">
        <v>27</v>
      </c>
    </row>
    <row r="116" spans="1:14" ht="15.75" thickBot="1">
      <c r="A116" s="43" t="e">
        <f t="shared" si="11"/>
        <v>#REF!</v>
      </c>
      <c r="B116" s="69" t="s">
        <v>6</v>
      </c>
      <c r="C116" s="69" t="s">
        <v>182</v>
      </c>
      <c r="D116" s="69" t="s">
        <v>181</v>
      </c>
      <c r="E116" s="37">
        <f t="shared" ca="1" si="6"/>
        <v>40951</v>
      </c>
      <c r="F116" s="38">
        <f>DATE(66,3,23)</f>
        <v>24189</v>
      </c>
      <c r="G116" s="39">
        <f t="shared" ca="1" si="7"/>
        <v>46</v>
      </c>
      <c r="H116" s="39">
        <f t="shared" ca="1" si="8"/>
        <v>-1</v>
      </c>
      <c r="I116" s="40">
        <f t="shared" ca="1" si="9"/>
        <v>-11</v>
      </c>
      <c r="J116" s="41">
        <f t="shared" ca="1" si="10"/>
        <v>45</v>
      </c>
      <c r="K116" s="39" t="s">
        <v>41</v>
      </c>
      <c r="L116" s="42">
        <v>21</v>
      </c>
      <c r="M116" s="43" t="s">
        <v>40</v>
      </c>
      <c r="N116">
        <v>28</v>
      </c>
    </row>
    <row r="117" spans="1:14">
      <c r="A117" s="24" t="e">
        <f t="shared" si="11"/>
        <v>#REF!</v>
      </c>
      <c r="B117" s="66" t="s">
        <v>6</v>
      </c>
      <c r="C117" s="66" t="s">
        <v>186</v>
      </c>
      <c r="D117" s="66" t="s">
        <v>184</v>
      </c>
      <c r="E117" s="21">
        <f t="shared" ca="1" si="6"/>
        <v>40951</v>
      </c>
      <c r="F117" s="6">
        <f>DATE(66,8,8)</f>
        <v>24327</v>
      </c>
      <c r="G117" s="7">
        <f t="shared" ca="1" si="7"/>
        <v>46</v>
      </c>
      <c r="H117" s="7">
        <f t="shared" ca="1" si="8"/>
        <v>-6</v>
      </c>
      <c r="I117" s="8">
        <f t="shared" ca="1" si="9"/>
        <v>4</v>
      </c>
      <c r="J117" s="9">
        <f t="shared" ca="1" si="10"/>
        <v>45</v>
      </c>
      <c r="K117" s="7" t="s">
        <v>41</v>
      </c>
      <c r="L117" s="10">
        <v>21</v>
      </c>
      <c r="M117" s="24" t="s">
        <v>40</v>
      </c>
      <c r="N117">
        <v>29</v>
      </c>
    </row>
    <row r="118" spans="1:14">
      <c r="A118" s="25" t="e">
        <f t="shared" si="11"/>
        <v>#REF!</v>
      </c>
      <c r="B118" s="67" t="s">
        <v>6</v>
      </c>
      <c r="C118" s="67" t="s">
        <v>145</v>
      </c>
      <c r="D118" s="67" t="s">
        <v>184</v>
      </c>
      <c r="E118" s="22">
        <f t="shared" ca="1" si="6"/>
        <v>40951</v>
      </c>
      <c r="F118" s="11">
        <f>DATE(91,2,3)</f>
        <v>33272</v>
      </c>
      <c r="G118" s="12">
        <f t="shared" ca="1" si="7"/>
        <v>21</v>
      </c>
      <c r="H118" s="12">
        <f t="shared" ca="1" si="8"/>
        <v>0</v>
      </c>
      <c r="I118" s="13">
        <f t="shared" ca="1" si="9"/>
        <v>9</v>
      </c>
      <c r="J118" s="14">
        <f t="shared" ca="1" si="10"/>
        <v>21</v>
      </c>
      <c r="K118" s="12" t="s">
        <v>41</v>
      </c>
      <c r="L118" s="15">
        <v>21</v>
      </c>
      <c r="M118" s="25" t="s">
        <v>44</v>
      </c>
      <c r="N118">
        <v>29</v>
      </c>
    </row>
    <row r="119" spans="1:14">
      <c r="A119" s="25" t="e">
        <f t="shared" si="11"/>
        <v>#REF!</v>
      </c>
      <c r="B119" s="67" t="s">
        <v>6</v>
      </c>
      <c r="C119" s="67" t="s">
        <v>187</v>
      </c>
      <c r="D119" s="67" t="s">
        <v>184</v>
      </c>
      <c r="E119" s="22">
        <f t="shared" ca="1" si="6"/>
        <v>40951</v>
      </c>
      <c r="F119" s="11">
        <f>DATE(93,12,10)</f>
        <v>34313</v>
      </c>
      <c r="G119" s="12">
        <f t="shared" ca="1" si="7"/>
        <v>19</v>
      </c>
      <c r="H119" s="12">
        <f t="shared" ca="1" si="8"/>
        <v>-10</v>
      </c>
      <c r="I119" s="13">
        <f t="shared" ca="1" si="9"/>
        <v>2</v>
      </c>
      <c r="J119" s="14">
        <f t="shared" ca="1" si="10"/>
        <v>18</v>
      </c>
      <c r="K119" s="12" t="s">
        <v>41</v>
      </c>
      <c r="L119" s="15">
        <v>21</v>
      </c>
      <c r="M119" s="25" t="s">
        <v>44</v>
      </c>
      <c r="N119">
        <v>29</v>
      </c>
    </row>
    <row r="120" spans="1:14">
      <c r="A120" s="25" t="e">
        <f t="shared" si="11"/>
        <v>#REF!</v>
      </c>
      <c r="B120" s="67" t="s">
        <v>6</v>
      </c>
      <c r="C120" s="67" t="s">
        <v>188</v>
      </c>
      <c r="D120" s="67" t="s">
        <v>189</v>
      </c>
      <c r="E120" s="22">
        <f t="shared" ca="1" si="6"/>
        <v>40951</v>
      </c>
      <c r="F120" s="11">
        <f>DATE(34,3,2)</f>
        <v>12480</v>
      </c>
      <c r="G120" s="12">
        <f t="shared" ca="1" si="7"/>
        <v>78</v>
      </c>
      <c r="H120" s="12">
        <f t="shared" ca="1" si="8"/>
        <v>-1</v>
      </c>
      <c r="I120" s="13">
        <f t="shared" ca="1" si="9"/>
        <v>10</v>
      </c>
      <c r="J120" s="14">
        <f t="shared" ca="1" si="10"/>
        <v>77</v>
      </c>
      <c r="K120" s="12" t="s">
        <v>41</v>
      </c>
      <c r="L120" s="15">
        <v>21</v>
      </c>
      <c r="M120" s="25" t="s">
        <v>40</v>
      </c>
      <c r="N120">
        <v>29</v>
      </c>
    </row>
    <row r="121" spans="1:14" ht="15.75" thickBot="1">
      <c r="A121" s="26" t="e">
        <f t="shared" si="11"/>
        <v>#REF!</v>
      </c>
      <c r="B121" s="68" t="s">
        <v>6</v>
      </c>
      <c r="C121" s="68" t="s">
        <v>190</v>
      </c>
      <c r="D121" s="68" t="s">
        <v>184</v>
      </c>
      <c r="E121" s="23">
        <f t="shared" ca="1" si="6"/>
        <v>40951</v>
      </c>
      <c r="F121" s="16">
        <f>DATE(56,10,30)</f>
        <v>20758</v>
      </c>
      <c r="G121" s="17">
        <f t="shared" ca="1" si="7"/>
        <v>56</v>
      </c>
      <c r="H121" s="17">
        <f t="shared" ca="1" si="8"/>
        <v>-8</v>
      </c>
      <c r="I121" s="18">
        <f t="shared" ca="1" si="9"/>
        <v>-18</v>
      </c>
      <c r="J121" s="19">
        <f t="shared" ca="1" si="10"/>
        <v>55</v>
      </c>
      <c r="K121" s="17" t="s">
        <v>41</v>
      </c>
      <c r="L121" s="20">
        <v>21</v>
      </c>
      <c r="M121" s="26" t="s">
        <v>40</v>
      </c>
      <c r="N121">
        <v>29</v>
      </c>
    </row>
    <row r="122" spans="1:14">
      <c r="A122" s="24" t="e">
        <f t="shared" si="11"/>
        <v>#REF!</v>
      </c>
      <c r="B122" s="66" t="s">
        <v>6</v>
      </c>
      <c r="C122" s="66" t="s">
        <v>192</v>
      </c>
      <c r="D122" s="66" t="s">
        <v>184</v>
      </c>
      <c r="E122" s="21">
        <f t="shared" ca="1" si="6"/>
        <v>40951</v>
      </c>
      <c r="F122" s="6">
        <f>DATE(85,5,25)</f>
        <v>31192</v>
      </c>
      <c r="G122" s="7">
        <f t="shared" ca="1" si="7"/>
        <v>27</v>
      </c>
      <c r="H122" s="7">
        <f t="shared" ca="1" si="8"/>
        <v>-3</v>
      </c>
      <c r="I122" s="8">
        <f t="shared" ca="1" si="9"/>
        <v>-13</v>
      </c>
      <c r="J122" s="9">
        <f t="shared" ca="1" si="10"/>
        <v>26</v>
      </c>
      <c r="K122" s="7" t="s">
        <v>41</v>
      </c>
      <c r="L122" s="10">
        <v>21</v>
      </c>
      <c r="M122" s="24" t="s">
        <v>44</v>
      </c>
      <c r="N122">
        <v>30</v>
      </c>
    </row>
    <row r="123" spans="1:14">
      <c r="A123" s="25" t="e">
        <f t="shared" si="11"/>
        <v>#REF!</v>
      </c>
      <c r="B123" s="67" t="s">
        <v>6</v>
      </c>
      <c r="C123" s="67" t="s">
        <v>194</v>
      </c>
      <c r="D123" s="67" t="s">
        <v>193</v>
      </c>
      <c r="E123" s="22">
        <f t="shared" ca="1" si="6"/>
        <v>40951</v>
      </c>
      <c r="F123" s="11">
        <f>DATE(66,9,11)</f>
        <v>24361</v>
      </c>
      <c r="G123" s="12">
        <f t="shared" ca="1" si="7"/>
        <v>46</v>
      </c>
      <c r="H123" s="12">
        <f t="shared" ca="1" si="8"/>
        <v>-7</v>
      </c>
      <c r="I123" s="13">
        <f t="shared" ca="1" si="9"/>
        <v>1</v>
      </c>
      <c r="J123" s="14">
        <f t="shared" ca="1" si="10"/>
        <v>45</v>
      </c>
      <c r="K123" s="12" t="s">
        <v>41</v>
      </c>
      <c r="L123" s="15">
        <v>22</v>
      </c>
      <c r="M123" s="25" t="s">
        <v>40</v>
      </c>
      <c r="N123">
        <v>30</v>
      </c>
    </row>
    <row r="124" spans="1:14">
      <c r="A124" s="25" t="e">
        <f t="shared" si="11"/>
        <v>#REF!</v>
      </c>
      <c r="B124" s="67" t="s">
        <v>6</v>
      </c>
      <c r="C124" s="67" t="s">
        <v>196</v>
      </c>
      <c r="D124" s="67" t="s">
        <v>70</v>
      </c>
      <c r="E124" s="22">
        <f t="shared" ca="1" si="6"/>
        <v>40951</v>
      </c>
      <c r="F124" s="11">
        <f>DATE(18,3,23)</f>
        <v>6657</v>
      </c>
      <c r="G124" s="12">
        <f t="shared" ca="1" si="7"/>
        <v>94</v>
      </c>
      <c r="H124" s="12">
        <f t="shared" ca="1" si="8"/>
        <v>-1</v>
      </c>
      <c r="I124" s="13">
        <f t="shared" ca="1" si="9"/>
        <v>-11</v>
      </c>
      <c r="J124" s="14">
        <f t="shared" ca="1" si="10"/>
        <v>93</v>
      </c>
      <c r="K124" s="12" t="s">
        <v>41</v>
      </c>
      <c r="L124" s="15">
        <v>22</v>
      </c>
      <c r="M124" s="25" t="s">
        <v>40</v>
      </c>
      <c r="N124">
        <v>30</v>
      </c>
    </row>
    <row r="125" spans="1:14">
      <c r="A125" s="25" t="e">
        <f t="shared" si="11"/>
        <v>#REF!</v>
      </c>
      <c r="B125" s="67" t="s">
        <v>6</v>
      </c>
      <c r="C125" s="67" t="s">
        <v>197</v>
      </c>
      <c r="D125" s="67" t="s">
        <v>198</v>
      </c>
      <c r="E125" s="22">
        <f t="shared" ca="1" si="6"/>
        <v>40951</v>
      </c>
      <c r="F125" s="32"/>
      <c r="G125" s="12">
        <f t="shared" ca="1" si="7"/>
        <v>112</v>
      </c>
      <c r="H125" s="12">
        <f t="shared" ca="1" si="8"/>
        <v>1</v>
      </c>
      <c r="I125" s="13">
        <f t="shared" ca="1" si="9"/>
        <v>12</v>
      </c>
      <c r="J125" s="14">
        <f t="shared" ca="1" si="10"/>
        <v>112</v>
      </c>
      <c r="K125" s="12" t="s">
        <v>41</v>
      </c>
      <c r="L125" s="15">
        <v>22</v>
      </c>
      <c r="M125" s="25" t="s">
        <v>45</v>
      </c>
      <c r="N125">
        <v>30</v>
      </c>
    </row>
    <row r="126" spans="1:14" ht="15.75" thickBot="1">
      <c r="A126" s="26" t="e">
        <f t="shared" si="11"/>
        <v>#REF!</v>
      </c>
      <c r="B126" s="68" t="s">
        <v>6</v>
      </c>
      <c r="C126" s="68" t="s">
        <v>200</v>
      </c>
      <c r="D126" s="68" t="s">
        <v>199</v>
      </c>
      <c r="E126" s="23">
        <f t="shared" ca="1" si="6"/>
        <v>40951</v>
      </c>
      <c r="F126" s="33"/>
      <c r="G126" s="17">
        <f t="shared" ca="1" si="7"/>
        <v>112</v>
      </c>
      <c r="H126" s="17">
        <f t="shared" ca="1" si="8"/>
        <v>1</v>
      </c>
      <c r="I126" s="18">
        <f t="shared" ca="1" si="9"/>
        <v>12</v>
      </c>
      <c r="J126" s="19">
        <f t="shared" ca="1" si="10"/>
        <v>112</v>
      </c>
      <c r="K126" s="17" t="s">
        <v>41</v>
      </c>
      <c r="L126" s="20">
        <v>22</v>
      </c>
      <c r="M126" s="26" t="s">
        <v>40</v>
      </c>
      <c r="N126">
        <v>30</v>
      </c>
    </row>
    <row r="127" spans="1:14">
      <c r="A127" s="24" t="e">
        <f t="shared" si="11"/>
        <v>#REF!</v>
      </c>
      <c r="B127" s="66" t="s">
        <v>6</v>
      </c>
      <c r="C127" s="66" t="s">
        <v>202</v>
      </c>
      <c r="D127" s="66" t="s">
        <v>199</v>
      </c>
      <c r="E127" s="21">
        <f t="shared" ca="1" si="6"/>
        <v>40951</v>
      </c>
      <c r="F127" s="45"/>
      <c r="G127" s="7">
        <f t="shared" ca="1" si="7"/>
        <v>112</v>
      </c>
      <c r="H127" s="7">
        <f t="shared" ca="1" si="8"/>
        <v>1</v>
      </c>
      <c r="I127" s="8">
        <f t="shared" ca="1" si="9"/>
        <v>12</v>
      </c>
      <c r="J127" s="9">
        <f t="shared" ca="1" si="10"/>
        <v>112</v>
      </c>
      <c r="K127" s="7" t="s">
        <v>41</v>
      </c>
      <c r="L127" s="10">
        <v>22</v>
      </c>
      <c r="M127" s="24" t="s">
        <v>44</v>
      </c>
      <c r="N127">
        <v>31</v>
      </c>
    </row>
    <row r="128" spans="1:14">
      <c r="A128" s="25" t="e">
        <f t="shared" si="11"/>
        <v>#REF!</v>
      </c>
      <c r="B128" s="67" t="s">
        <v>6</v>
      </c>
      <c r="C128" s="67" t="s">
        <v>167</v>
      </c>
      <c r="D128" s="67" t="s">
        <v>201</v>
      </c>
      <c r="E128" s="22">
        <f t="shared" ca="1" si="6"/>
        <v>40951</v>
      </c>
      <c r="F128" s="32"/>
      <c r="G128" s="12">
        <f t="shared" ca="1" si="7"/>
        <v>112</v>
      </c>
      <c r="H128" s="12">
        <f t="shared" ca="1" si="8"/>
        <v>1</v>
      </c>
      <c r="I128" s="13">
        <f t="shared" ca="1" si="9"/>
        <v>12</v>
      </c>
      <c r="J128" s="14">
        <f t="shared" ca="1" si="10"/>
        <v>112</v>
      </c>
      <c r="K128" s="12" t="s">
        <v>41</v>
      </c>
      <c r="L128" s="15">
        <v>22</v>
      </c>
      <c r="M128" s="25" t="s">
        <v>44</v>
      </c>
      <c r="N128">
        <v>31</v>
      </c>
    </row>
    <row r="129" spans="1:14">
      <c r="A129" s="25" t="e">
        <f t="shared" si="11"/>
        <v>#REF!</v>
      </c>
      <c r="B129" s="67" t="s">
        <v>6</v>
      </c>
      <c r="C129" s="67" t="s">
        <v>124</v>
      </c>
      <c r="D129" s="67" t="s">
        <v>204</v>
      </c>
      <c r="E129" s="22">
        <f t="shared" ref="E129:E192" ca="1" si="12">TODAY()</f>
        <v>40951</v>
      </c>
      <c r="F129" s="11">
        <f>DATE(68,7,12)</f>
        <v>25031</v>
      </c>
      <c r="G129" s="12">
        <f t="shared" ref="G129:G192" ca="1" si="13">YEAR(E129)-YEAR(F129)</f>
        <v>44</v>
      </c>
      <c r="H129" s="12">
        <f t="shared" ref="H129:H192" ca="1" si="14">MONTH(E129)-MONTH(F129)</f>
        <v>-5</v>
      </c>
      <c r="I129" s="13">
        <f t="shared" ref="I129:I192" ca="1" si="15">DAY(E129)-DAY(F129)</f>
        <v>0</v>
      </c>
      <c r="J129" s="14">
        <f t="shared" ref="J129:J192" ca="1" si="16">IF(H129&lt;0,G129-1,IF(H129&gt;0,G129,IF(I129&lt;0,G129-1,G129)))</f>
        <v>43</v>
      </c>
      <c r="K129" s="12" t="s">
        <v>41</v>
      </c>
      <c r="L129" s="15">
        <v>22</v>
      </c>
      <c r="M129" s="25" t="s">
        <v>40</v>
      </c>
      <c r="N129">
        <v>31</v>
      </c>
    </row>
    <row r="130" spans="1:14">
      <c r="A130" s="25" t="e">
        <f t="shared" ref="A130:A193" si="17">A129+1</f>
        <v>#REF!</v>
      </c>
      <c r="B130" s="67" t="s">
        <v>6</v>
      </c>
      <c r="C130" s="67" t="s">
        <v>206</v>
      </c>
      <c r="D130" s="67" t="s">
        <v>204</v>
      </c>
      <c r="E130" s="22">
        <f t="shared" ca="1" si="12"/>
        <v>40951</v>
      </c>
      <c r="F130" s="11">
        <f>DATE(92,11,12)</f>
        <v>33920</v>
      </c>
      <c r="G130" s="12">
        <f t="shared" ca="1" si="13"/>
        <v>20</v>
      </c>
      <c r="H130" s="12">
        <f t="shared" ca="1" si="14"/>
        <v>-9</v>
      </c>
      <c r="I130" s="13">
        <f t="shared" ca="1" si="15"/>
        <v>0</v>
      </c>
      <c r="J130" s="14">
        <f t="shared" ca="1" si="16"/>
        <v>19</v>
      </c>
      <c r="K130" s="12" t="s">
        <v>41</v>
      </c>
      <c r="L130" s="15">
        <v>22</v>
      </c>
      <c r="M130" s="25" t="s">
        <v>44</v>
      </c>
      <c r="N130">
        <v>31</v>
      </c>
    </row>
    <row r="131" spans="1:14" ht="15.75" thickBot="1">
      <c r="A131" s="26" t="e">
        <f t="shared" si="17"/>
        <v>#REF!</v>
      </c>
      <c r="B131" s="68" t="s">
        <v>6</v>
      </c>
      <c r="C131" s="68" t="s">
        <v>210</v>
      </c>
      <c r="D131" s="68" t="s">
        <v>208</v>
      </c>
      <c r="E131" s="23">
        <f t="shared" ca="1" si="12"/>
        <v>40951</v>
      </c>
      <c r="F131" s="16">
        <f>DATE(58,3,18)</f>
        <v>21262</v>
      </c>
      <c r="G131" s="17">
        <f t="shared" ca="1" si="13"/>
        <v>54</v>
      </c>
      <c r="H131" s="17">
        <f t="shared" ca="1" si="14"/>
        <v>-1</v>
      </c>
      <c r="I131" s="18">
        <f t="shared" ca="1" si="15"/>
        <v>-6</v>
      </c>
      <c r="J131" s="19">
        <f t="shared" ca="1" si="16"/>
        <v>53</v>
      </c>
      <c r="K131" s="17" t="s">
        <v>41</v>
      </c>
      <c r="L131" s="20">
        <v>23</v>
      </c>
      <c r="M131" s="26" t="s">
        <v>40</v>
      </c>
      <c r="N131">
        <v>31</v>
      </c>
    </row>
    <row r="132" spans="1:14">
      <c r="A132" s="24" t="e">
        <f t="shared" si="17"/>
        <v>#REF!</v>
      </c>
      <c r="B132" s="66" t="s">
        <v>6</v>
      </c>
      <c r="C132" s="66" t="s">
        <v>212</v>
      </c>
      <c r="D132" s="66" t="s">
        <v>213</v>
      </c>
      <c r="E132" s="21">
        <f t="shared" ca="1" si="12"/>
        <v>40951</v>
      </c>
      <c r="F132" s="6">
        <f>DATE(81,5,22)</f>
        <v>29728</v>
      </c>
      <c r="G132" s="7">
        <f t="shared" ca="1" si="13"/>
        <v>31</v>
      </c>
      <c r="H132" s="7">
        <f t="shared" ca="1" si="14"/>
        <v>-3</v>
      </c>
      <c r="I132" s="8">
        <f t="shared" ca="1" si="15"/>
        <v>-10</v>
      </c>
      <c r="J132" s="9">
        <f t="shared" ca="1" si="16"/>
        <v>30</v>
      </c>
      <c r="K132" s="7" t="s">
        <v>41</v>
      </c>
      <c r="L132" s="10">
        <v>23</v>
      </c>
      <c r="M132" s="24" t="s">
        <v>40</v>
      </c>
      <c r="N132">
        <v>32</v>
      </c>
    </row>
    <row r="133" spans="1:14">
      <c r="A133" s="25" t="e">
        <f t="shared" si="17"/>
        <v>#REF!</v>
      </c>
      <c r="B133" s="67" t="s">
        <v>6</v>
      </c>
      <c r="C133" s="67" t="s">
        <v>216</v>
      </c>
      <c r="D133" s="67" t="s">
        <v>210</v>
      </c>
      <c r="E133" s="22">
        <f t="shared" ca="1" si="12"/>
        <v>40951</v>
      </c>
      <c r="F133" s="11">
        <f>DATE(57,6,13)</f>
        <v>20984</v>
      </c>
      <c r="G133" s="12">
        <f t="shared" ca="1" si="13"/>
        <v>55</v>
      </c>
      <c r="H133" s="12">
        <f t="shared" ca="1" si="14"/>
        <v>-4</v>
      </c>
      <c r="I133" s="13">
        <f t="shared" ca="1" si="15"/>
        <v>-1</v>
      </c>
      <c r="J133" s="14">
        <f t="shared" ca="1" si="16"/>
        <v>54</v>
      </c>
      <c r="K133" s="12" t="s">
        <v>41</v>
      </c>
      <c r="L133" s="15">
        <v>23</v>
      </c>
      <c r="M133" s="25" t="s">
        <v>40</v>
      </c>
      <c r="N133">
        <v>32</v>
      </c>
    </row>
    <row r="134" spans="1:14" ht="15.75" thickBot="1">
      <c r="A134" s="26" t="e">
        <f t="shared" si="17"/>
        <v>#REF!</v>
      </c>
      <c r="B134" s="68" t="s">
        <v>6</v>
      </c>
      <c r="C134" s="68" t="s">
        <v>218</v>
      </c>
      <c r="D134" s="68" t="s">
        <v>217</v>
      </c>
      <c r="E134" s="23">
        <f t="shared" ca="1" si="12"/>
        <v>40951</v>
      </c>
      <c r="F134" s="16">
        <f>DATE(51,11,4)</f>
        <v>18936</v>
      </c>
      <c r="G134" s="17">
        <f t="shared" ca="1" si="13"/>
        <v>61</v>
      </c>
      <c r="H134" s="17">
        <f t="shared" ca="1" si="14"/>
        <v>-9</v>
      </c>
      <c r="I134" s="18">
        <f t="shared" ca="1" si="15"/>
        <v>8</v>
      </c>
      <c r="J134" s="19">
        <f t="shared" ca="1" si="16"/>
        <v>60</v>
      </c>
      <c r="K134" s="17" t="s">
        <v>41</v>
      </c>
      <c r="L134" s="20">
        <v>23</v>
      </c>
      <c r="M134" s="26" t="s">
        <v>40</v>
      </c>
      <c r="N134">
        <v>32</v>
      </c>
    </row>
    <row r="135" spans="1:14">
      <c r="A135" s="24" t="e">
        <f t="shared" si="17"/>
        <v>#REF!</v>
      </c>
      <c r="B135" s="66" t="s">
        <v>6</v>
      </c>
      <c r="C135" s="66" t="s">
        <v>160</v>
      </c>
      <c r="D135" s="66" t="s">
        <v>118</v>
      </c>
      <c r="E135" s="21">
        <f t="shared" ca="1" si="12"/>
        <v>40951</v>
      </c>
      <c r="F135" s="6">
        <f>DATE(77,8,9)</f>
        <v>28346</v>
      </c>
      <c r="G135" s="7">
        <f t="shared" ca="1" si="13"/>
        <v>35</v>
      </c>
      <c r="H135" s="7">
        <f t="shared" ca="1" si="14"/>
        <v>-6</v>
      </c>
      <c r="I135" s="8">
        <f t="shared" ca="1" si="15"/>
        <v>3</v>
      </c>
      <c r="J135" s="9">
        <f t="shared" ca="1" si="16"/>
        <v>34</v>
      </c>
      <c r="K135" s="7" t="s">
        <v>41</v>
      </c>
      <c r="L135" s="10">
        <v>23</v>
      </c>
      <c r="M135" s="24" t="s">
        <v>40</v>
      </c>
      <c r="N135">
        <v>33</v>
      </c>
    </row>
    <row r="136" spans="1:14">
      <c r="A136" s="25" t="e">
        <f t="shared" si="17"/>
        <v>#REF!</v>
      </c>
      <c r="B136" s="67" t="s">
        <v>6</v>
      </c>
      <c r="C136" s="67" t="s">
        <v>219</v>
      </c>
      <c r="D136" s="67" t="s">
        <v>118</v>
      </c>
      <c r="E136" s="22">
        <f t="shared" ca="1" si="12"/>
        <v>40951</v>
      </c>
      <c r="F136" s="11">
        <f>DATE(2002,11,30)</f>
        <v>37590</v>
      </c>
      <c r="G136" s="12">
        <f t="shared" ca="1" si="13"/>
        <v>10</v>
      </c>
      <c r="H136" s="12">
        <f t="shared" ca="1" si="14"/>
        <v>-9</v>
      </c>
      <c r="I136" s="13">
        <f t="shared" ca="1" si="15"/>
        <v>-18</v>
      </c>
      <c r="J136" s="14">
        <f t="shared" ca="1" si="16"/>
        <v>9</v>
      </c>
      <c r="K136" s="12" t="s">
        <v>41</v>
      </c>
      <c r="L136" s="15">
        <v>23</v>
      </c>
      <c r="M136" s="25" t="s">
        <v>44</v>
      </c>
      <c r="N136">
        <v>33</v>
      </c>
    </row>
    <row r="137" spans="1:14">
      <c r="A137" s="25" t="e">
        <f t="shared" si="17"/>
        <v>#REF!</v>
      </c>
      <c r="B137" s="67" t="s">
        <v>6</v>
      </c>
      <c r="C137" s="67" t="s">
        <v>221</v>
      </c>
      <c r="D137" s="67" t="s">
        <v>220</v>
      </c>
      <c r="E137" s="22">
        <f t="shared" ca="1" si="12"/>
        <v>40951</v>
      </c>
      <c r="F137" s="11">
        <f>DATE(71,2,15)</f>
        <v>25979</v>
      </c>
      <c r="G137" s="12">
        <f t="shared" ca="1" si="13"/>
        <v>41</v>
      </c>
      <c r="H137" s="12">
        <f t="shared" ca="1" si="14"/>
        <v>0</v>
      </c>
      <c r="I137" s="13">
        <f t="shared" ca="1" si="15"/>
        <v>-3</v>
      </c>
      <c r="J137" s="14">
        <f t="shared" ca="1" si="16"/>
        <v>40</v>
      </c>
      <c r="K137" s="12" t="s">
        <v>41</v>
      </c>
      <c r="L137" s="15">
        <v>24</v>
      </c>
      <c r="M137" s="25" t="s">
        <v>40</v>
      </c>
      <c r="N137">
        <v>33</v>
      </c>
    </row>
    <row r="138" spans="1:14" ht="15.75" thickBot="1">
      <c r="A138" s="26" t="e">
        <f t="shared" si="17"/>
        <v>#REF!</v>
      </c>
      <c r="B138" s="68" t="s">
        <v>6</v>
      </c>
      <c r="C138" s="68" t="s">
        <v>222</v>
      </c>
      <c r="D138" s="68" t="s">
        <v>220</v>
      </c>
      <c r="E138" s="23">
        <f t="shared" ca="1" si="12"/>
        <v>40951</v>
      </c>
      <c r="F138" s="16">
        <f>DATE(90,7,19)</f>
        <v>33073</v>
      </c>
      <c r="G138" s="17">
        <f t="shared" ca="1" si="13"/>
        <v>22</v>
      </c>
      <c r="H138" s="17">
        <f t="shared" ca="1" si="14"/>
        <v>-5</v>
      </c>
      <c r="I138" s="18">
        <f t="shared" ca="1" si="15"/>
        <v>-7</v>
      </c>
      <c r="J138" s="19">
        <f t="shared" ca="1" si="16"/>
        <v>21</v>
      </c>
      <c r="K138" s="17" t="s">
        <v>41</v>
      </c>
      <c r="L138" s="20">
        <v>24</v>
      </c>
      <c r="M138" s="26" t="s">
        <v>44</v>
      </c>
      <c r="N138">
        <v>33</v>
      </c>
    </row>
    <row r="139" spans="1:14">
      <c r="A139" s="24" t="e">
        <f t="shared" si="17"/>
        <v>#REF!</v>
      </c>
      <c r="B139" s="66" t="s">
        <v>6</v>
      </c>
      <c r="C139" s="66" t="s">
        <v>167</v>
      </c>
      <c r="D139" s="66" t="s">
        <v>220</v>
      </c>
      <c r="E139" s="21">
        <f t="shared" ca="1" si="12"/>
        <v>40951</v>
      </c>
      <c r="F139" s="6">
        <f>DATE(92,8,31)</f>
        <v>33847</v>
      </c>
      <c r="G139" s="7">
        <f t="shared" ca="1" si="13"/>
        <v>20</v>
      </c>
      <c r="H139" s="7">
        <f t="shared" ca="1" si="14"/>
        <v>-6</v>
      </c>
      <c r="I139" s="8">
        <f t="shared" ca="1" si="15"/>
        <v>-19</v>
      </c>
      <c r="J139" s="9">
        <f t="shared" ca="1" si="16"/>
        <v>19</v>
      </c>
      <c r="K139" s="7" t="s">
        <v>41</v>
      </c>
      <c r="L139" s="10">
        <v>24</v>
      </c>
      <c r="M139" s="24" t="s">
        <v>44</v>
      </c>
      <c r="N139">
        <v>34</v>
      </c>
    </row>
    <row r="140" spans="1:14">
      <c r="A140" s="25" t="e">
        <f t="shared" si="17"/>
        <v>#REF!</v>
      </c>
      <c r="B140" s="67" t="s">
        <v>6</v>
      </c>
      <c r="C140" s="67" t="s">
        <v>143</v>
      </c>
      <c r="D140" s="67" t="s">
        <v>224</v>
      </c>
      <c r="E140" s="22">
        <f t="shared" ca="1" si="12"/>
        <v>40951</v>
      </c>
      <c r="F140" s="11">
        <f>DATE(63,2,19)</f>
        <v>23061</v>
      </c>
      <c r="G140" s="12">
        <f t="shared" ca="1" si="13"/>
        <v>49</v>
      </c>
      <c r="H140" s="12">
        <f t="shared" ca="1" si="14"/>
        <v>0</v>
      </c>
      <c r="I140" s="13">
        <f t="shared" ca="1" si="15"/>
        <v>-7</v>
      </c>
      <c r="J140" s="14">
        <f t="shared" ca="1" si="16"/>
        <v>48</v>
      </c>
      <c r="K140" s="12" t="s">
        <v>41</v>
      </c>
      <c r="L140" s="15">
        <v>24</v>
      </c>
      <c r="M140" s="25" t="s">
        <v>40</v>
      </c>
      <c r="N140">
        <v>34</v>
      </c>
    </row>
    <row r="141" spans="1:14">
      <c r="A141" s="25" t="e">
        <f t="shared" si="17"/>
        <v>#REF!</v>
      </c>
      <c r="B141" s="67" t="s">
        <v>6</v>
      </c>
      <c r="C141" s="67" t="s">
        <v>226</v>
      </c>
      <c r="D141" s="67" t="s">
        <v>227</v>
      </c>
      <c r="E141" s="22">
        <f t="shared" ca="1" si="12"/>
        <v>40951</v>
      </c>
      <c r="F141" s="11">
        <f>DATE(55,8,5)</f>
        <v>20306</v>
      </c>
      <c r="G141" s="12">
        <f t="shared" ca="1" si="13"/>
        <v>57</v>
      </c>
      <c r="H141" s="12">
        <f t="shared" ca="1" si="14"/>
        <v>-6</v>
      </c>
      <c r="I141" s="13">
        <f t="shared" ca="1" si="15"/>
        <v>7</v>
      </c>
      <c r="J141" s="14">
        <f t="shared" ca="1" si="16"/>
        <v>56</v>
      </c>
      <c r="K141" s="12" t="s">
        <v>41</v>
      </c>
      <c r="L141" s="15">
        <v>24</v>
      </c>
      <c r="M141" s="25" t="s">
        <v>40</v>
      </c>
      <c r="N141">
        <v>34</v>
      </c>
    </row>
    <row r="142" spans="1:14" ht="15.75" thickBot="1">
      <c r="A142" s="26" t="e">
        <f t="shared" si="17"/>
        <v>#REF!</v>
      </c>
      <c r="B142" s="68" t="s">
        <v>6</v>
      </c>
      <c r="C142" s="68" t="s">
        <v>78</v>
      </c>
      <c r="D142" s="68" t="s">
        <v>230</v>
      </c>
      <c r="E142" s="23">
        <f t="shared" ca="1" si="12"/>
        <v>40951</v>
      </c>
      <c r="F142" s="16">
        <f>DATE(54,7,31)</f>
        <v>19936</v>
      </c>
      <c r="G142" s="17">
        <f t="shared" ca="1" si="13"/>
        <v>58</v>
      </c>
      <c r="H142" s="17">
        <f t="shared" ca="1" si="14"/>
        <v>-5</v>
      </c>
      <c r="I142" s="18">
        <f t="shared" ca="1" si="15"/>
        <v>-19</v>
      </c>
      <c r="J142" s="19">
        <f t="shared" ca="1" si="16"/>
        <v>57</v>
      </c>
      <c r="K142" s="17" t="s">
        <v>41</v>
      </c>
      <c r="L142" s="20">
        <v>25</v>
      </c>
      <c r="M142" s="26" t="s">
        <v>40</v>
      </c>
      <c r="N142">
        <v>34</v>
      </c>
    </row>
    <row r="143" spans="1:14" ht="15.75" thickBot="1">
      <c r="A143" s="43" t="e">
        <f t="shared" si="17"/>
        <v>#REF!</v>
      </c>
      <c r="B143" s="69" t="s">
        <v>6</v>
      </c>
      <c r="C143" s="69" t="s">
        <v>231</v>
      </c>
      <c r="D143" s="69" t="s">
        <v>229</v>
      </c>
      <c r="E143" s="37">
        <f t="shared" ca="1" si="12"/>
        <v>40951</v>
      </c>
      <c r="F143" s="38">
        <f>DATE(79,7,20)</f>
        <v>29056</v>
      </c>
      <c r="G143" s="39">
        <f t="shared" ca="1" si="13"/>
        <v>33</v>
      </c>
      <c r="H143" s="39">
        <f t="shared" ca="1" si="14"/>
        <v>-5</v>
      </c>
      <c r="I143" s="40">
        <f t="shared" ca="1" si="15"/>
        <v>-8</v>
      </c>
      <c r="J143" s="41">
        <f t="shared" ca="1" si="16"/>
        <v>32</v>
      </c>
      <c r="K143" s="39" t="s">
        <v>41</v>
      </c>
      <c r="L143" s="42">
        <v>25</v>
      </c>
      <c r="M143" s="43" t="s">
        <v>40</v>
      </c>
      <c r="N143">
        <v>35</v>
      </c>
    </row>
    <row r="144" spans="1:14">
      <c r="A144" s="24" t="e">
        <f t="shared" si="17"/>
        <v>#REF!</v>
      </c>
      <c r="B144" s="66" t="s">
        <v>6</v>
      </c>
      <c r="C144" s="66" t="s">
        <v>232</v>
      </c>
      <c r="D144" s="66" t="s">
        <v>233</v>
      </c>
      <c r="E144" s="21">
        <f t="shared" ca="1" si="12"/>
        <v>40951</v>
      </c>
      <c r="F144" s="45"/>
      <c r="G144" s="7">
        <f t="shared" ca="1" si="13"/>
        <v>112</v>
      </c>
      <c r="H144" s="7">
        <f t="shared" ca="1" si="14"/>
        <v>1</v>
      </c>
      <c r="I144" s="8">
        <f t="shared" ca="1" si="15"/>
        <v>12</v>
      </c>
      <c r="J144" s="9">
        <f t="shared" ca="1" si="16"/>
        <v>112</v>
      </c>
      <c r="K144" s="7" t="s">
        <v>41</v>
      </c>
      <c r="L144" s="10">
        <v>25</v>
      </c>
      <c r="M144" s="24" t="s">
        <v>40</v>
      </c>
      <c r="N144">
        <v>36</v>
      </c>
    </row>
    <row r="145" spans="1:14">
      <c r="A145" s="25" t="e">
        <f t="shared" si="17"/>
        <v>#REF!</v>
      </c>
      <c r="B145" s="67" t="s">
        <v>6</v>
      </c>
      <c r="C145" s="67" t="s">
        <v>236</v>
      </c>
      <c r="D145" s="67" t="s">
        <v>235</v>
      </c>
      <c r="E145" s="22">
        <f t="shared" ca="1" si="12"/>
        <v>40951</v>
      </c>
      <c r="F145" s="11">
        <f>DATE(84,6,27)</f>
        <v>30860</v>
      </c>
      <c r="G145" s="12">
        <f t="shared" ca="1" si="13"/>
        <v>28</v>
      </c>
      <c r="H145" s="12">
        <f t="shared" ca="1" si="14"/>
        <v>-4</v>
      </c>
      <c r="I145" s="13">
        <f t="shared" ca="1" si="15"/>
        <v>-15</v>
      </c>
      <c r="J145" s="14">
        <f t="shared" ca="1" si="16"/>
        <v>27</v>
      </c>
      <c r="K145" s="12" t="s">
        <v>41</v>
      </c>
      <c r="L145" s="15">
        <v>25</v>
      </c>
      <c r="M145" s="25" t="s">
        <v>44</v>
      </c>
      <c r="N145">
        <v>36</v>
      </c>
    </row>
    <row r="146" spans="1:14">
      <c r="A146" s="25" t="e">
        <f t="shared" si="17"/>
        <v>#REF!</v>
      </c>
      <c r="B146" s="67" t="s">
        <v>6</v>
      </c>
      <c r="C146" s="67" t="s">
        <v>238</v>
      </c>
      <c r="D146" s="67" t="s">
        <v>237</v>
      </c>
      <c r="E146" s="22">
        <f t="shared" ca="1" si="12"/>
        <v>40951</v>
      </c>
      <c r="F146" s="11">
        <f>DATE(57,9,29)</f>
        <v>21092</v>
      </c>
      <c r="G146" s="12">
        <f t="shared" ca="1" si="13"/>
        <v>55</v>
      </c>
      <c r="H146" s="12">
        <f t="shared" ca="1" si="14"/>
        <v>-7</v>
      </c>
      <c r="I146" s="13">
        <f t="shared" ca="1" si="15"/>
        <v>-17</v>
      </c>
      <c r="J146" s="14">
        <f t="shared" ca="1" si="16"/>
        <v>54</v>
      </c>
      <c r="K146" s="12" t="s">
        <v>41</v>
      </c>
      <c r="L146" s="15">
        <v>25</v>
      </c>
      <c r="M146" s="25" t="s">
        <v>40</v>
      </c>
      <c r="N146">
        <v>36</v>
      </c>
    </row>
    <row r="147" spans="1:14" ht="15.75" thickBot="1">
      <c r="A147" s="26" t="e">
        <f t="shared" si="17"/>
        <v>#REF!</v>
      </c>
      <c r="B147" s="68" t="s">
        <v>6</v>
      </c>
      <c r="C147" s="68" t="s">
        <v>240</v>
      </c>
      <c r="D147" s="68" t="s">
        <v>241</v>
      </c>
      <c r="E147" s="23">
        <f t="shared" ca="1" si="12"/>
        <v>40951</v>
      </c>
      <c r="F147" s="16">
        <f>DATE(83,6,9)</f>
        <v>30476</v>
      </c>
      <c r="G147" s="17">
        <f t="shared" ca="1" si="13"/>
        <v>29</v>
      </c>
      <c r="H147" s="17">
        <f t="shared" ca="1" si="14"/>
        <v>-4</v>
      </c>
      <c r="I147" s="18">
        <f t="shared" ca="1" si="15"/>
        <v>3</v>
      </c>
      <c r="J147" s="19">
        <f t="shared" ca="1" si="16"/>
        <v>28</v>
      </c>
      <c r="K147" s="17" t="s">
        <v>41</v>
      </c>
      <c r="L147" s="20">
        <v>25</v>
      </c>
      <c r="M147" s="26" t="s">
        <v>40</v>
      </c>
      <c r="N147">
        <v>36</v>
      </c>
    </row>
    <row r="148" spans="1:14">
      <c r="A148" s="24" t="e">
        <f t="shared" si="17"/>
        <v>#REF!</v>
      </c>
      <c r="B148" s="66" t="s">
        <v>6</v>
      </c>
      <c r="C148" s="66" t="s">
        <v>218</v>
      </c>
      <c r="D148" s="66" t="s">
        <v>243</v>
      </c>
      <c r="E148" s="21">
        <f t="shared" ca="1" si="12"/>
        <v>40951</v>
      </c>
      <c r="F148" s="6">
        <f>DATE(51,8,15)</f>
        <v>18855</v>
      </c>
      <c r="G148" s="7">
        <f t="shared" ca="1" si="13"/>
        <v>61</v>
      </c>
      <c r="H148" s="7">
        <f t="shared" ca="1" si="14"/>
        <v>-6</v>
      </c>
      <c r="I148" s="8">
        <f t="shared" ca="1" si="15"/>
        <v>-3</v>
      </c>
      <c r="J148" s="9">
        <f t="shared" ca="1" si="16"/>
        <v>60</v>
      </c>
      <c r="K148" s="7" t="s">
        <v>41</v>
      </c>
      <c r="L148" s="10">
        <v>26</v>
      </c>
      <c r="M148" s="24" t="s">
        <v>40</v>
      </c>
      <c r="N148">
        <v>37</v>
      </c>
    </row>
    <row r="149" spans="1:14">
      <c r="A149" s="25" t="e">
        <f t="shared" si="17"/>
        <v>#REF!</v>
      </c>
      <c r="B149" s="67" t="s">
        <v>6</v>
      </c>
      <c r="C149" s="67" t="s">
        <v>246</v>
      </c>
      <c r="D149" s="67" t="s">
        <v>245</v>
      </c>
      <c r="E149" s="22">
        <f t="shared" ca="1" si="12"/>
        <v>40951</v>
      </c>
      <c r="F149" s="11">
        <f>DATE(78,1,3)</f>
        <v>28493</v>
      </c>
      <c r="G149" s="12">
        <f t="shared" ca="1" si="13"/>
        <v>34</v>
      </c>
      <c r="H149" s="12">
        <f t="shared" ca="1" si="14"/>
        <v>1</v>
      </c>
      <c r="I149" s="13">
        <f t="shared" ca="1" si="15"/>
        <v>9</v>
      </c>
      <c r="J149" s="14">
        <f t="shared" ca="1" si="16"/>
        <v>34</v>
      </c>
      <c r="K149" s="12" t="s">
        <v>41</v>
      </c>
      <c r="L149" s="15">
        <v>26</v>
      </c>
      <c r="M149" s="25" t="s">
        <v>40</v>
      </c>
      <c r="N149">
        <v>37</v>
      </c>
    </row>
    <row r="150" spans="1:14">
      <c r="A150" s="25" t="e">
        <f t="shared" si="17"/>
        <v>#REF!</v>
      </c>
      <c r="B150" s="67" t="s">
        <v>6</v>
      </c>
      <c r="C150" s="67" t="s">
        <v>248</v>
      </c>
      <c r="D150" s="67" t="s">
        <v>245</v>
      </c>
      <c r="E150" s="22">
        <f t="shared" ca="1" si="12"/>
        <v>40951</v>
      </c>
      <c r="F150" s="11">
        <f>DATE(2004,5,14)</f>
        <v>38121</v>
      </c>
      <c r="G150" s="12">
        <f t="shared" ca="1" si="13"/>
        <v>8</v>
      </c>
      <c r="H150" s="12">
        <f t="shared" ca="1" si="14"/>
        <v>-3</v>
      </c>
      <c r="I150" s="13">
        <f t="shared" ca="1" si="15"/>
        <v>-2</v>
      </c>
      <c r="J150" s="14">
        <f t="shared" ca="1" si="16"/>
        <v>7</v>
      </c>
      <c r="K150" s="12" t="s">
        <v>41</v>
      </c>
      <c r="L150" s="15">
        <v>26</v>
      </c>
      <c r="M150" s="25" t="s">
        <v>44</v>
      </c>
      <c r="N150">
        <v>37</v>
      </c>
    </row>
    <row r="151" spans="1:14">
      <c r="A151" s="25" t="e">
        <f t="shared" si="17"/>
        <v>#REF!</v>
      </c>
      <c r="B151" s="67" t="s">
        <v>6</v>
      </c>
      <c r="C151" s="67" t="s">
        <v>124</v>
      </c>
      <c r="D151" s="67" t="s">
        <v>249</v>
      </c>
      <c r="E151" s="22">
        <f t="shared" ca="1" si="12"/>
        <v>40951</v>
      </c>
      <c r="F151" s="11">
        <f>DATE(62,6,4)</f>
        <v>22801</v>
      </c>
      <c r="G151" s="12">
        <f t="shared" ca="1" si="13"/>
        <v>50</v>
      </c>
      <c r="H151" s="12">
        <f t="shared" ca="1" si="14"/>
        <v>-4</v>
      </c>
      <c r="I151" s="13">
        <f t="shared" ca="1" si="15"/>
        <v>8</v>
      </c>
      <c r="J151" s="14">
        <f t="shared" ca="1" si="16"/>
        <v>49</v>
      </c>
      <c r="K151" s="12" t="s">
        <v>41</v>
      </c>
      <c r="L151" s="15">
        <v>26</v>
      </c>
      <c r="M151" s="25" t="s">
        <v>40</v>
      </c>
      <c r="N151">
        <v>37</v>
      </c>
    </row>
    <row r="152" spans="1:14" ht="15.75" thickBot="1">
      <c r="A152" s="26" t="e">
        <f t="shared" si="17"/>
        <v>#REF!</v>
      </c>
      <c r="B152" s="68" t="s">
        <v>6</v>
      </c>
      <c r="C152" s="68" t="s">
        <v>252</v>
      </c>
      <c r="D152" s="68" t="s">
        <v>136</v>
      </c>
      <c r="E152" s="23">
        <f t="shared" ca="1" si="12"/>
        <v>40951</v>
      </c>
      <c r="F152" s="16">
        <f>DATE(46,2,7)</f>
        <v>16840</v>
      </c>
      <c r="G152" s="17">
        <f t="shared" ca="1" si="13"/>
        <v>66</v>
      </c>
      <c r="H152" s="17">
        <f t="shared" ca="1" si="14"/>
        <v>0</v>
      </c>
      <c r="I152" s="18">
        <f t="shared" ca="1" si="15"/>
        <v>5</v>
      </c>
      <c r="J152" s="19">
        <f t="shared" ca="1" si="16"/>
        <v>66</v>
      </c>
      <c r="K152" s="17" t="s">
        <v>41</v>
      </c>
      <c r="L152" s="20">
        <v>26</v>
      </c>
      <c r="M152" s="26" t="s">
        <v>40</v>
      </c>
      <c r="N152">
        <v>37</v>
      </c>
    </row>
    <row r="153" spans="1:14">
      <c r="A153" s="24" t="e">
        <f t="shared" si="17"/>
        <v>#REF!</v>
      </c>
      <c r="B153" s="66" t="s">
        <v>6</v>
      </c>
      <c r="C153" s="66" t="s">
        <v>145</v>
      </c>
      <c r="D153" s="66" t="s">
        <v>254</v>
      </c>
      <c r="E153" s="21">
        <f t="shared" ca="1" si="12"/>
        <v>40951</v>
      </c>
      <c r="F153" s="6">
        <f>DATE(76,2,24)</f>
        <v>27814</v>
      </c>
      <c r="G153" s="7">
        <f t="shared" ca="1" si="13"/>
        <v>36</v>
      </c>
      <c r="H153" s="7">
        <f t="shared" ca="1" si="14"/>
        <v>0</v>
      </c>
      <c r="I153" s="8">
        <f t="shared" ca="1" si="15"/>
        <v>-12</v>
      </c>
      <c r="J153" s="9">
        <f t="shared" ca="1" si="16"/>
        <v>35</v>
      </c>
      <c r="K153" s="7" t="s">
        <v>41</v>
      </c>
      <c r="L153" s="10">
        <v>26</v>
      </c>
      <c r="M153" s="24" t="s">
        <v>40</v>
      </c>
      <c r="N153">
        <v>38</v>
      </c>
    </row>
    <row r="154" spans="1:14">
      <c r="A154" s="25" t="e">
        <f t="shared" si="17"/>
        <v>#REF!</v>
      </c>
      <c r="B154" s="67" t="s">
        <v>6</v>
      </c>
      <c r="C154" s="67" t="s">
        <v>111</v>
      </c>
      <c r="D154" s="67" t="s">
        <v>185</v>
      </c>
      <c r="E154" s="22">
        <f t="shared" ca="1" si="12"/>
        <v>40951</v>
      </c>
      <c r="F154" s="11">
        <f>DATE(41,8,1)</f>
        <v>15189</v>
      </c>
      <c r="G154" s="12">
        <f t="shared" ca="1" si="13"/>
        <v>71</v>
      </c>
      <c r="H154" s="12">
        <f t="shared" ca="1" si="14"/>
        <v>-6</v>
      </c>
      <c r="I154" s="13">
        <f t="shared" ca="1" si="15"/>
        <v>11</v>
      </c>
      <c r="J154" s="14">
        <f t="shared" ca="1" si="16"/>
        <v>70</v>
      </c>
      <c r="K154" s="12" t="s">
        <v>41</v>
      </c>
      <c r="L154" s="15">
        <v>27</v>
      </c>
      <c r="M154" s="25" t="s">
        <v>40</v>
      </c>
      <c r="N154">
        <v>38</v>
      </c>
    </row>
    <row r="155" spans="1:14">
      <c r="A155" s="25" t="e">
        <f t="shared" si="17"/>
        <v>#REF!</v>
      </c>
      <c r="B155" s="67" t="s">
        <v>6</v>
      </c>
      <c r="C155" s="67" t="s">
        <v>256</v>
      </c>
      <c r="D155" s="67" t="s">
        <v>255</v>
      </c>
      <c r="E155" s="22">
        <f t="shared" ca="1" si="12"/>
        <v>40951</v>
      </c>
      <c r="F155" s="32"/>
      <c r="G155" s="12">
        <f t="shared" ca="1" si="13"/>
        <v>112</v>
      </c>
      <c r="H155" s="12">
        <f t="shared" ca="1" si="14"/>
        <v>1</v>
      </c>
      <c r="I155" s="13">
        <f t="shared" ca="1" si="15"/>
        <v>12</v>
      </c>
      <c r="J155" s="14">
        <f t="shared" ca="1" si="16"/>
        <v>112</v>
      </c>
      <c r="K155" s="12" t="s">
        <v>41</v>
      </c>
      <c r="L155" s="15">
        <v>27</v>
      </c>
      <c r="M155" s="25" t="s">
        <v>40</v>
      </c>
      <c r="N155">
        <v>38</v>
      </c>
    </row>
    <row r="156" spans="1:14" ht="15.75" thickBot="1">
      <c r="A156" s="26" t="e">
        <f t="shared" si="17"/>
        <v>#REF!</v>
      </c>
      <c r="B156" s="68" t="s">
        <v>6</v>
      </c>
      <c r="C156" s="68" t="s">
        <v>258</v>
      </c>
      <c r="D156" s="68"/>
      <c r="E156" s="23">
        <f t="shared" ca="1" si="12"/>
        <v>40951</v>
      </c>
      <c r="F156" s="16">
        <f>DATE(99,4,9)</f>
        <v>36259</v>
      </c>
      <c r="G156" s="17">
        <f t="shared" ca="1" si="13"/>
        <v>13</v>
      </c>
      <c r="H156" s="17">
        <f t="shared" ca="1" si="14"/>
        <v>-2</v>
      </c>
      <c r="I156" s="18">
        <f t="shared" ca="1" si="15"/>
        <v>3</v>
      </c>
      <c r="J156" s="19">
        <f t="shared" ca="1" si="16"/>
        <v>12</v>
      </c>
      <c r="K156" s="17" t="s">
        <v>41</v>
      </c>
      <c r="L156" s="20">
        <v>27</v>
      </c>
      <c r="M156" s="26" t="s">
        <v>44</v>
      </c>
      <c r="N156">
        <v>38</v>
      </c>
    </row>
    <row r="157" spans="1:14">
      <c r="A157" s="24" t="e">
        <f t="shared" si="17"/>
        <v>#REF!</v>
      </c>
      <c r="B157" s="66" t="s">
        <v>6</v>
      </c>
      <c r="C157" s="66" t="s">
        <v>261</v>
      </c>
      <c r="D157" s="66" t="s">
        <v>262</v>
      </c>
      <c r="E157" s="21">
        <f t="shared" ca="1" si="12"/>
        <v>40951</v>
      </c>
      <c r="F157" s="6">
        <f>DATE(71,3,7)</f>
        <v>25999</v>
      </c>
      <c r="G157" s="7">
        <f t="shared" ca="1" si="13"/>
        <v>41</v>
      </c>
      <c r="H157" s="7">
        <f t="shared" ca="1" si="14"/>
        <v>-1</v>
      </c>
      <c r="I157" s="8">
        <f t="shared" ca="1" si="15"/>
        <v>5</v>
      </c>
      <c r="J157" s="9">
        <f t="shared" ca="1" si="16"/>
        <v>40</v>
      </c>
      <c r="K157" s="7" t="s">
        <v>41</v>
      </c>
      <c r="L157" s="10">
        <v>27</v>
      </c>
      <c r="M157" s="24" t="s">
        <v>40</v>
      </c>
      <c r="N157">
        <v>39</v>
      </c>
    </row>
    <row r="158" spans="1:14" ht="15.75" thickBot="1">
      <c r="A158" s="26" t="e">
        <f t="shared" si="17"/>
        <v>#REF!</v>
      </c>
      <c r="B158" s="68" t="s">
        <v>6</v>
      </c>
      <c r="C158" s="68" t="s">
        <v>202</v>
      </c>
      <c r="D158" s="68" t="s">
        <v>262</v>
      </c>
      <c r="E158" s="23">
        <f t="shared" ca="1" si="12"/>
        <v>40951</v>
      </c>
      <c r="F158" s="16">
        <f>DATE(92,6,8)</f>
        <v>33763</v>
      </c>
      <c r="G158" s="17">
        <f t="shared" ca="1" si="13"/>
        <v>20</v>
      </c>
      <c r="H158" s="17">
        <f t="shared" ca="1" si="14"/>
        <v>-4</v>
      </c>
      <c r="I158" s="18">
        <f t="shared" ca="1" si="15"/>
        <v>4</v>
      </c>
      <c r="J158" s="19">
        <f t="shared" ca="1" si="16"/>
        <v>19</v>
      </c>
      <c r="K158" s="17" t="s">
        <v>41</v>
      </c>
      <c r="L158" s="20">
        <v>27</v>
      </c>
      <c r="M158" s="26" t="s">
        <v>44</v>
      </c>
      <c r="N158">
        <v>39</v>
      </c>
    </row>
    <row r="159" spans="1:14">
      <c r="A159" s="24" t="e">
        <f t="shared" si="17"/>
        <v>#REF!</v>
      </c>
      <c r="B159" s="66" t="s">
        <v>6</v>
      </c>
      <c r="C159" s="66" t="s">
        <v>265</v>
      </c>
      <c r="D159" s="66" t="s">
        <v>264</v>
      </c>
      <c r="E159" s="21">
        <f t="shared" ca="1" si="12"/>
        <v>40951</v>
      </c>
      <c r="F159" s="6">
        <f>DATE(64,6,27)</f>
        <v>23555</v>
      </c>
      <c r="G159" s="7">
        <f t="shared" ca="1" si="13"/>
        <v>48</v>
      </c>
      <c r="H159" s="7">
        <f t="shared" ca="1" si="14"/>
        <v>-4</v>
      </c>
      <c r="I159" s="8">
        <f t="shared" ca="1" si="15"/>
        <v>-15</v>
      </c>
      <c r="J159" s="9">
        <f t="shared" ca="1" si="16"/>
        <v>47</v>
      </c>
      <c r="K159" s="7" t="s">
        <v>41</v>
      </c>
      <c r="L159" s="10">
        <v>27</v>
      </c>
      <c r="M159" s="24" t="s">
        <v>40</v>
      </c>
      <c r="N159">
        <v>40</v>
      </c>
    </row>
    <row r="160" spans="1:14" ht="15.75" thickBot="1">
      <c r="A160" s="26" t="e">
        <f t="shared" si="17"/>
        <v>#REF!</v>
      </c>
      <c r="B160" s="68" t="s">
        <v>6</v>
      </c>
      <c r="C160" s="68" t="s">
        <v>246</v>
      </c>
      <c r="D160" s="68" t="s">
        <v>264</v>
      </c>
      <c r="E160" s="23">
        <f t="shared" ca="1" si="12"/>
        <v>40951</v>
      </c>
      <c r="F160" s="16">
        <f>DATE(92,8,2)</f>
        <v>33818</v>
      </c>
      <c r="G160" s="17">
        <f t="shared" ca="1" si="13"/>
        <v>20</v>
      </c>
      <c r="H160" s="17">
        <f t="shared" ca="1" si="14"/>
        <v>-6</v>
      </c>
      <c r="I160" s="18">
        <f t="shared" ca="1" si="15"/>
        <v>10</v>
      </c>
      <c r="J160" s="19">
        <f t="shared" ca="1" si="16"/>
        <v>19</v>
      </c>
      <c r="K160" s="17" t="s">
        <v>41</v>
      </c>
      <c r="L160" s="20">
        <v>27</v>
      </c>
      <c r="M160" s="26" t="s">
        <v>44</v>
      </c>
      <c r="N160">
        <v>40</v>
      </c>
    </row>
    <row r="161" spans="1:14">
      <c r="A161" s="24" t="e">
        <f t="shared" si="17"/>
        <v>#REF!</v>
      </c>
      <c r="B161" s="66" t="s">
        <v>6</v>
      </c>
      <c r="C161" s="66" t="s">
        <v>102</v>
      </c>
      <c r="D161" s="66" t="s">
        <v>266</v>
      </c>
      <c r="E161" s="21">
        <f t="shared" ca="1" si="12"/>
        <v>40951</v>
      </c>
      <c r="F161" s="6">
        <f>DATE(53,12,24)</f>
        <v>19717</v>
      </c>
      <c r="G161" s="7">
        <f t="shared" ca="1" si="13"/>
        <v>59</v>
      </c>
      <c r="H161" s="7">
        <f t="shared" ca="1" si="14"/>
        <v>-10</v>
      </c>
      <c r="I161" s="8">
        <f t="shared" ca="1" si="15"/>
        <v>-12</v>
      </c>
      <c r="J161" s="9">
        <f t="shared" ca="1" si="16"/>
        <v>58</v>
      </c>
      <c r="K161" s="7" t="s">
        <v>41</v>
      </c>
      <c r="L161" s="10">
        <v>28</v>
      </c>
      <c r="M161" s="24" t="s">
        <v>40</v>
      </c>
      <c r="N161">
        <v>41</v>
      </c>
    </row>
    <row r="162" spans="1:14">
      <c r="A162" s="25" t="e">
        <f t="shared" si="17"/>
        <v>#REF!</v>
      </c>
      <c r="B162" s="67" t="s">
        <v>6</v>
      </c>
      <c r="C162" s="67" t="s">
        <v>160</v>
      </c>
      <c r="D162" s="67" t="s">
        <v>268</v>
      </c>
      <c r="E162" s="22">
        <f t="shared" ca="1" si="12"/>
        <v>40951</v>
      </c>
      <c r="F162" s="11">
        <f>DATE(81,5,23)</f>
        <v>29729</v>
      </c>
      <c r="G162" s="12">
        <f t="shared" ca="1" si="13"/>
        <v>31</v>
      </c>
      <c r="H162" s="12">
        <f t="shared" ca="1" si="14"/>
        <v>-3</v>
      </c>
      <c r="I162" s="13">
        <f t="shared" ca="1" si="15"/>
        <v>-11</v>
      </c>
      <c r="J162" s="14">
        <f t="shared" ca="1" si="16"/>
        <v>30</v>
      </c>
      <c r="K162" s="12" t="s">
        <v>41</v>
      </c>
      <c r="L162" s="15">
        <v>28</v>
      </c>
      <c r="M162" s="25" t="s">
        <v>40</v>
      </c>
      <c r="N162">
        <v>41</v>
      </c>
    </row>
    <row r="163" spans="1:14" ht="15.75" thickBot="1">
      <c r="A163" s="26" t="e">
        <f t="shared" si="17"/>
        <v>#REF!</v>
      </c>
      <c r="B163" s="68" t="s">
        <v>2</v>
      </c>
      <c r="C163" s="68" t="s">
        <v>304</v>
      </c>
      <c r="D163" s="68" t="s">
        <v>162</v>
      </c>
      <c r="E163" s="23">
        <f t="shared" ca="1" si="12"/>
        <v>40951</v>
      </c>
      <c r="F163" s="16">
        <f>DATE(62,7,23)</f>
        <v>22850</v>
      </c>
      <c r="G163" s="17">
        <f t="shared" ca="1" si="13"/>
        <v>50</v>
      </c>
      <c r="H163" s="17">
        <f t="shared" ca="1" si="14"/>
        <v>-5</v>
      </c>
      <c r="I163" s="18">
        <f t="shared" ca="1" si="15"/>
        <v>-11</v>
      </c>
      <c r="J163" s="19">
        <f t="shared" ca="1" si="16"/>
        <v>49</v>
      </c>
      <c r="K163" s="17" t="s">
        <v>41</v>
      </c>
      <c r="L163" s="20">
        <v>29</v>
      </c>
      <c r="M163" s="26" t="s">
        <v>40</v>
      </c>
      <c r="N163">
        <v>41</v>
      </c>
    </row>
    <row r="164" spans="1:14">
      <c r="A164" s="24" t="e">
        <f t="shared" si="17"/>
        <v>#REF!</v>
      </c>
      <c r="B164" s="66" t="s">
        <v>2</v>
      </c>
      <c r="C164" s="66" t="s">
        <v>231</v>
      </c>
      <c r="D164" s="66" t="s">
        <v>162</v>
      </c>
      <c r="E164" s="21">
        <f t="shared" ca="1" si="12"/>
        <v>40951</v>
      </c>
      <c r="F164" s="6">
        <f>DATE(86,8,24)</f>
        <v>31648</v>
      </c>
      <c r="G164" s="7">
        <f t="shared" ca="1" si="13"/>
        <v>26</v>
      </c>
      <c r="H164" s="7">
        <f t="shared" ca="1" si="14"/>
        <v>-6</v>
      </c>
      <c r="I164" s="8">
        <f t="shared" ca="1" si="15"/>
        <v>-12</v>
      </c>
      <c r="J164" s="9">
        <f t="shared" ca="1" si="16"/>
        <v>25</v>
      </c>
      <c r="K164" s="7" t="s">
        <v>41</v>
      </c>
      <c r="L164" s="10">
        <v>29</v>
      </c>
      <c r="M164" s="24" t="s">
        <v>44</v>
      </c>
      <c r="N164">
        <v>42</v>
      </c>
    </row>
    <row r="165" spans="1:14">
      <c r="A165" s="25" t="e">
        <f t="shared" si="17"/>
        <v>#REF!</v>
      </c>
      <c r="B165" s="67" t="s">
        <v>2</v>
      </c>
      <c r="C165" s="67" t="s">
        <v>118</v>
      </c>
      <c r="D165" s="67" t="s">
        <v>162</v>
      </c>
      <c r="E165" s="22">
        <f t="shared" ca="1" si="12"/>
        <v>40951</v>
      </c>
      <c r="F165" s="11">
        <f>DATE(65,7,15)</f>
        <v>23938</v>
      </c>
      <c r="G165" s="12">
        <f t="shared" ca="1" si="13"/>
        <v>47</v>
      </c>
      <c r="H165" s="12">
        <f t="shared" ca="1" si="14"/>
        <v>-5</v>
      </c>
      <c r="I165" s="13">
        <f t="shared" ca="1" si="15"/>
        <v>-3</v>
      </c>
      <c r="J165" s="14">
        <f t="shared" ca="1" si="16"/>
        <v>46</v>
      </c>
      <c r="K165" s="12" t="s">
        <v>41</v>
      </c>
      <c r="L165" s="15">
        <v>29</v>
      </c>
      <c r="M165" s="25" t="s">
        <v>40</v>
      </c>
      <c r="N165">
        <v>42</v>
      </c>
    </row>
    <row r="166" spans="1:14" ht="15.75" thickBot="1">
      <c r="A166" s="26" t="e">
        <f t="shared" si="17"/>
        <v>#REF!</v>
      </c>
      <c r="B166" s="68" t="s">
        <v>2</v>
      </c>
      <c r="C166" s="68" t="s">
        <v>218</v>
      </c>
      <c r="D166" s="68" t="s">
        <v>308</v>
      </c>
      <c r="E166" s="23">
        <f t="shared" ca="1" si="12"/>
        <v>40951</v>
      </c>
      <c r="F166" s="16">
        <f>DATE(55,12,15)</f>
        <v>20438</v>
      </c>
      <c r="G166" s="17">
        <f t="shared" ca="1" si="13"/>
        <v>57</v>
      </c>
      <c r="H166" s="17">
        <f t="shared" ca="1" si="14"/>
        <v>-10</v>
      </c>
      <c r="I166" s="18">
        <f t="shared" ca="1" si="15"/>
        <v>-3</v>
      </c>
      <c r="J166" s="19">
        <f t="shared" ca="1" si="16"/>
        <v>56</v>
      </c>
      <c r="K166" s="17" t="s">
        <v>41</v>
      </c>
      <c r="L166" s="20">
        <v>29</v>
      </c>
      <c r="M166" s="26" t="s">
        <v>40</v>
      </c>
      <c r="N166">
        <v>42</v>
      </c>
    </row>
    <row r="167" spans="1:14">
      <c r="A167" s="24" t="e">
        <f t="shared" si="17"/>
        <v>#REF!</v>
      </c>
      <c r="B167" s="66" t="s">
        <v>2</v>
      </c>
      <c r="C167" s="66" t="s">
        <v>311</v>
      </c>
      <c r="D167" s="66" t="s">
        <v>309</v>
      </c>
      <c r="E167" s="21">
        <f t="shared" ca="1" si="12"/>
        <v>40951</v>
      </c>
      <c r="F167" s="45"/>
      <c r="G167" s="7">
        <f t="shared" ca="1" si="13"/>
        <v>112</v>
      </c>
      <c r="H167" s="7">
        <f t="shared" ca="1" si="14"/>
        <v>1</v>
      </c>
      <c r="I167" s="8">
        <f t="shared" ca="1" si="15"/>
        <v>12</v>
      </c>
      <c r="J167" s="9">
        <f t="shared" ca="1" si="16"/>
        <v>112</v>
      </c>
      <c r="K167" s="7" t="s">
        <v>41</v>
      </c>
      <c r="L167" s="10">
        <v>30</v>
      </c>
      <c r="M167" s="24" t="s">
        <v>40</v>
      </c>
      <c r="N167">
        <v>43</v>
      </c>
    </row>
    <row r="168" spans="1:14">
      <c r="A168" s="25" t="e">
        <f t="shared" si="17"/>
        <v>#REF!</v>
      </c>
      <c r="B168" s="67" t="s">
        <v>2</v>
      </c>
      <c r="C168" s="67" t="s">
        <v>313</v>
      </c>
      <c r="D168" s="67" t="s">
        <v>312</v>
      </c>
      <c r="E168" s="22">
        <f t="shared" ca="1" si="12"/>
        <v>40951</v>
      </c>
      <c r="F168" s="11">
        <f>DATE(77,12,25)</f>
        <v>28484</v>
      </c>
      <c r="G168" s="12">
        <f t="shared" ca="1" si="13"/>
        <v>35</v>
      </c>
      <c r="H168" s="12">
        <f t="shared" ca="1" si="14"/>
        <v>-10</v>
      </c>
      <c r="I168" s="13">
        <f t="shared" ca="1" si="15"/>
        <v>-13</v>
      </c>
      <c r="J168" s="14">
        <f t="shared" ca="1" si="16"/>
        <v>34</v>
      </c>
      <c r="K168" s="12" t="s">
        <v>41</v>
      </c>
      <c r="L168" s="15">
        <v>30</v>
      </c>
      <c r="M168" s="25" t="s">
        <v>40</v>
      </c>
      <c r="N168">
        <v>43</v>
      </c>
    </row>
    <row r="169" spans="1:14" ht="15.75" thickBot="1">
      <c r="A169" s="26" t="e">
        <f t="shared" si="17"/>
        <v>#REF!</v>
      </c>
      <c r="B169" s="68" t="s">
        <v>2</v>
      </c>
      <c r="C169" s="68" t="s">
        <v>314</v>
      </c>
      <c r="D169" s="68" t="s">
        <v>312</v>
      </c>
      <c r="E169" s="23">
        <f t="shared" ca="1" si="12"/>
        <v>40951</v>
      </c>
      <c r="F169" s="16">
        <f>DATE(2002,7,31)</f>
        <v>37468</v>
      </c>
      <c r="G169" s="17">
        <f t="shared" ca="1" si="13"/>
        <v>10</v>
      </c>
      <c r="H169" s="17">
        <f t="shared" ca="1" si="14"/>
        <v>-5</v>
      </c>
      <c r="I169" s="18">
        <f t="shared" ca="1" si="15"/>
        <v>-19</v>
      </c>
      <c r="J169" s="19">
        <f t="shared" ca="1" si="16"/>
        <v>9</v>
      </c>
      <c r="K169" s="17" t="s">
        <v>41</v>
      </c>
      <c r="L169" s="20">
        <v>30</v>
      </c>
      <c r="M169" s="26" t="s">
        <v>44</v>
      </c>
      <c r="N169">
        <v>43</v>
      </c>
    </row>
    <row r="170" spans="1:14">
      <c r="A170" s="24" t="e">
        <f t="shared" si="17"/>
        <v>#REF!</v>
      </c>
      <c r="B170" s="66" t="s">
        <v>2</v>
      </c>
      <c r="C170" s="66" t="s">
        <v>317</v>
      </c>
      <c r="D170" s="66" t="s">
        <v>315</v>
      </c>
      <c r="E170" s="21">
        <f t="shared" ca="1" si="12"/>
        <v>40951</v>
      </c>
      <c r="F170" s="6">
        <f>DATE(57,7,31)</f>
        <v>21032</v>
      </c>
      <c r="G170" s="7">
        <f t="shared" ca="1" si="13"/>
        <v>55</v>
      </c>
      <c r="H170" s="7">
        <f t="shared" ca="1" si="14"/>
        <v>-5</v>
      </c>
      <c r="I170" s="8">
        <f t="shared" ca="1" si="15"/>
        <v>-19</v>
      </c>
      <c r="J170" s="9">
        <f t="shared" ca="1" si="16"/>
        <v>54</v>
      </c>
      <c r="K170" s="7" t="s">
        <v>41</v>
      </c>
      <c r="L170" s="10">
        <v>30</v>
      </c>
      <c r="M170" s="24" t="s">
        <v>40</v>
      </c>
      <c r="N170">
        <v>44</v>
      </c>
    </row>
    <row r="171" spans="1:14">
      <c r="A171" s="25" t="e">
        <f t="shared" si="17"/>
        <v>#REF!</v>
      </c>
      <c r="B171" s="67" t="s">
        <v>2</v>
      </c>
      <c r="C171" s="67" t="s">
        <v>318</v>
      </c>
      <c r="D171" s="67" t="s">
        <v>316</v>
      </c>
      <c r="E171" s="22">
        <f t="shared" ca="1" si="12"/>
        <v>40951</v>
      </c>
      <c r="F171" s="11">
        <f>DATE(40,11,16)</f>
        <v>14931</v>
      </c>
      <c r="G171" s="12">
        <f t="shared" ca="1" si="13"/>
        <v>72</v>
      </c>
      <c r="H171" s="12">
        <f t="shared" ca="1" si="14"/>
        <v>-9</v>
      </c>
      <c r="I171" s="13">
        <f t="shared" ca="1" si="15"/>
        <v>-4</v>
      </c>
      <c r="J171" s="14">
        <f t="shared" ca="1" si="16"/>
        <v>71</v>
      </c>
      <c r="K171" s="12" t="s">
        <v>41</v>
      </c>
      <c r="L171" s="15">
        <v>30</v>
      </c>
      <c r="M171" s="25" t="s">
        <v>40</v>
      </c>
      <c r="N171">
        <v>44</v>
      </c>
    </row>
    <row r="172" spans="1:14">
      <c r="A172" s="25" t="e">
        <f t="shared" si="17"/>
        <v>#REF!</v>
      </c>
      <c r="B172" s="67" t="s">
        <v>2</v>
      </c>
      <c r="C172" s="67" t="s">
        <v>319</v>
      </c>
      <c r="D172" s="67" t="s">
        <v>316</v>
      </c>
      <c r="E172" s="22">
        <f t="shared" ca="1" si="12"/>
        <v>40951</v>
      </c>
      <c r="F172" s="11">
        <f>DATE(66,1,22)</f>
        <v>24129</v>
      </c>
      <c r="G172" s="12">
        <f t="shared" ca="1" si="13"/>
        <v>46</v>
      </c>
      <c r="H172" s="12">
        <f t="shared" ca="1" si="14"/>
        <v>1</v>
      </c>
      <c r="I172" s="13">
        <f t="shared" ca="1" si="15"/>
        <v>-10</v>
      </c>
      <c r="J172" s="14">
        <f t="shared" ca="1" si="16"/>
        <v>46</v>
      </c>
      <c r="K172" s="12" t="s">
        <v>41</v>
      </c>
      <c r="L172" s="15">
        <v>30</v>
      </c>
      <c r="M172" s="25" t="s">
        <v>44</v>
      </c>
      <c r="N172">
        <v>44</v>
      </c>
    </row>
    <row r="173" spans="1:14">
      <c r="A173" s="25" t="e">
        <f t="shared" si="17"/>
        <v>#REF!</v>
      </c>
      <c r="B173" s="67" t="s">
        <v>2</v>
      </c>
      <c r="C173" s="67" t="s">
        <v>321</v>
      </c>
      <c r="D173" s="67" t="s">
        <v>322</v>
      </c>
      <c r="E173" s="22">
        <f t="shared" ca="1" si="12"/>
        <v>40951</v>
      </c>
      <c r="F173" s="11">
        <f>DATE(53,4,2)</f>
        <v>19451</v>
      </c>
      <c r="G173" s="12">
        <f t="shared" ca="1" si="13"/>
        <v>59</v>
      </c>
      <c r="H173" s="12">
        <f t="shared" ca="1" si="14"/>
        <v>-2</v>
      </c>
      <c r="I173" s="13">
        <f t="shared" ca="1" si="15"/>
        <v>10</v>
      </c>
      <c r="J173" s="14">
        <f t="shared" ca="1" si="16"/>
        <v>58</v>
      </c>
      <c r="K173" s="12" t="s">
        <v>41</v>
      </c>
      <c r="L173" s="15">
        <v>30</v>
      </c>
      <c r="M173" s="25" t="s">
        <v>40</v>
      </c>
      <c r="N173">
        <v>44</v>
      </c>
    </row>
    <row r="174" spans="1:14">
      <c r="A174" s="25" t="e">
        <f t="shared" si="17"/>
        <v>#REF!</v>
      </c>
      <c r="B174" s="67" t="s">
        <v>2</v>
      </c>
      <c r="C174" s="67" t="s">
        <v>323</v>
      </c>
      <c r="D174" s="67" t="s">
        <v>322</v>
      </c>
      <c r="E174" s="22">
        <f t="shared" ca="1" si="12"/>
        <v>40951</v>
      </c>
      <c r="F174" s="11">
        <f>DATE(75,8,21)</f>
        <v>27627</v>
      </c>
      <c r="G174" s="12">
        <f t="shared" ca="1" si="13"/>
        <v>37</v>
      </c>
      <c r="H174" s="12">
        <f t="shared" ca="1" si="14"/>
        <v>-6</v>
      </c>
      <c r="I174" s="13">
        <f t="shared" ca="1" si="15"/>
        <v>-9</v>
      </c>
      <c r="J174" s="14">
        <f t="shared" ca="1" si="16"/>
        <v>36</v>
      </c>
      <c r="K174" s="12" t="s">
        <v>41</v>
      </c>
      <c r="L174" s="15">
        <v>30</v>
      </c>
      <c r="M174" s="25" t="s">
        <v>40</v>
      </c>
      <c r="N174">
        <v>44</v>
      </c>
    </row>
    <row r="175" spans="1:14" ht="15.75" thickBot="1">
      <c r="A175" s="26" t="e">
        <f t="shared" si="17"/>
        <v>#REF!</v>
      </c>
      <c r="B175" s="68" t="s">
        <v>2</v>
      </c>
      <c r="C175" s="68" t="s">
        <v>324</v>
      </c>
      <c r="D175" s="68" t="s">
        <v>323</v>
      </c>
      <c r="E175" s="23">
        <f t="shared" ca="1" si="12"/>
        <v>40951</v>
      </c>
      <c r="F175" s="33"/>
      <c r="G175" s="17">
        <f t="shared" ca="1" si="13"/>
        <v>112</v>
      </c>
      <c r="H175" s="17">
        <f t="shared" ca="1" si="14"/>
        <v>1</v>
      </c>
      <c r="I175" s="18">
        <f t="shared" ca="1" si="15"/>
        <v>12</v>
      </c>
      <c r="J175" s="19">
        <f t="shared" ca="1" si="16"/>
        <v>112</v>
      </c>
      <c r="K175" s="17" t="s">
        <v>41</v>
      </c>
      <c r="L175" s="20">
        <v>30</v>
      </c>
      <c r="M175" s="26" t="s">
        <v>40</v>
      </c>
      <c r="N175">
        <v>44</v>
      </c>
    </row>
    <row r="176" spans="1:14">
      <c r="A176" s="24" t="e">
        <f t="shared" si="17"/>
        <v>#REF!</v>
      </c>
      <c r="B176" s="66" t="s">
        <v>2</v>
      </c>
      <c r="C176" s="66" t="s">
        <v>327</v>
      </c>
      <c r="D176" s="66" t="s">
        <v>326</v>
      </c>
      <c r="E176" s="21">
        <f t="shared" ca="1" si="12"/>
        <v>40951</v>
      </c>
      <c r="F176" s="6">
        <f>DATE(66,5,26)</f>
        <v>24253</v>
      </c>
      <c r="G176" s="7">
        <f t="shared" ca="1" si="13"/>
        <v>46</v>
      </c>
      <c r="H176" s="7">
        <f t="shared" ca="1" si="14"/>
        <v>-3</v>
      </c>
      <c r="I176" s="8">
        <f t="shared" ca="1" si="15"/>
        <v>-14</v>
      </c>
      <c r="J176" s="9">
        <f t="shared" ca="1" si="16"/>
        <v>45</v>
      </c>
      <c r="K176" s="7" t="s">
        <v>41</v>
      </c>
      <c r="L176" s="10">
        <v>31</v>
      </c>
      <c r="M176" s="24" t="s">
        <v>40</v>
      </c>
      <c r="N176">
        <v>45</v>
      </c>
    </row>
    <row r="177" spans="1:14">
      <c r="A177" s="25" t="e">
        <f t="shared" si="17"/>
        <v>#REF!</v>
      </c>
      <c r="B177" s="67" t="s">
        <v>2</v>
      </c>
      <c r="C177" s="67" t="s">
        <v>328</v>
      </c>
      <c r="D177" s="67" t="s">
        <v>326</v>
      </c>
      <c r="E177" s="22">
        <f t="shared" ca="1" si="12"/>
        <v>40951</v>
      </c>
      <c r="F177" s="11">
        <f>DATE(86,3,6)</f>
        <v>31477</v>
      </c>
      <c r="G177" s="12">
        <f t="shared" ca="1" si="13"/>
        <v>26</v>
      </c>
      <c r="H177" s="12">
        <f t="shared" ca="1" si="14"/>
        <v>-1</v>
      </c>
      <c r="I177" s="13">
        <f t="shared" ca="1" si="15"/>
        <v>6</v>
      </c>
      <c r="J177" s="14">
        <f t="shared" ca="1" si="16"/>
        <v>25</v>
      </c>
      <c r="K177" s="12" t="s">
        <v>41</v>
      </c>
      <c r="L177" s="15">
        <v>31</v>
      </c>
      <c r="M177" s="25" t="s">
        <v>40</v>
      </c>
      <c r="N177">
        <v>45</v>
      </c>
    </row>
    <row r="178" spans="1:14">
      <c r="A178" s="25" t="e">
        <f t="shared" si="17"/>
        <v>#REF!</v>
      </c>
      <c r="B178" s="67" t="s">
        <v>2</v>
      </c>
      <c r="C178" s="67" t="s">
        <v>194</v>
      </c>
      <c r="D178" s="67" t="s">
        <v>331</v>
      </c>
      <c r="E178" s="22">
        <f t="shared" ca="1" si="12"/>
        <v>40951</v>
      </c>
      <c r="F178" s="11">
        <f>DATE(57,8,18)</f>
        <v>21050</v>
      </c>
      <c r="G178" s="12">
        <f t="shared" ca="1" si="13"/>
        <v>55</v>
      </c>
      <c r="H178" s="12">
        <f t="shared" ca="1" si="14"/>
        <v>-6</v>
      </c>
      <c r="I178" s="13">
        <f t="shared" ca="1" si="15"/>
        <v>-6</v>
      </c>
      <c r="J178" s="14">
        <f t="shared" ca="1" si="16"/>
        <v>54</v>
      </c>
      <c r="K178" s="12" t="s">
        <v>41</v>
      </c>
      <c r="L178" s="15">
        <v>31</v>
      </c>
      <c r="M178" s="25" t="s">
        <v>40</v>
      </c>
      <c r="N178">
        <v>45</v>
      </c>
    </row>
    <row r="179" spans="1:14">
      <c r="A179" s="25" t="e">
        <f t="shared" si="17"/>
        <v>#REF!</v>
      </c>
      <c r="B179" s="67" t="s">
        <v>2</v>
      </c>
      <c r="C179" s="67" t="s">
        <v>334</v>
      </c>
      <c r="D179" s="67" t="s">
        <v>332</v>
      </c>
      <c r="E179" s="22">
        <f t="shared" ca="1" si="12"/>
        <v>40951</v>
      </c>
      <c r="F179" s="11">
        <f>DATE(69,5,16)</f>
        <v>25339</v>
      </c>
      <c r="G179" s="12">
        <f t="shared" ca="1" si="13"/>
        <v>43</v>
      </c>
      <c r="H179" s="12">
        <f t="shared" ca="1" si="14"/>
        <v>-3</v>
      </c>
      <c r="I179" s="13">
        <f t="shared" ca="1" si="15"/>
        <v>-4</v>
      </c>
      <c r="J179" s="14">
        <f t="shared" ca="1" si="16"/>
        <v>42</v>
      </c>
      <c r="K179" s="12" t="s">
        <v>41</v>
      </c>
      <c r="L179" s="15">
        <v>31</v>
      </c>
      <c r="M179" s="25" t="s">
        <v>40</v>
      </c>
      <c r="N179">
        <v>45</v>
      </c>
    </row>
    <row r="180" spans="1:14">
      <c r="A180" s="25" t="e">
        <f t="shared" si="17"/>
        <v>#REF!</v>
      </c>
      <c r="B180" s="67" t="s">
        <v>2</v>
      </c>
      <c r="C180" s="67" t="s">
        <v>335</v>
      </c>
      <c r="D180" s="67" t="s">
        <v>332</v>
      </c>
      <c r="E180" s="22">
        <f t="shared" ca="1" si="12"/>
        <v>40951</v>
      </c>
      <c r="F180" s="11">
        <f>DATE(91,6,18)</f>
        <v>33407</v>
      </c>
      <c r="G180" s="12">
        <f t="shared" ca="1" si="13"/>
        <v>21</v>
      </c>
      <c r="H180" s="12">
        <f t="shared" ca="1" si="14"/>
        <v>-4</v>
      </c>
      <c r="I180" s="13">
        <f t="shared" ca="1" si="15"/>
        <v>-6</v>
      </c>
      <c r="J180" s="14">
        <f t="shared" ca="1" si="16"/>
        <v>20</v>
      </c>
      <c r="K180" s="12" t="s">
        <v>41</v>
      </c>
      <c r="L180" s="15">
        <v>31</v>
      </c>
      <c r="M180" s="25" t="s">
        <v>40</v>
      </c>
      <c r="N180">
        <v>45</v>
      </c>
    </row>
    <row r="181" spans="1:14">
      <c r="A181" s="25" t="e">
        <f t="shared" si="17"/>
        <v>#REF!</v>
      </c>
      <c r="B181" s="67" t="s">
        <v>2</v>
      </c>
      <c r="C181" s="67" t="s">
        <v>212</v>
      </c>
      <c r="D181" s="67" t="s">
        <v>337</v>
      </c>
      <c r="E181" s="22">
        <f t="shared" ca="1" si="12"/>
        <v>40951</v>
      </c>
      <c r="F181" s="11">
        <f>DATE(72,8,18)</f>
        <v>26529</v>
      </c>
      <c r="G181" s="12">
        <f t="shared" ca="1" si="13"/>
        <v>40</v>
      </c>
      <c r="H181" s="12">
        <f t="shared" ca="1" si="14"/>
        <v>-6</v>
      </c>
      <c r="I181" s="13">
        <f t="shared" ca="1" si="15"/>
        <v>-6</v>
      </c>
      <c r="J181" s="14">
        <f t="shared" ca="1" si="16"/>
        <v>39</v>
      </c>
      <c r="K181" s="12" t="s">
        <v>41</v>
      </c>
      <c r="L181" s="15">
        <v>32</v>
      </c>
      <c r="M181" s="25" t="s">
        <v>40</v>
      </c>
      <c r="N181">
        <v>45</v>
      </c>
    </row>
    <row r="182" spans="1:14">
      <c r="A182" s="25" t="e">
        <f t="shared" si="17"/>
        <v>#REF!</v>
      </c>
      <c r="B182" s="67" t="s">
        <v>2</v>
      </c>
      <c r="C182" s="67" t="s">
        <v>340</v>
      </c>
      <c r="D182" s="67" t="s">
        <v>337</v>
      </c>
      <c r="E182" s="22">
        <f t="shared" ca="1" si="12"/>
        <v>40951</v>
      </c>
      <c r="F182" s="11">
        <f>DATE(97,9,18)</f>
        <v>35691</v>
      </c>
      <c r="G182" s="12">
        <f t="shared" ca="1" si="13"/>
        <v>15</v>
      </c>
      <c r="H182" s="12">
        <f t="shared" ca="1" si="14"/>
        <v>-7</v>
      </c>
      <c r="I182" s="13">
        <f t="shared" ca="1" si="15"/>
        <v>-6</v>
      </c>
      <c r="J182" s="14">
        <f t="shared" ca="1" si="16"/>
        <v>14</v>
      </c>
      <c r="K182" s="12" t="s">
        <v>41</v>
      </c>
      <c r="L182" s="15">
        <v>32</v>
      </c>
      <c r="M182" s="25" t="s">
        <v>44</v>
      </c>
      <c r="N182">
        <v>45</v>
      </c>
    </row>
    <row r="183" spans="1:14">
      <c r="A183" s="25" t="e">
        <f t="shared" si="17"/>
        <v>#REF!</v>
      </c>
      <c r="B183" s="67" t="s">
        <v>2</v>
      </c>
      <c r="C183" s="67" t="s">
        <v>342</v>
      </c>
      <c r="D183" s="67" t="s">
        <v>341</v>
      </c>
      <c r="E183" s="22">
        <f t="shared" ca="1" si="12"/>
        <v>40951</v>
      </c>
      <c r="F183" s="11">
        <f>DATE(61,6,24)</f>
        <v>22456</v>
      </c>
      <c r="G183" s="12">
        <f t="shared" ca="1" si="13"/>
        <v>51</v>
      </c>
      <c r="H183" s="12">
        <f t="shared" ca="1" si="14"/>
        <v>-4</v>
      </c>
      <c r="I183" s="13">
        <f t="shared" ca="1" si="15"/>
        <v>-12</v>
      </c>
      <c r="J183" s="14">
        <f t="shared" ca="1" si="16"/>
        <v>50</v>
      </c>
      <c r="K183" s="12" t="s">
        <v>41</v>
      </c>
      <c r="L183" s="15">
        <v>32</v>
      </c>
      <c r="M183" s="25" t="s">
        <v>40</v>
      </c>
      <c r="N183">
        <v>45</v>
      </c>
    </row>
    <row r="184" spans="1:14">
      <c r="A184" s="25" t="e">
        <f t="shared" si="17"/>
        <v>#REF!</v>
      </c>
      <c r="B184" s="67" t="s">
        <v>2</v>
      </c>
      <c r="C184" s="67" t="s">
        <v>343</v>
      </c>
      <c r="D184" s="67" t="s">
        <v>341</v>
      </c>
      <c r="E184" s="22">
        <f t="shared" ca="1" si="12"/>
        <v>40951</v>
      </c>
      <c r="F184" s="32"/>
      <c r="G184" s="12">
        <f t="shared" ca="1" si="13"/>
        <v>112</v>
      </c>
      <c r="H184" s="12">
        <f t="shared" ca="1" si="14"/>
        <v>1</v>
      </c>
      <c r="I184" s="13">
        <f t="shared" ca="1" si="15"/>
        <v>12</v>
      </c>
      <c r="J184" s="14">
        <f t="shared" ca="1" si="16"/>
        <v>112</v>
      </c>
      <c r="K184" s="12" t="s">
        <v>41</v>
      </c>
      <c r="L184" s="15">
        <v>32</v>
      </c>
      <c r="M184" s="25" t="s">
        <v>40</v>
      </c>
      <c r="N184">
        <v>45</v>
      </c>
    </row>
    <row r="185" spans="1:14">
      <c r="A185" s="25" t="e">
        <f t="shared" si="17"/>
        <v>#REF!</v>
      </c>
      <c r="B185" s="67" t="s">
        <v>2</v>
      </c>
      <c r="C185" s="67" t="s">
        <v>280</v>
      </c>
      <c r="D185" s="67" t="s">
        <v>341</v>
      </c>
      <c r="E185" s="22">
        <f t="shared" ca="1" si="12"/>
        <v>40951</v>
      </c>
      <c r="F185" s="11">
        <f>DATE(85,4,30)</f>
        <v>31167</v>
      </c>
      <c r="G185" s="12">
        <f t="shared" ca="1" si="13"/>
        <v>27</v>
      </c>
      <c r="H185" s="12">
        <f t="shared" ca="1" si="14"/>
        <v>-2</v>
      </c>
      <c r="I185" s="13">
        <f t="shared" ca="1" si="15"/>
        <v>-18</v>
      </c>
      <c r="J185" s="14">
        <f t="shared" ca="1" si="16"/>
        <v>26</v>
      </c>
      <c r="K185" s="12" t="s">
        <v>41</v>
      </c>
      <c r="L185" s="15">
        <v>32</v>
      </c>
      <c r="M185" s="25" t="s">
        <v>44</v>
      </c>
      <c r="N185">
        <v>45</v>
      </c>
    </row>
    <row r="186" spans="1:14">
      <c r="A186" s="25" t="e">
        <f t="shared" si="17"/>
        <v>#REF!</v>
      </c>
      <c r="B186" s="67" t="s">
        <v>2</v>
      </c>
      <c r="C186" s="67" t="s">
        <v>344</v>
      </c>
      <c r="D186" s="67" t="s">
        <v>341</v>
      </c>
      <c r="E186" s="22">
        <f t="shared" ca="1" si="12"/>
        <v>40951</v>
      </c>
      <c r="F186" s="11">
        <f>DATE(86,10,28)</f>
        <v>31713</v>
      </c>
      <c r="G186" s="12">
        <f t="shared" ca="1" si="13"/>
        <v>26</v>
      </c>
      <c r="H186" s="12">
        <f t="shared" ca="1" si="14"/>
        <v>-8</v>
      </c>
      <c r="I186" s="13">
        <f t="shared" ca="1" si="15"/>
        <v>-16</v>
      </c>
      <c r="J186" s="14">
        <f t="shared" ca="1" si="16"/>
        <v>25</v>
      </c>
      <c r="K186" s="12" t="s">
        <v>41</v>
      </c>
      <c r="L186" s="15">
        <v>32</v>
      </c>
      <c r="M186" s="25" t="s">
        <v>44</v>
      </c>
      <c r="N186">
        <v>45</v>
      </c>
    </row>
    <row r="187" spans="1:14">
      <c r="A187" s="25" t="e">
        <f t="shared" si="17"/>
        <v>#REF!</v>
      </c>
      <c r="B187" s="67" t="s">
        <v>2</v>
      </c>
      <c r="C187" s="67" t="s">
        <v>107</v>
      </c>
      <c r="D187" s="67" t="s">
        <v>341</v>
      </c>
      <c r="E187" s="22">
        <f t="shared" ca="1" si="12"/>
        <v>40951</v>
      </c>
      <c r="F187" s="11">
        <f>DATE(97,12,25)</f>
        <v>35789</v>
      </c>
      <c r="G187" s="12">
        <f t="shared" ca="1" si="13"/>
        <v>15</v>
      </c>
      <c r="H187" s="12">
        <f t="shared" ca="1" si="14"/>
        <v>-10</v>
      </c>
      <c r="I187" s="13">
        <f t="shared" ca="1" si="15"/>
        <v>-13</v>
      </c>
      <c r="J187" s="14">
        <f t="shared" ca="1" si="16"/>
        <v>14</v>
      </c>
      <c r="K187" s="12" t="s">
        <v>41</v>
      </c>
      <c r="L187" s="15">
        <v>32</v>
      </c>
      <c r="M187" s="25" t="s">
        <v>44</v>
      </c>
      <c r="N187">
        <v>45</v>
      </c>
    </row>
    <row r="188" spans="1:14">
      <c r="A188" s="25" t="e">
        <f t="shared" si="17"/>
        <v>#REF!</v>
      </c>
      <c r="B188" s="67" t="s">
        <v>2</v>
      </c>
      <c r="C188" s="67" t="s">
        <v>345</v>
      </c>
      <c r="D188" s="67" t="s">
        <v>208</v>
      </c>
      <c r="E188" s="22">
        <f t="shared" ca="1" si="12"/>
        <v>40951</v>
      </c>
      <c r="F188" s="11">
        <f>DATE(56,1,26)</f>
        <v>20480</v>
      </c>
      <c r="G188" s="12">
        <f t="shared" ca="1" si="13"/>
        <v>56</v>
      </c>
      <c r="H188" s="12">
        <f t="shared" ca="1" si="14"/>
        <v>1</v>
      </c>
      <c r="I188" s="13">
        <f t="shared" ca="1" si="15"/>
        <v>-14</v>
      </c>
      <c r="J188" s="14">
        <f t="shared" ca="1" si="16"/>
        <v>56</v>
      </c>
      <c r="K188" s="12" t="s">
        <v>41</v>
      </c>
      <c r="L188" s="15">
        <v>33</v>
      </c>
      <c r="M188" s="25" t="s">
        <v>40</v>
      </c>
      <c r="N188">
        <v>45</v>
      </c>
    </row>
    <row r="189" spans="1:14" ht="15.75" thickBot="1">
      <c r="A189" s="26" t="e">
        <f t="shared" si="17"/>
        <v>#REF!</v>
      </c>
      <c r="B189" s="68" t="s">
        <v>2</v>
      </c>
      <c r="C189" s="68" t="s">
        <v>347</v>
      </c>
      <c r="D189" s="68" t="s">
        <v>208</v>
      </c>
      <c r="E189" s="23">
        <f t="shared" ca="1" si="12"/>
        <v>40951</v>
      </c>
      <c r="F189" s="16">
        <f>DATE(88,12,5)</f>
        <v>32482</v>
      </c>
      <c r="G189" s="17">
        <f t="shared" ca="1" si="13"/>
        <v>24</v>
      </c>
      <c r="H189" s="17">
        <f t="shared" ca="1" si="14"/>
        <v>-10</v>
      </c>
      <c r="I189" s="18">
        <f t="shared" ca="1" si="15"/>
        <v>7</v>
      </c>
      <c r="J189" s="19">
        <f t="shared" ca="1" si="16"/>
        <v>23</v>
      </c>
      <c r="K189" s="17" t="s">
        <v>41</v>
      </c>
      <c r="L189" s="20">
        <v>33</v>
      </c>
      <c r="M189" s="26" t="s">
        <v>44</v>
      </c>
      <c r="N189">
        <v>45</v>
      </c>
    </row>
    <row r="190" spans="1:14">
      <c r="A190" s="24" t="e">
        <f t="shared" si="17"/>
        <v>#REF!</v>
      </c>
      <c r="B190" s="66" t="s">
        <v>2</v>
      </c>
      <c r="C190" s="66" t="s">
        <v>350</v>
      </c>
      <c r="D190" s="66" t="s">
        <v>348</v>
      </c>
      <c r="E190" s="21">
        <f t="shared" ca="1" si="12"/>
        <v>40951</v>
      </c>
      <c r="F190" s="6">
        <f>DATE(74,11,12)</f>
        <v>27345</v>
      </c>
      <c r="G190" s="7">
        <f t="shared" ca="1" si="13"/>
        <v>38</v>
      </c>
      <c r="H190" s="7">
        <f t="shared" ca="1" si="14"/>
        <v>-9</v>
      </c>
      <c r="I190" s="8">
        <f t="shared" ca="1" si="15"/>
        <v>0</v>
      </c>
      <c r="J190" s="9">
        <f t="shared" ca="1" si="16"/>
        <v>37</v>
      </c>
      <c r="K190" s="7" t="s">
        <v>41</v>
      </c>
      <c r="L190" s="10">
        <v>33</v>
      </c>
      <c r="M190" s="24" t="s">
        <v>40</v>
      </c>
      <c r="N190">
        <v>46</v>
      </c>
    </row>
    <row r="191" spans="1:14">
      <c r="A191" s="25" t="e">
        <f t="shared" si="17"/>
        <v>#REF!</v>
      </c>
      <c r="B191" s="67" t="s">
        <v>2</v>
      </c>
      <c r="C191" s="67" t="s">
        <v>351</v>
      </c>
      <c r="D191" s="67" t="s">
        <v>348</v>
      </c>
      <c r="E191" s="22">
        <f t="shared" ca="1" si="12"/>
        <v>40951</v>
      </c>
      <c r="F191" s="11">
        <f>DATE(98,10,24)</f>
        <v>36092</v>
      </c>
      <c r="G191" s="12">
        <f t="shared" ca="1" si="13"/>
        <v>14</v>
      </c>
      <c r="H191" s="12">
        <f t="shared" ca="1" si="14"/>
        <v>-8</v>
      </c>
      <c r="I191" s="13">
        <f t="shared" ca="1" si="15"/>
        <v>-12</v>
      </c>
      <c r="J191" s="14">
        <f t="shared" ca="1" si="16"/>
        <v>13</v>
      </c>
      <c r="K191" s="12" t="s">
        <v>41</v>
      </c>
      <c r="L191" s="15">
        <v>33</v>
      </c>
      <c r="M191" s="25" t="s">
        <v>44</v>
      </c>
      <c r="N191">
        <v>46</v>
      </c>
    </row>
    <row r="192" spans="1:14">
      <c r="A192" s="25" t="e">
        <f t="shared" si="17"/>
        <v>#REF!</v>
      </c>
      <c r="B192" s="67" t="s">
        <v>2</v>
      </c>
      <c r="C192" s="67" t="s">
        <v>354</v>
      </c>
      <c r="D192" s="67" t="s">
        <v>353</v>
      </c>
      <c r="E192" s="22">
        <f t="shared" ca="1" si="12"/>
        <v>40951</v>
      </c>
      <c r="F192" s="11">
        <f>DATE(92,10,30)</f>
        <v>33907</v>
      </c>
      <c r="G192" s="12">
        <f t="shared" ca="1" si="13"/>
        <v>20</v>
      </c>
      <c r="H192" s="12">
        <f t="shared" ca="1" si="14"/>
        <v>-8</v>
      </c>
      <c r="I192" s="13">
        <f t="shared" ca="1" si="15"/>
        <v>-18</v>
      </c>
      <c r="J192" s="14">
        <f t="shared" ca="1" si="16"/>
        <v>19</v>
      </c>
      <c r="K192" s="12" t="s">
        <v>41</v>
      </c>
      <c r="L192" s="15">
        <v>34</v>
      </c>
      <c r="M192" s="25" t="s">
        <v>40</v>
      </c>
      <c r="N192">
        <v>46</v>
      </c>
    </row>
    <row r="193" spans="1:14" ht="15.75" thickBot="1">
      <c r="A193" s="26" t="e">
        <f t="shared" si="17"/>
        <v>#REF!</v>
      </c>
      <c r="B193" s="68" t="s">
        <v>2</v>
      </c>
      <c r="C193" s="68" t="s">
        <v>359</v>
      </c>
      <c r="D193" s="68" t="s">
        <v>360</v>
      </c>
      <c r="E193" s="23">
        <f t="shared" ref="E193:E256" ca="1" si="18">TODAY()</f>
        <v>40951</v>
      </c>
      <c r="F193" s="16">
        <f>DATE(61,11,26)</f>
        <v>22611</v>
      </c>
      <c r="G193" s="17">
        <f t="shared" ref="G193:G256" ca="1" si="19">YEAR(E193)-YEAR(F193)</f>
        <v>51</v>
      </c>
      <c r="H193" s="17">
        <f t="shared" ref="H193:H256" ca="1" si="20">MONTH(E193)-MONTH(F193)</f>
        <v>-9</v>
      </c>
      <c r="I193" s="18">
        <f t="shared" ref="I193:I256" ca="1" si="21">DAY(E193)-DAY(F193)</f>
        <v>-14</v>
      </c>
      <c r="J193" s="19">
        <f t="shared" ref="J193:J256" ca="1" si="22">IF(H193&lt;0,G193-1,IF(H193&gt;0,G193,IF(I193&lt;0,G193-1,G193)))</f>
        <v>50</v>
      </c>
      <c r="K193" s="17" t="s">
        <v>41</v>
      </c>
      <c r="L193" s="20">
        <v>34</v>
      </c>
      <c r="M193" s="26" t="s">
        <v>40</v>
      </c>
      <c r="N193">
        <v>46</v>
      </c>
    </row>
    <row r="194" spans="1:14">
      <c r="A194" s="24" t="e">
        <f t="shared" ref="A194:A257" si="23">A193+1</f>
        <v>#REF!</v>
      </c>
      <c r="B194" s="66" t="s">
        <v>2</v>
      </c>
      <c r="C194" s="66" t="s">
        <v>361</v>
      </c>
      <c r="D194" s="66" t="s">
        <v>360</v>
      </c>
      <c r="E194" s="21">
        <f t="shared" ca="1" si="18"/>
        <v>40951</v>
      </c>
      <c r="F194" s="6">
        <f>DATE(87,12,8)</f>
        <v>32119</v>
      </c>
      <c r="G194" s="7">
        <f t="shared" ca="1" si="19"/>
        <v>25</v>
      </c>
      <c r="H194" s="7">
        <f t="shared" ca="1" si="20"/>
        <v>-10</v>
      </c>
      <c r="I194" s="8">
        <f t="shared" ca="1" si="21"/>
        <v>4</v>
      </c>
      <c r="J194" s="9">
        <f t="shared" ca="1" si="22"/>
        <v>24</v>
      </c>
      <c r="K194" s="7" t="s">
        <v>41</v>
      </c>
      <c r="L194" s="10">
        <v>34</v>
      </c>
      <c r="M194" s="24" t="s">
        <v>44</v>
      </c>
      <c r="N194">
        <v>47</v>
      </c>
    </row>
    <row r="195" spans="1:14">
      <c r="A195" s="25" t="e">
        <f t="shared" si="23"/>
        <v>#REF!</v>
      </c>
      <c r="B195" s="67" t="s">
        <v>2</v>
      </c>
      <c r="C195" s="67" t="s">
        <v>364</v>
      </c>
      <c r="D195" s="67" t="s">
        <v>112</v>
      </c>
      <c r="E195" s="22">
        <f t="shared" ca="1" si="18"/>
        <v>40951</v>
      </c>
      <c r="F195" s="11">
        <f>DATE(69,8,28)</f>
        <v>25443</v>
      </c>
      <c r="G195" s="12">
        <f t="shared" ca="1" si="19"/>
        <v>43</v>
      </c>
      <c r="H195" s="12">
        <f t="shared" ca="1" si="20"/>
        <v>-6</v>
      </c>
      <c r="I195" s="13">
        <f t="shared" ca="1" si="21"/>
        <v>-16</v>
      </c>
      <c r="J195" s="14">
        <f t="shared" ca="1" si="22"/>
        <v>42</v>
      </c>
      <c r="K195" s="12" t="s">
        <v>41</v>
      </c>
      <c r="L195" s="15">
        <v>34</v>
      </c>
      <c r="M195" s="25" t="s">
        <v>40</v>
      </c>
      <c r="N195">
        <v>47</v>
      </c>
    </row>
    <row r="196" spans="1:14">
      <c r="A196" s="25" t="e">
        <f t="shared" si="23"/>
        <v>#REF!</v>
      </c>
      <c r="B196" s="67" t="s">
        <v>2</v>
      </c>
      <c r="C196" s="67" t="s">
        <v>366</v>
      </c>
      <c r="D196" s="67" t="s">
        <v>112</v>
      </c>
      <c r="E196" s="22">
        <f t="shared" ca="1" si="18"/>
        <v>40951</v>
      </c>
      <c r="F196" s="11">
        <f>DATE(97,5,15)</f>
        <v>35565</v>
      </c>
      <c r="G196" s="12">
        <f t="shared" ca="1" si="19"/>
        <v>15</v>
      </c>
      <c r="H196" s="12">
        <f t="shared" ca="1" si="20"/>
        <v>-3</v>
      </c>
      <c r="I196" s="13">
        <f t="shared" ca="1" si="21"/>
        <v>-3</v>
      </c>
      <c r="J196" s="14">
        <f t="shared" ca="1" si="22"/>
        <v>14</v>
      </c>
      <c r="K196" s="12" t="s">
        <v>41</v>
      </c>
      <c r="L196" s="15">
        <v>34</v>
      </c>
      <c r="M196" s="25" t="s">
        <v>44</v>
      </c>
      <c r="N196">
        <v>47</v>
      </c>
    </row>
    <row r="197" spans="1:14">
      <c r="A197" s="25" t="e">
        <f t="shared" si="23"/>
        <v>#REF!</v>
      </c>
      <c r="B197" s="67" t="s">
        <v>2</v>
      </c>
      <c r="C197" s="67" t="s">
        <v>368</v>
      </c>
      <c r="D197" s="67" t="s">
        <v>367</v>
      </c>
      <c r="E197" s="22">
        <f t="shared" ca="1" si="18"/>
        <v>40951</v>
      </c>
      <c r="F197" s="11">
        <f>DATE(61,8,28)</f>
        <v>22521</v>
      </c>
      <c r="G197" s="12">
        <f t="shared" ca="1" si="19"/>
        <v>51</v>
      </c>
      <c r="H197" s="12">
        <f t="shared" ca="1" si="20"/>
        <v>-6</v>
      </c>
      <c r="I197" s="13">
        <f t="shared" ca="1" si="21"/>
        <v>-16</v>
      </c>
      <c r="J197" s="14">
        <f t="shared" ca="1" si="22"/>
        <v>50</v>
      </c>
      <c r="K197" s="12" t="s">
        <v>41</v>
      </c>
      <c r="L197" s="15">
        <v>35</v>
      </c>
      <c r="M197" s="25" t="s">
        <v>40</v>
      </c>
      <c r="N197">
        <v>47</v>
      </c>
    </row>
    <row r="198" spans="1:14">
      <c r="A198" s="25" t="e">
        <f t="shared" si="23"/>
        <v>#REF!</v>
      </c>
      <c r="B198" s="67" t="s">
        <v>2</v>
      </c>
      <c r="C198" s="67" t="s">
        <v>318</v>
      </c>
      <c r="D198" s="67" t="s">
        <v>371</v>
      </c>
      <c r="E198" s="22">
        <f t="shared" ca="1" si="18"/>
        <v>40951</v>
      </c>
      <c r="F198" s="11">
        <f>DATE(49,5,30)</f>
        <v>18048</v>
      </c>
      <c r="G198" s="12">
        <f t="shared" ca="1" si="19"/>
        <v>63</v>
      </c>
      <c r="H198" s="12">
        <f t="shared" ca="1" si="20"/>
        <v>-3</v>
      </c>
      <c r="I198" s="13">
        <f t="shared" ca="1" si="21"/>
        <v>-18</v>
      </c>
      <c r="J198" s="14">
        <f t="shared" ca="1" si="22"/>
        <v>62</v>
      </c>
      <c r="K198" s="12" t="s">
        <v>41</v>
      </c>
      <c r="L198" s="15">
        <v>35</v>
      </c>
      <c r="M198" s="25" t="s">
        <v>40</v>
      </c>
      <c r="N198">
        <v>47</v>
      </c>
    </row>
    <row r="199" spans="1:14" ht="15.75" thickBot="1">
      <c r="A199" s="26" t="e">
        <f t="shared" si="23"/>
        <v>#REF!</v>
      </c>
      <c r="B199" s="68" t="s">
        <v>2</v>
      </c>
      <c r="C199" s="68" t="s">
        <v>261</v>
      </c>
      <c r="D199" s="68" t="s">
        <v>374</v>
      </c>
      <c r="E199" s="23">
        <f t="shared" ca="1" si="18"/>
        <v>40951</v>
      </c>
      <c r="F199" s="16">
        <f>DATE(55,7,7)</f>
        <v>20277</v>
      </c>
      <c r="G199" s="17">
        <f t="shared" ca="1" si="19"/>
        <v>57</v>
      </c>
      <c r="H199" s="17">
        <f t="shared" ca="1" si="20"/>
        <v>-5</v>
      </c>
      <c r="I199" s="18">
        <f t="shared" ca="1" si="21"/>
        <v>5</v>
      </c>
      <c r="J199" s="19">
        <f t="shared" ca="1" si="22"/>
        <v>56</v>
      </c>
      <c r="K199" s="17" t="s">
        <v>41</v>
      </c>
      <c r="L199" s="20">
        <v>35</v>
      </c>
      <c r="M199" s="26" t="s">
        <v>40</v>
      </c>
      <c r="N199">
        <v>47</v>
      </c>
    </row>
    <row r="200" spans="1:14">
      <c r="A200" s="24" t="e">
        <f t="shared" si="23"/>
        <v>#REF!</v>
      </c>
      <c r="B200" s="66" t="s">
        <v>2</v>
      </c>
      <c r="C200" s="66" t="s">
        <v>113</v>
      </c>
      <c r="D200" s="66" t="s">
        <v>254</v>
      </c>
      <c r="E200" s="21">
        <f t="shared" ca="1" si="18"/>
        <v>40951</v>
      </c>
      <c r="F200" s="6">
        <f>DATE(69,5,4)</f>
        <v>25327</v>
      </c>
      <c r="G200" s="7">
        <f t="shared" ca="1" si="19"/>
        <v>43</v>
      </c>
      <c r="H200" s="7">
        <f t="shared" ca="1" si="20"/>
        <v>-3</v>
      </c>
      <c r="I200" s="8">
        <f t="shared" ca="1" si="21"/>
        <v>8</v>
      </c>
      <c r="J200" s="9">
        <f t="shared" ca="1" si="22"/>
        <v>42</v>
      </c>
      <c r="K200" s="7" t="s">
        <v>41</v>
      </c>
      <c r="L200" s="10">
        <v>35</v>
      </c>
      <c r="M200" s="24" t="s">
        <v>40</v>
      </c>
      <c r="N200">
        <v>48</v>
      </c>
    </row>
    <row r="201" spans="1:14">
      <c r="A201" s="25" t="e">
        <f t="shared" si="23"/>
        <v>#REF!</v>
      </c>
      <c r="B201" s="67" t="s">
        <v>2</v>
      </c>
      <c r="C201" s="67" t="s">
        <v>380</v>
      </c>
      <c r="D201" s="67" t="s">
        <v>378</v>
      </c>
      <c r="E201" s="22">
        <f t="shared" ca="1" si="18"/>
        <v>40951</v>
      </c>
      <c r="F201" s="11">
        <f>DATE(52,4,1)</f>
        <v>19085</v>
      </c>
      <c r="G201" s="12">
        <f t="shared" ca="1" si="19"/>
        <v>60</v>
      </c>
      <c r="H201" s="12">
        <f t="shared" ca="1" si="20"/>
        <v>-2</v>
      </c>
      <c r="I201" s="13">
        <f t="shared" ca="1" si="21"/>
        <v>11</v>
      </c>
      <c r="J201" s="14">
        <f t="shared" ca="1" si="22"/>
        <v>59</v>
      </c>
      <c r="K201" s="12" t="s">
        <v>41</v>
      </c>
      <c r="L201" s="15">
        <v>36</v>
      </c>
      <c r="M201" s="25" t="s">
        <v>40</v>
      </c>
      <c r="N201">
        <v>48</v>
      </c>
    </row>
    <row r="202" spans="1:14">
      <c r="A202" s="25" t="e">
        <f t="shared" si="23"/>
        <v>#REF!</v>
      </c>
      <c r="B202" s="67" t="s">
        <v>2</v>
      </c>
      <c r="C202" s="71" t="s">
        <v>382</v>
      </c>
      <c r="D202" s="67" t="s">
        <v>378</v>
      </c>
      <c r="E202" s="22">
        <f t="shared" ca="1" si="18"/>
        <v>40951</v>
      </c>
      <c r="F202" s="11">
        <f>DATE(81,2,7)</f>
        <v>29624</v>
      </c>
      <c r="G202" s="12">
        <f t="shared" ca="1" si="19"/>
        <v>31</v>
      </c>
      <c r="H202" s="12">
        <f t="shared" ca="1" si="20"/>
        <v>0</v>
      </c>
      <c r="I202" s="13">
        <f t="shared" ca="1" si="21"/>
        <v>5</v>
      </c>
      <c r="J202" s="14">
        <f t="shared" ca="1" si="22"/>
        <v>31</v>
      </c>
      <c r="K202" s="12" t="s">
        <v>41</v>
      </c>
      <c r="L202" s="15">
        <v>36</v>
      </c>
      <c r="M202" s="25" t="s">
        <v>44</v>
      </c>
      <c r="N202">
        <v>48</v>
      </c>
    </row>
    <row r="203" spans="1:14">
      <c r="A203" s="25" t="e">
        <f t="shared" si="23"/>
        <v>#REF!</v>
      </c>
      <c r="B203" s="67" t="s">
        <v>2</v>
      </c>
      <c r="C203" s="67" t="s">
        <v>231</v>
      </c>
      <c r="D203" s="67" t="s">
        <v>378</v>
      </c>
      <c r="E203" s="22">
        <f t="shared" ca="1" si="18"/>
        <v>40951</v>
      </c>
      <c r="F203" s="11">
        <f>DATE(81,12,30)</f>
        <v>29950</v>
      </c>
      <c r="G203" s="12">
        <f t="shared" ca="1" si="19"/>
        <v>31</v>
      </c>
      <c r="H203" s="12">
        <f t="shared" ca="1" si="20"/>
        <v>-10</v>
      </c>
      <c r="I203" s="13">
        <f t="shared" ca="1" si="21"/>
        <v>-18</v>
      </c>
      <c r="J203" s="14">
        <f t="shared" ca="1" si="22"/>
        <v>30</v>
      </c>
      <c r="K203" s="12" t="s">
        <v>41</v>
      </c>
      <c r="L203" s="15">
        <v>36</v>
      </c>
      <c r="M203" s="25" t="s">
        <v>44</v>
      </c>
      <c r="N203">
        <v>48</v>
      </c>
    </row>
    <row r="204" spans="1:14">
      <c r="A204" s="25" t="e">
        <f t="shared" si="23"/>
        <v>#REF!</v>
      </c>
      <c r="B204" s="67" t="s">
        <v>2</v>
      </c>
      <c r="C204" s="67" t="s">
        <v>218</v>
      </c>
      <c r="D204" s="67" t="s">
        <v>384</v>
      </c>
      <c r="E204" s="22">
        <f t="shared" ca="1" si="18"/>
        <v>40951</v>
      </c>
      <c r="F204" s="11">
        <f>DATE(41,7,23)</f>
        <v>15180</v>
      </c>
      <c r="G204" s="12">
        <f t="shared" ca="1" si="19"/>
        <v>71</v>
      </c>
      <c r="H204" s="12">
        <f t="shared" ca="1" si="20"/>
        <v>-5</v>
      </c>
      <c r="I204" s="13">
        <f t="shared" ca="1" si="21"/>
        <v>-11</v>
      </c>
      <c r="J204" s="14">
        <f t="shared" ca="1" si="22"/>
        <v>70</v>
      </c>
      <c r="K204" s="12" t="s">
        <v>41</v>
      </c>
      <c r="L204" s="15">
        <v>36</v>
      </c>
      <c r="M204" s="25" t="s">
        <v>40</v>
      </c>
      <c r="N204">
        <v>48</v>
      </c>
    </row>
    <row r="205" spans="1:14">
      <c r="A205" s="25" t="e">
        <f t="shared" si="23"/>
        <v>#REF!</v>
      </c>
      <c r="B205" s="67" t="s">
        <v>2</v>
      </c>
      <c r="C205" s="67" t="s">
        <v>175</v>
      </c>
      <c r="D205" s="67" t="s">
        <v>114</v>
      </c>
      <c r="E205" s="22">
        <f t="shared" ca="1" si="18"/>
        <v>40951</v>
      </c>
      <c r="F205" s="32"/>
      <c r="G205" s="12">
        <f t="shared" ca="1" si="19"/>
        <v>112</v>
      </c>
      <c r="H205" s="12">
        <f t="shared" ca="1" si="20"/>
        <v>1</v>
      </c>
      <c r="I205" s="13">
        <f t="shared" ca="1" si="21"/>
        <v>12</v>
      </c>
      <c r="J205" s="14">
        <f t="shared" ca="1" si="22"/>
        <v>112</v>
      </c>
      <c r="K205" s="12" t="s">
        <v>41</v>
      </c>
      <c r="L205" s="15">
        <v>36</v>
      </c>
      <c r="M205" s="25" t="s">
        <v>40</v>
      </c>
      <c r="N205">
        <v>48</v>
      </c>
    </row>
    <row r="206" spans="1:14" ht="15.75" thickBot="1">
      <c r="A206" s="26" t="e">
        <f t="shared" si="23"/>
        <v>#REF!</v>
      </c>
      <c r="B206" s="68" t="s">
        <v>2</v>
      </c>
      <c r="C206" s="68" t="s">
        <v>385</v>
      </c>
      <c r="D206" s="68" t="s">
        <v>114</v>
      </c>
      <c r="E206" s="23">
        <f t="shared" ca="1" si="18"/>
        <v>40951</v>
      </c>
      <c r="F206" s="16">
        <f>DATE(87,10,5)</f>
        <v>32055</v>
      </c>
      <c r="G206" s="17">
        <f t="shared" ca="1" si="19"/>
        <v>25</v>
      </c>
      <c r="H206" s="17">
        <f t="shared" ca="1" si="20"/>
        <v>-8</v>
      </c>
      <c r="I206" s="18">
        <f t="shared" ca="1" si="21"/>
        <v>7</v>
      </c>
      <c r="J206" s="19">
        <f t="shared" ca="1" si="22"/>
        <v>24</v>
      </c>
      <c r="K206" s="17" t="s">
        <v>41</v>
      </c>
      <c r="L206" s="20">
        <v>36</v>
      </c>
      <c r="M206" s="26" t="s">
        <v>44</v>
      </c>
      <c r="N206">
        <v>48</v>
      </c>
    </row>
    <row r="207" spans="1:14">
      <c r="A207" s="24" t="e">
        <f t="shared" si="23"/>
        <v>#REF!</v>
      </c>
      <c r="B207" s="66" t="s">
        <v>2</v>
      </c>
      <c r="C207" s="66" t="s">
        <v>388</v>
      </c>
      <c r="D207" s="66" t="s">
        <v>387</v>
      </c>
      <c r="E207" s="21">
        <f t="shared" ca="1" si="18"/>
        <v>40951</v>
      </c>
      <c r="F207" s="6">
        <f>DATE(56,4,20)</f>
        <v>20565</v>
      </c>
      <c r="G207" s="7">
        <f t="shared" ca="1" si="19"/>
        <v>56</v>
      </c>
      <c r="H207" s="7">
        <f t="shared" ca="1" si="20"/>
        <v>-2</v>
      </c>
      <c r="I207" s="8">
        <f t="shared" ca="1" si="21"/>
        <v>-8</v>
      </c>
      <c r="J207" s="9">
        <f t="shared" ca="1" si="22"/>
        <v>55</v>
      </c>
      <c r="K207" s="7" t="s">
        <v>41</v>
      </c>
      <c r="L207" s="10">
        <v>36</v>
      </c>
      <c r="M207" s="24" t="s">
        <v>40</v>
      </c>
      <c r="N207">
        <v>49</v>
      </c>
    </row>
    <row r="208" spans="1:14">
      <c r="A208" s="25" t="e">
        <f t="shared" si="23"/>
        <v>#REF!</v>
      </c>
      <c r="B208" s="67" t="s">
        <v>2</v>
      </c>
      <c r="C208" s="67" t="s">
        <v>62</v>
      </c>
      <c r="D208" s="67" t="s">
        <v>93</v>
      </c>
      <c r="E208" s="22">
        <f t="shared" ca="1" si="18"/>
        <v>40951</v>
      </c>
      <c r="F208" s="11">
        <f>DATE(66,3,7)</f>
        <v>24173</v>
      </c>
      <c r="G208" s="12">
        <f t="shared" ca="1" si="19"/>
        <v>46</v>
      </c>
      <c r="H208" s="12">
        <f t="shared" ca="1" si="20"/>
        <v>-1</v>
      </c>
      <c r="I208" s="13">
        <f t="shared" ca="1" si="21"/>
        <v>5</v>
      </c>
      <c r="J208" s="14">
        <f t="shared" ca="1" si="22"/>
        <v>45</v>
      </c>
      <c r="K208" s="12" t="s">
        <v>41</v>
      </c>
      <c r="L208" s="15">
        <v>37</v>
      </c>
      <c r="M208" s="25" t="s">
        <v>40</v>
      </c>
      <c r="N208">
        <v>49</v>
      </c>
    </row>
    <row r="209" spans="1:14">
      <c r="A209" s="25" t="e">
        <f t="shared" si="23"/>
        <v>#REF!</v>
      </c>
      <c r="B209" s="67" t="s">
        <v>2</v>
      </c>
      <c r="C209" s="67" t="s">
        <v>75</v>
      </c>
      <c r="D209" s="67" t="s">
        <v>93</v>
      </c>
      <c r="E209" s="22">
        <f t="shared" ca="1" si="18"/>
        <v>40951</v>
      </c>
      <c r="F209" s="11">
        <f>DATE(94,4,1)</f>
        <v>34425</v>
      </c>
      <c r="G209" s="12">
        <f t="shared" ca="1" si="19"/>
        <v>18</v>
      </c>
      <c r="H209" s="12">
        <f t="shared" ca="1" si="20"/>
        <v>-2</v>
      </c>
      <c r="I209" s="13">
        <f t="shared" ca="1" si="21"/>
        <v>11</v>
      </c>
      <c r="J209" s="14">
        <f t="shared" ca="1" si="22"/>
        <v>17</v>
      </c>
      <c r="K209" s="12" t="s">
        <v>41</v>
      </c>
      <c r="L209" s="15">
        <v>37</v>
      </c>
      <c r="M209" s="25" t="s">
        <v>44</v>
      </c>
      <c r="N209">
        <v>49</v>
      </c>
    </row>
    <row r="210" spans="1:14" ht="15.75" thickBot="1">
      <c r="A210" s="26" t="e">
        <f t="shared" si="23"/>
        <v>#REF!</v>
      </c>
      <c r="B210" s="68" t="s">
        <v>2</v>
      </c>
      <c r="C210" s="68" t="s">
        <v>95</v>
      </c>
      <c r="D210" s="68" t="s">
        <v>96</v>
      </c>
      <c r="E210" s="23">
        <f t="shared" ca="1" si="18"/>
        <v>40951</v>
      </c>
      <c r="F210" s="16">
        <f>DATE(70,8,9)</f>
        <v>25789</v>
      </c>
      <c r="G210" s="17">
        <f t="shared" ca="1" si="19"/>
        <v>42</v>
      </c>
      <c r="H210" s="17">
        <f t="shared" ca="1" si="20"/>
        <v>-6</v>
      </c>
      <c r="I210" s="18">
        <f t="shared" ca="1" si="21"/>
        <v>3</v>
      </c>
      <c r="J210" s="19">
        <f t="shared" ca="1" si="22"/>
        <v>41</v>
      </c>
      <c r="K210" s="17" t="s">
        <v>41</v>
      </c>
      <c r="L210" s="20">
        <v>37</v>
      </c>
      <c r="M210" s="26" t="s">
        <v>40</v>
      </c>
      <c r="N210">
        <v>49</v>
      </c>
    </row>
    <row r="211" spans="1:14">
      <c r="A211" s="24" t="e">
        <f t="shared" si="23"/>
        <v>#REF!</v>
      </c>
      <c r="B211" s="66" t="s">
        <v>2</v>
      </c>
      <c r="C211" s="66" t="s">
        <v>393</v>
      </c>
      <c r="D211" s="66" t="s">
        <v>96</v>
      </c>
      <c r="E211" s="21">
        <f t="shared" ca="1" si="18"/>
        <v>40951</v>
      </c>
      <c r="F211" s="6">
        <f>DATE(98,11,4)</f>
        <v>36103</v>
      </c>
      <c r="G211" s="7">
        <f t="shared" ca="1" si="19"/>
        <v>14</v>
      </c>
      <c r="H211" s="7">
        <f t="shared" ca="1" si="20"/>
        <v>-9</v>
      </c>
      <c r="I211" s="8">
        <f t="shared" ca="1" si="21"/>
        <v>8</v>
      </c>
      <c r="J211" s="9">
        <f t="shared" ca="1" si="22"/>
        <v>13</v>
      </c>
      <c r="K211" s="7" t="s">
        <v>41</v>
      </c>
      <c r="L211" s="10">
        <v>37</v>
      </c>
      <c r="M211" s="24" t="s">
        <v>44</v>
      </c>
      <c r="N211">
        <v>50</v>
      </c>
    </row>
    <row r="212" spans="1:14">
      <c r="A212" s="25" t="e">
        <f t="shared" si="23"/>
        <v>#REF!</v>
      </c>
      <c r="B212" s="67" t="s">
        <v>2</v>
      </c>
      <c r="C212" s="67" t="s">
        <v>395</v>
      </c>
      <c r="D212" s="67" t="s">
        <v>109</v>
      </c>
      <c r="E212" s="22">
        <f t="shared" ca="1" si="18"/>
        <v>40951</v>
      </c>
      <c r="F212" s="11">
        <f>DATE(52,3,12)</f>
        <v>19065</v>
      </c>
      <c r="G212" s="12">
        <f t="shared" ca="1" si="19"/>
        <v>60</v>
      </c>
      <c r="H212" s="12">
        <f t="shared" ca="1" si="20"/>
        <v>-1</v>
      </c>
      <c r="I212" s="13">
        <f t="shared" ca="1" si="21"/>
        <v>0</v>
      </c>
      <c r="J212" s="14">
        <f t="shared" ca="1" si="22"/>
        <v>59</v>
      </c>
      <c r="K212" s="12" t="s">
        <v>41</v>
      </c>
      <c r="L212" s="15">
        <v>37</v>
      </c>
      <c r="M212" s="25" t="s">
        <v>40</v>
      </c>
      <c r="N212">
        <v>50</v>
      </c>
    </row>
    <row r="213" spans="1:14" ht="15.75" thickBot="1">
      <c r="A213" s="26" t="e">
        <f t="shared" si="23"/>
        <v>#REF!</v>
      </c>
      <c r="B213" s="68" t="s">
        <v>2</v>
      </c>
      <c r="C213" s="68" t="s">
        <v>397</v>
      </c>
      <c r="D213" s="68" t="s">
        <v>396</v>
      </c>
      <c r="E213" s="23">
        <f t="shared" ca="1" si="18"/>
        <v>40951</v>
      </c>
      <c r="F213" s="16">
        <f>DATE(78,11,15)</f>
        <v>28809</v>
      </c>
      <c r="G213" s="17">
        <f t="shared" ca="1" si="19"/>
        <v>34</v>
      </c>
      <c r="H213" s="17">
        <f t="shared" ca="1" si="20"/>
        <v>-9</v>
      </c>
      <c r="I213" s="18">
        <f t="shared" ca="1" si="21"/>
        <v>-3</v>
      </c>
      <c r="J213" s="19">
        <f t="shared" ca="1" si="22"/>
        <v>33</v>
      </c>
      <c r="K213" s="17" t="s">
        <v>41</v>
      </c>
      <c r="L213" s="20">
        <v>37</v>
      </c>
      <c r="M213" s="26" t="s">
        <v>40</v>
      </c>
      <c r="N213">
        <v>50</v>
      </c>
    </row>
    <row r="214" spans="1:14">
      <c r="A214" s="24" t="e">
        <f t="shared" si="23"/>
        <v>#REF!</v>
      </c>
      <c r="B214" s="66" t="s">
        <v>2</v>
      </c>
      <c r="C214" s="66" t="s">
        <v>218</v>
      </c>
      <c r="D214" s="66" t="s">
        <v>123</v>
      </c>
      <c r="E214" s="21">
        <f t="shared" ca="1" si="18"/>
        <v>40951</v>
      </c>
      <c r="F214" s="6">
        <f>DATE(65,12,3)</f>
        <v>24079</v>
      </c>
      <c r="G214" s="7">
        <f t="shared" ca="1" si="19"/>
        <v>47</v>
      </c>
      <c r="H214" s="7">
        <f t="shared" ca="1" si="20"/>
        <v>-10</v>
      </c>
      <c r="I214" s="8">
        <f t="shared" ca="1" si="21"/>
        <v>9</v>
      </c>
      <c r="J214" s="9">
        <f t="shared" ca="1" si="22"/>
        <v>46</v>
      </c>
      <c r="K214" s="7" t="s">
        <v>41</v>
      </c>
      <c r="L214" s="10">
        <v>38</v>
      </c>
      <c r="M214" s="24" t="s">
        <v>40</v>
      </c>
      <c r="N214">
        <v>51</v>
      </c>
    </row>
    <row r="215" spans="1:14">
      <c r="A215" s="25" t="e">
        <f t="shared" si="23"/>
        <v>#REF!</v>
      </c>
      <c r="B215" s="67" t="s">
        <v>2</v>
      </c>
      <c r="C215" s="67" t="s">
        <v>313</v>
      </c>
      <c r="D215" s="67" t="s">
        <v>123</v>
      </c>
      <c r="E215" s="22">
        <f t="shared" ca="1" si="18"/>
        <v>40951</v>
      </c>
      <c r="F215" s="11">
        <f>DATE(87,10,19)</f>
        <v>32069</v>
      </c>
      <c r="G215" s="12">
        <f t="shared" ca="1" si="19"/>
        <v>25</v>
      </c>
      <c r="H215" s="12">
        <f t="shared" ca="1" si="20"/>
        <v>-8</v>
      </c>
      <c r="I215" s="13">
        <f t="shared" ca="1" si="21"/>
        <v>-7</v>
      </c>
      <c r="J215" s="14">
        <f t="shared" ca="1" si="22"/>
        <v>24</v>
      </c>
      <c r="K215" s="12" t="s">
        <v>41</v>
      </c>
      <c r="L215" s="15">
        <v>38</v>
      </c>
      <c r="M215" s="25" t="s">
        <v>44</v>
      </c>
      <c r="N215">
        <v>51</v>
      </c>
    </row>
    <row r="216" spans="1:14">
      <c r="A216" s="25" t="e">
        <f t="shared" si="23"/>
        <v>#REF!</v>
      </c>
      <c r="B216" s="67" t="s">
        <v>2</v>
      </c>
      <c r="C216" s="67" t="s">
        <v>400</v>
      </c>
      <c r="D216" s="67" t="s">
        <v>399</v>
      </c>
      <c r="E216" s="22">
        <f t="shared" ca="1" si="18"/>
        <v>40951</v>
      </c>
      <c r="F216" s="11">
        <f>DATE(44,11,15)</f>
        <v>16391</v>
      </c>
      <c r="G216" s="12">
        <f t="shared" ca="1" si="19"/>
        <v>68</v>
      </c>
      <c r="H216" s="12">
        <f t="shared" ca="1" si="20"/>
        <v>-9</v>
      </c>
      <c r="I216" s="13">
        <f t="shared" ca="1" si="21"/>
        <v>-3</v>
      </c>
      <c r="J216" s="14">
        <f t="shared" ca="1" si="22"/>
        <v>67</v>
      </c>
      <c r="K216" s="12" t="s">
        <v>41</v>
      </c>
      <c r="L216" s="15">
        <v>38</v>
      </c>
      <c r="M216" s="25" t="s">
        <v>40</v>
      </c>
      <c r="N216">
        <v>51</v>
      </c>
    </row>
    <row r="217" spans="1:14" ht="15.75" thickBot="1">
      <c r="A217" s="26" t="e">
        <f t="shared" si="23"/>
        <v>#REF!</v>
      </c>
      <c r="B217" s="68" t="s">
        <v>2</v>
      </c>
      <c r="C217" s="68" t="s">
        <v>402</v>
      </c>
      <c r="D217" s="68" t="s">
        <v>401</v>
      </c>
      <c r="E217" s="23">
        <f t="shared" ca="1" si="18"/>
        <v>40951</v>
      </c>
      <c r="F217" s="16">
        <f>DATE(74,3,20)</f>
        <v>27108</v>
      </c>
      <c r="G217" s="17">
        <f t="shared" ca="1" si="19"/>
        <v>38</v>
      </c>
      <c r="H217" s="17">
        <f t="shared" ca="1" si="20"/>
        <v>-1</v>
      </c>
      <c r="I217" s="18">
        <f t="shared" ca="1" si="21"/>
        <v>-8</v>
      </c>
      <c r="J217" s="19">
        <f t="shared" ca="1" si="22"/>
        <v>37</v>
      </c>
      <c r="K217" s="17" t="s">
        <v>41</v>
      </c>
      <c r="L217" s="20">
        <v>38</v>
      </c>
      <c r="M217" s="26" t="s">
        <v>40</v>
      </c>
      <c r="N217">
        <v>51</v>
      </c>
    </row>
    <row r="218" spans="1:14">
      <c r="A218" s="24" t="e">
        <f t="shared" si="23"/>
        <v>#REF!</v>
      </c>
      <c r="B218" s="66" t="s">
        <v>2</v>
      </c>
      <c r="C218" s="66" t="s">
        <v>403</v>
      </c>
      <c r="D218" s="66" t="s">
        <v>401</v>
      </c>
      <c r="E218" s="21">
        <f t="shared" ca="1" si="18"/>
        <v>40951</v>
      </c>
      <c r="F218" s="6">
        <f>DATE(98,1,21)</f>
        <v>35816</v>
      </c>
      <c r="G218" s="7">
        <f t="shared" ca="1" si="19"/>
        <v>14</v>
      </c>
      <c r="H218" s="7">
        <f t="shared" ca="1" si="20"/>
        <v>1</v>
      </c>
      <c r="I218" s="8">
        <f t="shared" ca="1" si="21"/>
        <v>-9</v>
      </c>
      <c r="J218" s="9">
        <f t="shared" ca="1" si="22"/>
        <v>14</v>
      </c>
      <c r="K218" s="7" t="s">
        <v>41</v>
      </c>
      <c r="L218" s="10">
        <v>38</v>
      </c>
      <c r="M218" s="24" t="s">
        <v>44</v>
      </c>
      <c r="N218">
        <v>52</v>
      </c>
    </row>
    <row r="219" spans="1:14">
      <c r="A219" s="25" t="e">
        <f t="shared" si="23"/>
        <v>#REF!</v>
      </c>
      <c r="B219" s="67" t="s">
        <v>2</v>
      </c>
      <c r="C219" s="67" t="s">
        <v>404</v>
      </c>
      <c r="D219" s="67" t="s">
        <v>401</v>
      </c>
      <c r="E219" s="22">
        <f t="shared" ca="1" si="18"/>
        <v>40951</v>
      </c>
      <c r="F219" s="11">
        <f>DATE(2000,6,21)</f>
        <v>36698</v>
      </c>
      <c r="G219" s="12">
        <f t="shared" ca="1" si="19"/>
        <v>12</v>
      </c>
      <c r="H219" s="12">
        <f t="shared" ca="1" si="20"/>
        <v>-4</v>
      </c>
      <c r="I219" s="13">
        <f t="shared" ca="1" si="21"/>
        <v>-9</v>
      </c>
      <c r="J219" s="14">
        <f t="shared" ca="1" si="22"/>
        <v>11</v>
      </c>
      <c r="K219" s="12" t="s">
        <v>41</v>
      </c>
      <c r="L219" s="15">
        <v>38</v>
      </c>
      <c r="M219" s="25" t="s">
        <v>44</v>
      </c>
      <c r="N219">
        <v>52</v>
      </c>
    </row>
    <row r="220" spans="1:14">
      <c r="A220" s="25" t="e">
        <f t="shared" si="23"/>
        <v>#REF!</v>
      </c>
      <c r="B220" s="67" t="s">
        <v>2</v>
      </c>
      <c r="C220" s="67" t="s">
        <v>406</v>
      </c>
      <c r="D220" s="67" t="s">
        <v>405</v>
      </c>
      <c r="E220" s="22">
        <f t="shared" ca="1" si="18"/>
        <v>40951</v>
      </c>
      <c r="F220" s="11">
        <f>DATE(83,1,3)</f>
        <v>30319</v>
      </c>
      <c r="G220" s="12">
        <f t="shared" ca="1" si="19"/>
        <v>29</v>
      </c>
      <c r="H220" s="12">
        <f t="shared" ca="1" si="20"/>
        <v>1</v>
      </c>
      <c r="I220" s="13">
        <f t="shared" ca="1" si="21"/>
        <v>9</v>
      </c>
      <c r="J220" s="14">
        <f t="shared" ca="1" si="22"/>
        <v>29</v>
      </c>
      <c r="K220" s="12" t="s">
        <v>41</v>
      </c>
      <c r="L220" s="15">
        <v>38</v>
      </c>
      <c r="M220" s="25" t="s">
        <v>44</v>
      </c>
      <c r="N220">
        <v>52</v>
      </c>
    </row>
    <row r="221" spans="1:14">
      <c r="A221" s="25" t="e">
        <f t="shared" si="23"/>
        <v>#REF!</v>
      </c>
      <c r="B221" s="67" t="s">
        <v>2</v>
      </c>
      <c r="C221" s="67" t="s">
        <v>407</v>
      </c>
      <c r="D221" s="67" t="s">
        <v>408</v>
      </c>
      <c r="E221" s="22">
        <f t="shared" ca="1" si="18"/>
        <v>40951</v>
      </c>
      <c r="F221" s="11">
        <f>DATE(49,3,3)</f>
        <v>17960</v>
      </c>
      <c r="G221" s="12">
        <f t="shared" ca="1" si="19"/>
        <v>63</v>
      </c>
      <c r="H221" s="12">
        <f t="shared" ca="1" si="20"/>
        <v>-1</v>
      </c>
      <c r="I221" s="13">
        <f t="shared" ca="1" si="21"/>
        <v>9</v>
      </c>
      <c r="J221" s="14">
        <f t="shared" ca="1" si="22"/>
        <v>62</v>
      </c>
      <c r="K221" s="12" t="s">
        <v>41</v>
      </c>
      <c r="L221" s="15">
        <v>39</v>
      </c>
      <c r="M221" s="25" t="s">
        <v>40</v>
      </c>
      <c r="N221">
        <v>52</v>
      </c>
    </row>
    <row r="222" spans="1:14" ht="15.75" thickBot="1">
      <c r="A222" s="26" t="e">
        <f t="shared" si="23"/>
        <v>#REF!</v>
      </c>
      <c r="B222" s="68" t="s">
        <v>2</v>
      </c>
      <c r="C222" s="68" t="s">
        <v>122</v>
      </c>
      <c r="D222" s="68" t="s">
        <v>305</v>
      </c>
      <c r="E222" s="23">
        <f t="shared" ca="1" si="18"/>
        <v>40951</v>
      </c>
      <c r="F222" s="16">
        <f>DATE(75,7,15)</f>
        <v>27590</v>
      </c>
      <c r="G222" s="17">
        <f t="shared" ca="1" si="19"/>
        <v>37</v>
      </c>
      <c r="H222" s="17">
        <f t="shared" ca="1" si="20"/>
        <v>-5</v>
      </c>
      <c r="I222" s="18">
        <f t="shared" ca="1" si="21"/>
        <v>-3</v>
      </c>
      <c r="J222" s="19">
        <f t="shared" ca="1" si="22"/>
        <v>36</v>
      </c>
      <c r="K222" s="17" t="s">
        <v>41</v>
      </c>
      <c r="L222" s="20">
        <v>39</v>
      </c>
      <c r="M222" s="26" t="s">
        <v>40</v>
      </c>
      <c r="N222">
        <v>52</v>
      </c>
    </row>
    <row r="223" spans="1:14">
      <c r="A223" s="24" t="e">
        <f t="shared" si="23"/>
        <v>#REF!</v>
      </c>
      <c r="B223" s="66" t="s">
        <v>2</v>
      </c>
      <c r="C223" s="66" t="s">
        <v>117</v>
      </c>
      <c r="D223" s="66" t="s">
        <v>305</v>
      </c>
      <c r="E223" s="21">
        <f t="shared" ca="1" si="18"/>
        <v>40951</v>
      </c>
      <c r="F223" s="6">
        <f>DATE(4,8,20)</f>
        <v>1694</v>
      </c>
      <c r="G223" s="7">
        <f t="shared" ca="1" si="19"/>
        <v>108</v>
      </c>
      <c r="H223" s="7">
        <f t="shared" ca="1" si="20"/>
        <v>-6</v>
      </c>
      <c r="I223" s="8">
        <f t="shared" ca="1" si="21"/>
        <v>-8</v>
      </c>
      <c r="J223" s="9">
        <f t="shared" ca="1" si="22"/>
        <v>107</v>
      </c>
      <c r="K223" s="7" t="s">
        <v>41</v>
      </c>
      <c r="L223" s="10">
        <v>39</v>
      </c>
      <c r="M223" s="24" t="s">
        <v>44</v>
      </c>
      <c r="N223">
        <v>53</v>
      </c>
    </row>
    <row r="224" spans="1:14">
      <c r="A224" s="25" t="e">
        <f t="shared" si="23"/>
        <v>#REF!</v>
      </c>
      <c r="B224" s="67" t="s">
        <v>2</v>
      </c>
      <c r="C224" s="67" t="s">
        <v>409</v>
      </c>
      <c r="D224" s="67" t="s">
        <v>234</v>
      </c>
      <c r="E224" s="22">
        <f t="shared" ca="1" si="18"/>
        <v>40951</v>
      </c>
      <c r="F224" s="11">
        <f>DATE(80,11,20)</f>
        <v>29545</v>
      </c>
      <c r="G224" s="12">
        <f t="shared" ca="1" si="19"/>
        <v>32</v>
      </c>
      <c r="H224" s="12">
        <f t="shared" ca="1" si="20"/>
        <v>-9</v>
      </c>
      <c r="I224" s="13">
        <f t="shared" ca="1" si="21"/>
        <v>-8</v>
      </c>
      <c r="J224" s="14">
        <f t="shared" ca="1" si="22"/>
        <v>31</v>
      </c>
      <c r="K224" s="12" t="s">
        <v>41</v>
      </c>
      <c r="L224" s="15">
        <v>39</v>
      </c>
      <c r="M224" s="25" t="s">
        <v>40</v>
      </c>
      <c r="N224">
        <v>53</v>
      </c>
    </row>
    <row r="225" spans="1:14">
      <c r="A225" s="25" t="e">
        <f t="shared" si="23"/>
        <v>#REF!</v>
      </c>
      <c r="B225" s="67" t="s">
        <v>2</v>
      </c>
      <c r="C225" s="67" t="s">
        <v>192</v>
      </c>
      <c r="D225" s="67" t="s">
        <v>410</v>
      </c>
      <c r="E225" s="22">
        <f t="shared" ca="1" si="18"/>
        <v>40951</v>
      </c>
      <c r="F225" s="11">
        <f>DATE(54,10,19)</f>
        <v>20016</v>
      </c>
      <c r="G225" s="12">
        <f t="shared" ca="1" si="19"/>
        <v>58</v>
      </c>
      <c r="H225" s="12">
        <f t="shared" ca="1" si="20"/>
        <v>-8</v>
      </c>
      <c r="I225" s="13">
        <f t="shared" ca="1" si="21"/>
        <v>-7</v>
      </c>
      <c r="J225" s="14">
        <f t="shared" ca="1" si="22"/>
        <v>57</v>
      </c>
      <c r="K225" s="12" t="s">
        <v>41</v>
      </c>
      <c r="L225" s="15">
        <v>39</v>
      </c>
      <c r="M225" s="25" t="s">
        <v>40</v>
      </c>
      <c r="N225">
        <v>53</v>
      </c>
    </row>
    <row r="226" spans="1:14" ht="15.75" thickBot="1">
      <c r="A226" s="26" t="e">
        <f t="shared" si="23"/>
        <v>#REF!</v>
      </c>
      <c r="B226" s="68" t="s">
        <v>2</v>
      </c>
      <c r="C226" s="68" t="s">
        <v>102</v>
      </c>
      <c r="D226" s="68" t="s">
        <v>412</v>
      </c>
      <c r="E226" s="23">
        <f t="shared" ca="1" si="18"/>
        <v>40951</v>
      </c>
      <c r="F226" s="16">
        <f>DATE(52,12,25)</f>
        <v>19353</v>
      </c>
      <c r="G226" s="17">
        <f t="shared" ca="1" si="19"/>
        <v>60</v>
      </c>
      <c r="H226" s="17">
        <f t="shared" ca="1" si="20"/>
        <v>-10</v>
      </c>
      <c r="I226" s="18">
        <f t="shared" ca="1" si="21"/>
        <v>-13</v>
      </c>
      <c r="J226" s="19">
        <f t="shared" ca="1" si="22"/>
        <v>59</v>
      </c>
      <c r="K226" s="17" t="s">
        <v>41</v>
      </c>
      <c r="L226" s="20">
        <v>40</v>
      </c>
      <c r="M226" s="26" t="s">
        <v>40</v>
      </c>
      <c r="N226">
        <v>53</v>
      </c>
    </row>
    <row r="227" spans="1:14">
      <c r="A227" s="24" t="e">
        <f t="shared" si="23"/>
        <v>#REF!</v>
      </c>
      <c r="B227" s="66" t="s">
        <v>2</v>
      </c>
      <c r="C227" s="66" t="s">
        <v>231</v>
      </c>
      <c r="D227" s="66" t="s">
        <v>169</v>
      </c>
      <c r="E227" s="21">
        <f t="shared" ca="1" si="18"/>
        <v>40951</v>
      </c>
      <c r="F227" s="6">
        <f>DATE(78,4,10)</f>
        <v>28590</v>
      </c>
      <c r="G227" s="7">
        <f t="shared" ca="1" si="19"/>
        <v>34</v>
      </c>
      <c r="H227" s="7">
        <f t="shared" ca="1" si="20"/>
        <v>-2</v>
      </c>
      <c r="I227" s="8">
        <f t="shared" ca="1" si="21"/>
        <v>2</v>
      </c>
      <c r="J227" s="9">
        <f t="shared" ca="1" si="22"/>
        <v>33</v>
      </c>
      <c r="K227" s="7" t="s">
        <v>41</v>
      </c>
      <c r="L227" s="10">
        <v>40</v>
      </c>
      <c r="M227" s="24" t="s">
        <v>40</v>
      </c>
      <c r="N227">
        <v>54</v>
      </c>
    </row>
    <row r="228" spans="1:14">
      <c r="A228" s="25" t="e">
        <f t="shared" si="23"/>
        <v>#REF!</v>
      </c>
      <c r="B228" s="67" t="s">
        <v>2</v>
      </c>
      <c r="C228" s="67" t="s">
        <v>413</v>
      </c>
      <c r="D228" s="67" t="s">
        <v>169</v>
      </c>
      <c r="E228" s="22">
        <f t="shared" ca="1" si="18"/>
        <v>40951</v>
      </c>
      <c r="F228" s="11">
        <f>DATE(2002,10,26)</f>
        <v>37555</v>
      </c>
      <c r="G228" s="12">
        <f t="shared" ca="1" si="19"/>
        <v>10</v>
      </c>
      <c r="H228" s="12">
        <f t="shared" ca="1" si="20"/>
        <v>-8</v>
      </c>
      <c r="I228" s="13">
        <f t="shared" ca="1" si="21"/>
        <v>-14</v>
      </c>
      <c r="J228" s="14">
        <f t="shared" ca="1" si="22"/>
        <v>9</v>
      </c>
      <c r="K228" s="12" t="s">
        <v>41</v>
      </c>
      <c r="L228" s="15">
        <v>40</v>
      </c>
      <c r="M228" s="25" t="s">
        <v>44</v>
      </c>
      <c r="N228">
        <v>54</v>
      </c>
    </row>
    <row r="229" spans="1:14">
      <c r="A229" s="25" t="e">
        <f t="shared" si="23"/>
        <v>#REF!</v>
      </c>
      <c r="B229" s="67" t="s">
        <v>2</v>
      </c>
      <c r="C229" s="67" t="s">
        <v>288</v>
      </c>
      <c r="D229" s="67" t="s">
        <v>301</v>
      </c>
      <c r="E229" s="22">
        <f t="shared" ca="1" si="18"/>
        <v>40951</v>
      </c>
      <c r="F229" s="11">
        <f>DATE(83,6,22)</f>
        <v>30489</v>
      </c>
      <c r="G229" s="12">
        <f t="shared" ca="1" si="19"/>
        <v>29</v>
      </c>
      <c r="H229" s="12">
        <f t="shared" ca="1" si="20"/>
        <v>-4</v>
      </c>
      <c r="I229" s="13">
        <f t="shared" ca="1" si="21"/>
        <v>-10</v>
      </c>
      <c r="J229" s="14">
        <f t="shared" ca="1" si="22"/>
        <v>28</v>
      </c>
      <c r="K229" s="12" t="s">
        <v>41</v>
      </c>
      <c r="L229" s="15">
        <v>40</v>
      </c>
      <c r="M229" s="25" t="s">
        <v>40</v>
      </c>
      <c r="N229">
        <v>54</v>
      </c>
    </row>
    <row r="230" spans="1:14">
      <c r="A230" s="25" t="e">
        <f t="shared" si="23"/>
        <v>#REF!</v>
      </c>
      <c r="B230" s="67" t="s">
        <v>2</v>
      </c>
      <c r="C230" s="67" t="s">
        <v>415</v>
      </c>
      <c r="D230" s="67" t="s">
        <v>414</v>
      </c>
      <c r="E230" s="22">
        <f t="shared" ca="1" si="18"/>
        <v>40951</v>
      </c>
      <c r="F230" s="11">
        <f>DATE(40,8,9)</f>
        <v>14832</v>
      </c>
      <c r="G230" s="12">
        <f t="shared" ca="1" si="19"/>
        <v>72</v>
      </c>
      <c r="H230" s="12">
        <f t="shared" ca="1" si="20"/>
        <v>-6</v>
      </c>
      <c r="I230" s="13">
        <f t="shared" ca="1" si="21"/>
        <v>3</v>
      </c>
      <c r="J230" s="14">
        <f t="shared" ca="1" si="22"/>
        <v>71</v>
      </c>
      <c r="K230" s="12" t="s">
        <v>41</v>
      </c>
      <c r="L230" s="15">
        <v>40</v>
      </c>
      <c r="M230" s="25" t="s">
        <v>40</v>
      </c>
      <c r="N230">
        <v>54</v>
      </c>
    </row>
    <row r="231" spans="1:14">
      <c r="A231" s="25" t="e">
        <f t="shared" si="23"/>
        <v>#REF!</v>
      </c>
      <c r="B231" s="67" t="s">
        <v>2</v>
      </c>
      <c r="C231" s="67" t="s">
        <v>364</v>
      </c>
      <c r="D231" s="67" t="s">
        <v>416</v>
      </c>
      <c r="E231" s="22">
        <f t="shared" ca="1" si="18"/>
        <v>40951</v>
      </c>
      <c r="F231" s="11">
        <f>DATE(74,3,16)</f>
        <v>27104</v>
      </c>
      <c r="G231" s="12">
        <f t="shared" ca="1" si="19"/>
        <v>38</v>
      </c>
      <c r="H231" s="12">
        <f t="shared" ca="1" si="20"/>
        <v>-1</v>
      </c>
      <c r="I231" s="13">
        <f t="shared" ca="1" si="21"/>
        <v>-4</v>
      </c>
      <c r="J231" s="14">
        <f t="shared" ca="1" si="22"/>
        <v>37</v>
      </c>
      <c r="K231" s="12" t="s">
        <v>41</v>
      </c>
      <c r="L231" s="15">
        <v>40</v>
      </c>
      <c r="M231" s="25" t="s">
        <v>40</v>
      </c>
      <c r="N231">
        <v>54</v>
      </c>
    </row>
    <row r="232" spans="1:14">
      <c r="A232" s="25" t="e">
        <f t="shared" si="23"/>
        <v>#REF!</v>
      </c>
      <c r="B232" s="67" t="s">
        <v>2</v>
      </c>
      <c r="C232" s="67" t="s">
        <v>351</v>
      </c>
      <c r="D232" s="67" t="s">
        <v>416</v>
      </c>
      <c r="E232" s="22">
        <f t="shared" ca="1" si="18"/>
        <v>40951</v>
      </c>
      <c r="F232" s="11">
        <f>DATE(97,1,22)</f>
        <v>35452</v>
      </c>
      <c r="G232" s="12">
        <f t="shared" ca="1" si="19"/>
        <v>15</v>
      </c>
      <c r="H232" s="12">
        <f t="shared" ca="1" si="20"/>
        <v>1</v>
      </c>
      <c r="I232" s="13">
        <f t="shared" ca="1" si="21"/>
        <v>-10</v>
      </c>
      <c r="J232" s="14">
        <f t="shared" ca="1" si="22"/>
        <v>15</v>
      </c>
      <c r="K232" s="12" t="s">
        <v>41</v>
      </c>
      <c r="L232" s="15">
        <v>40</v>
      </c>
      <c r="M232" s="25" t="s">
        <v>44</v>
      </c>
      <c r="N232">
        <v>54</v>
      </c>
    </row>
    <row r="233" spans="1:14">
      <c r="A233" s="25" t="e">
        <f t="shared" si="23"/>
        <v>#REF!</v>
      </c>
      <c r="B233" s="67" t="s">
        <v>2</v>
      </c>
      <c r="C233" s="67" t="s">
        <v>202</v>
      </c>
      <c r="D233" s="67" t="s">
        <v>416</v>
      </c>
      <c r="E233" s="22">
        <f t="shared" ca="1" si="18"/>
        <v>40951</v>
      </c>
      <c r="F233" s="11">
        <f>DATE(83,6,22)</f>
        <v>30489</v>
      </c>
      <c r="G233" s="12">
        <f t="shared" ca="1" si="19"/>
        <v>29</v>
      </c>
      <c r="H233" s="12">
        <f t="shared" ca="1" si="20"/>
        <v>-4</v>
      </c>
      <c r="I233" s="13">
        <f t="shared" ca="1" si="21"/>
        <v>-10</v>
      </c>
      <c r="J233" s="14">
        <f t="shared" ca="1" si="22"/>
        <v>28</v>
      </c>
      <c r="K233" s="12" t="s">
        <v>41</v>
      </c>
      <c r="L233" s="15">
        <v>40</v>
      </c>
      <c r="M233" s="25" t="s">
        <v>44</v>
      </c>
      <c r="N233">
        <v>54</v>
      </c>
    </row>
    <row r="234" spans="1:14">
      <c r="A234" s="25" t="e">
        <f t="shared" si="23"/>
        <v>#REF!</v>
      </c>
      <c r="B234" s="67" t="s">
        <v>7</v>
      </c>
      <c r="C234" s="67" t="s">
        <v>418</v>
      </c>
      <c r="D234" s="67" t="s">
        <v>162</v>
      </c>
      <c r="E234" s="22">
        <f t="shared" ca="1" si="18"/>
        <v>40951</v>
      </c>
      <c r="F234" s="11">
        <f>DATE(54,9,24)</f>
        <v>19991</v>
      </c>
      <c r="G234" s="12">
        <f t="shared" ca="1" si="19"/>
        <v>58</v>
      </c>
      <c r="H234" s="12">
        <f t="shared" ca="1" si="20"/>
        <v>-7</v>
      </c>
      <c r="I234" s="13">
        <f t="shared" ca="1" si="21"/>
        <v>-12</v>
      </c>
      <c r="J234" s="14">
        <f t="shared" ca="1" si="22"/>
        <v>57</v>
      </c>
      <c r="K234" s="12" t="s">
        <v>41</v>
      </c>
      <c r="L234" s="15">
        <v>41</v>
      </c>
      <c r="M234" s="25" t="s">
        <v>40</v>
      </c>
      <c r="N234">
        <v>54</v>
      </c>
    </row>
    <row r="235" spans="1:14">
      <c r="A235" s="25" t="e">
        <f t="shared" si="23"/>
        <v>#REF!</v>
      </c>
      <c r="B235" s="67" t="s">
        <v>7</v>
      </c>
      <c r="C235" s="67" t="s">
        <v>419</v>
      </c>
      <c r="D235" s="67" t="s">
        <v>162</v>
      </c>
      <c r="E235" s="22">
        <f t="shared" ca="1" si="18"/>
        <v>40951</v>
      </c>
      <c r="F235" s="11">
        <f>DATE(77,7,11)</f>
        <v>28317</v>
      </c>
      <c r="G235" s="12">
        <f t="shared" ca="1" si="19"/>
        <v>35</v>
      </c>
      <c r="H235" s="12">
        <f t="shared" ca="1" si="20"/>
        <v>-5</v>
      </c>
      <c r="I235" s="13">
        <f t="shared" ca="1" si="21"/>
        <v>1</v>
      </c>
      <c r="J235" s="14">
        <f t="shared" ca="1" si="22"/>
        <v>34</v>
      </c>
      <c r="K235" s="12" t="s">
        <v>41</v>
      </c>
      <c r="L235" s="15">
        <v>41</v>
      </c>
      <c r="M235" s="25" t="s">
        <v>40</v>
      </c>
      <c r="N235">
        <v>54</v>
      </c>
    </row>
    <row r="236" spans="1:14" ht="15.75" thickBot="1">
      <c r="A236" s="26" t="e">
        <f t="shared" si="23"/>
        <v>#REF!</v>
      </c>
      <c r="B236" s="68" t="s">
        <v>7</v>
      </c>
      <c r="C236" s="68" t="s">
        <v>420</v>
      </c>
      <c r="D236" s="68" t="s">
        <v>305</v>
      </c>
      <c r="E236" s="23">
        <f t="shared" ca="1" si="18"/>
        <v>40951</v>
      </c>
      <c r="F236" s="16">
        <f>DATE(4,8,25)</f>
        <v>1699</v>
      </c>
      <c r="G236" s="17">
        <f t="shared" ca="1" si="19"/>
        <v>108</v>
      </c>
      <c r="H236" s="17">
        <f t="shared" ca="1" si="20"/>
        <v>-6</v>
      </c>
      <c r="I236" s="18">
        <f t="shared" ca="1" si="21"/>
        <v>-13</v>
      </c>
      <c r="J236" s="19">
        <f t="shared" ca="1" si="22"/>
        <v>107</v>
      </c>
      <c r="K236" s="17" t="s">
        <v>41</v>
      </c>
      <c r="L236" s="20">
        <v>41</v>
      </c>
      <c r="M236" s="26" t="s">
        <v>44</v>
      </c>
      <c r="N236">
        <v>54</v>
      </c>
    </row>
    <row r="237" spans="1:14">
      <c r="A237" s="24" t="e">
        <f t="shared" si="23"/>
        <v>#REF!</v>
      </c>
      <c r="B237" s="66" t="s">
        <v>7</v>
      </c>
      <c r="C237" s="66" t="s">
        <v>422</v>
      </c>
      <c r="D237" s="66" t="s">
        <v>421</v>
      </c>
      <c r="E237" s="21">
        <f t="shared" ca="1" si="18"/>
        <v>40951</v>
      </c>
      <c r="F237" s="6">
        <f>DATE(81,12,6)</f>
        <v>29926</v>
      </c>
      <c r="G237" s="7">
        <f t="shared" ca="1" si="19"/>
        <v>31</v>
      </c>
      <c r="H237" s="7">
        <f t="shared" ca="1" si="20"/>
        <v>-10</v>
      </c>
      <c r="I237" s="8">
        <f t="shared" ca="1" si="21"/>
        <v>6</v>
      </c>
      <c r="J237" s="9">
        <f t="shared" ca="1" si="22"/>
        <v>30</v>
      </c>
      <c r="K237" s="7" t="s">
        <v>41</v>
      </c>
      <c r="L237" s="10">
        <v>41</v>
      </c>
      <c r="M237" s="24" t="s">
        <v>40</v>
      </c>
      <c r="N237">
        <v>55</v>
      </c>
    </row>
    <row r="238" spans="1:14">
      <c r="A238" s="25" t="e">
        <f t="shared" si="23"/>
        <v>#REF!</v>
      </c>
      <c r="B238" s="67" t="s">
        <v>7</v>
      </c>
      <c r="C238" s="67" t="s">
        <v>426</v>
      </c>
      <c r="D238" s="67" t="s">
        <v>424</v>
      </c>
      <c r="E238" s="22">
        <f t="shared" ca="1" si="18"/>
        <v>40951</v>
      </c>
      <c r="F238" s="11">
        <f>DATE(56,10,11)</f>
        <v>20739</v>
      </c>
      <c r="G238" s="12">
        <f t="shared" ca="1" si="19"/>
        <v>56</v>
      </c>
      <c r="H238" s="12">
        <f t="shared" ca="1" si="20"/>
        <v>-8</v>
      </c>
      <c r="I238" s="13">
        <f t="shared" ca="1" si="21"/>
        <v>1</v>
      </c>
      <c r="J238" s="14">
        <f t="shared" ca="1" si="22"/>
        <v>55</v>
      </c>
      <c r="K238" s="12" t="s">
        <v>41</v>
      </c>
      <c r="L238" s="15">
        <v>41</v>
      </c>
      <c r="M238" s="25" t="s">
        <v>40</v>
      </c>
      <c r="N238">
        <v>55</v>
      </c>
    </row>
    <row r="239" spans="1:14">
      <c r="A239" s="25" t="e">
        <f t="shared" si="23"/>
        <v>#REF!</v>
      </c>
      <c r="B239" s="67" t="s">
        <v>7</v>
      </c>
      <c r="C239" s="67" t="s">
        <v>428</v>
      </c>
      <c r="D239" s="67" t="s">
        <v>181</v>
      </c>
      <c r="E239" s="22">
        <f t="shared" ca="1" si="18"/>
        <v>40951</v>
      </c>
      <c r="F239" s="11">
        <f>DATE(60,10,10)</f>
        <v>22199</v>
      </c>
      <c r="G239" s="12">
        <f t="shared" ca="1" si="19"/>
        <v>52</v>
      </c>
      <c r="H239" s="12">
        <f t="shared" ca="1" si="20"/>
        <v>-8</v>
      </c>
      <c r="I239" s="13">
        <f t="shared" ca="1" si="21"/>
        <v>2</v>
      </c>
      <c r="J239" s="14">
        <f t="shared" ca="1" si="22"/>
        <v>51</v>
      </c>
      <c r="K239" s="12" t="s">
        <v>41</v>
      </c>
      <c r="L239" s="15">
        <v>42</v>
      </c>
      <c r="M239" s="25" t="s">
        <v>40</v>
      </c>
      <c r="N239">
        <v>55</v>
      </c>
    </row>
    <row r="240" spans="1:14">
      <c r="A240" s="25" t="e">
        <f t="shared" si="23"/>
        <v>#REF!</v>
      </c>
      <c r="B240" s="67" t="s">
        <v>7</v>
      </c>
      <c r="C240" s="67" t="s">
        <v>422</v>
      </c>
      <c r="D240" s="67" t="s">
        <v>181</v>
      </c>
      <c r="E240" s="22">
        <f t="shared" ca="1" si="18"/>
        <v>40951</v>
      </c>
      <c r="F240" s="11">
        <f>DATE(82,9,11)</f>
        <v>30205</v>
      </c>
      <c r="G240" s="12">
        <f t="shared" ca="1" si="19"/>
        <v>30</v>
      </c>
      <c r="H240" s="12">
        <f t="shared" ca="1" si="20"/>
        <v>-7</v>
      </c>
      <c r="I240" s="13">
        <f t="shared" ca="1" si="21"/>
        <v>1</v>
      </c>
      <c r="J240" s="14">
        <f t="shared" ca="1" si="22"/>
        <v>29</v>
      </c>
      <c r="K240" s="12" t="s">
        <v>41</v>
      </c>
      <c r="L240" s="15">
        <v>42</v>
      </c>
      <c r="M240" s="25" t="s">
        <v>44</v>
      </c>
      <c r="N240">
        <v>55</v>
      </c>
    </row>
    <row r="241" spans="1:14">
      <c r="A241" s="25" t="e">
        <f t="shared" si="23"/>
        <v>#REF!</v>
      </c>
      <c r="B241" s="67" t="s">
        <v>7</v>
      </c>
      <c r="C241" s="67" t="s">
        <v>211</v>
      </c>
      <c r="D241" s="67" t="s">
        <v>181</v>
      </c>
      <c r="E241" s="22">
        <f t="shared" ca="1" si="18"/>
        <v>40951</v>
      </c>
      <c r="F241" s="11">
        <f>DATE(87,1,9)</f>
        <v>31786</v>
      </c>
      <c r="G241" s="12">
        <f t="shared" ca="1" si="19"/>
        <v>25</v>
      </c>
      <c r="H241" s="12">
        <f t="shared" ca="1" si="20"/>
        <v>1</v>
      </c>
      <c r="I241" s="13">
        <f t="shared" ca="1" si="21"/>
        <v>3</v>
      </c>
      <c r="J241" s="14">
        <f t="shared" ca="1" si="22"/>
        <v>25</v>
      </c>
      <c r="K241" s="12" t="s">
        <v>41</v>
      </c>
      <c r="L241" s="15">
        <v>42</v>
      </c>
      <c r="M241" s="25" t="s">
        <v>44</v>
      </c>
      <c r="N241">
        <v>55</v>
      </c>
    </row>
    <row r="242" spans="1:14">
      <c r="A242" s="25" t="e">
        <f t="shared" si="23"/>
        <v>#REF!</v>
      </c>
      <c r="B242" s="67" t="s">
        <v>7</v>
      </c>
      <c r="C242" s="67" t="s">
        <v>163</v>
      </c>
      <c r="D242" s="67" t="s">
        <v>181</v>
      </c>
      <c r="E242" s="22">
        <f t="shared" ca="1" si="18"/>
        <v>40951</v>
      </c>
      <c r="F242" s="11">
        <f>DATE(94,12,30)</f>
        <v>34698</v>
      </c>
      <c r="G242" s="12">
        <f t="shared" ca="1" si="19"/>
        <v>18</v>
      </c>
      <c r="H242" s="12">
        <f t="shared" ca="1" si="20"/>
        <v>-10</v>
      </c>
      <c r="I242" s="13">
        <f t="shared" ca="1" si="21"/>
        <v>-18</v>
      </c>
      <c r="J242" s="14">
        <f t="shared" ca="1" si="22"/>
        <v>17</v>
      </c>
      <c r="K242" s="12" t="s">
        <v>41</v>
      </c>
      <c r="L242" s="15">
        <v>42</v>
      </c>
      <c r="M242" s="25" t="s">
        <v>44</v>
      </c>
      <c r="N242">
        <v>55</v>
      </c>
    </row>
    <row r="243" spans="1:14">
      <c r="A243" s="25" t="e">
        <f t="shared" si="23"/>
        <v>#REF!</v>
      </c>
      <c r="B243" s="67" t="s">
        <v>7</v>
      </c>
      <c r="C243" s="67" t="s">
        <v>430</v>
      </c>
      <c r="D243" s="67" t="s">
        <v>332</v>
      </c>
      <c r="E243" s="22">
        <f t="shared" ca="1" si="18"/>
        <v>40951</v>
      </c>
      <c r="F243" s="11">
        <f>DATE(49,12,11)</f>
        <v>18243</v>
      </c>
      <c r="G243" s="12">
        <f t="shared" ca="1" si="19"/>
        <v>63</v>
      </c>
      <c r="H243" s="12">
        <f t="shared" ca="1" si="20"/>
        <v>-10</v>
      </c>
      <c r="I243" s="13">
        <f t="shared" ca="1" si="21"/>
        <v>1</v>
      </c>
      <c r="J243" s="14">
        <f t="shared" ca="1" si="22"/>
        <v>62</v>
      </c>
      <c r="K243" s="12" t="s">
        <v>41</v>
      </c>
      <c r="L243" s="15">
        <v>42</v>
      </c>
      <c r="M243" s="25" t="s">
        <v>40</v>
      </c>
      <c r="N243">
        <v>55</v>
      </c>
    </row>
    <row r="244" spans="1:14">
      <c r="A244" s="25" t="e">
        <f t="shared" si="23"/>
        <v>#REF!</v>
      </c>
      <c r="B244" s="67" t="s">
        <v>7</v>
      </c>
      <c r="C244" s="67" t="s">
        <v>431</v>
      </c>
      <c r="D244" s="67" t="s">
        <v>429</v>
      </c>
      <c r="E244" s="22">
        <f t="shared" ca="1" si="18"/>
        <v>40951</v>
      </c>
      <c r="F244" s="32"/>
      <c r="G244" s="12">
        <f t="shared" ca="1" si="19"/>
        <v>112</v>
      </c>
      <c r="H244" s="12">
        <f t="shared" ca="1" si="20"/>
        <v>1</v>
      </c>
      <c r="I244" s="13">
        <f t="shared" ca="1" si="21"/>
        <v>12</v>
      </c>
      <c r="J244" s="14">
        <f t="shared" ca="1" si="22"/>
        <v>112</v>
      </c>
      <c r="K244" s="12" t="s">
        <v>41</v>
      </c>
      <c r="L244" s="15">
        <v>42</v>
      </c>
      <c r="M244" s="25" t="s">
        <v>40</v>
      </c>
      <c r="N244">
        <v>55</v>
      </c>
    </row>
    <row r="245" spans="1:14">
      <c r="A245" s="25" t="e">
        <f t="shared" si="23"/>
        <v>#REF!</v>
      </c>
      <c r="B245" s="67" t="s">
        <v>7</v>
      </c>
      <c r="C245" s="67" t="s">
        <v>433</v>
      </c>
      <c r="D245" s="67" t="s">
        <v>432</v>
      </c>
      <c r="E245" s="22">
        <f t="shared" ca="1" si="18"/>
        <v>40951</v>
      </c>
      <c r="F245" s="11">
        <f>DATE(69,5,23)</f>
        <v>25346</v>
      </c>
      <c r="G245" s="12">
        <f t="shared" ca="1" si="19"/>
        <v>43</v>
      </c>
      <c r="H245" s="12">
        <f t="shared" ca="1" si="20"/>
        <v>-3</v>
      </c>
      <c r="I245" s="13">
        <f t="shared" ca="1" si="21"/>
        <v>-11</v>
      </c>
      <c r="J245" s="14">
        <f t="shared" ca="1" si="22"/>
        <v>42</v>
      </c>
      <c r="K245" s="12" t="s">
        <v>41</v>
      </c>
      <c r="L245" s="15">
        <v>42</v>
      </c>
      <c r="M245" s="25" t="s">
        <v>40</v>
      </c>
      <c r="N245">
        <v>55</v>
      </c>
    </row>
    <row r="246" spans="1:14" ht="15.75" thickBot="1">
      <c r="A246" s="26" t="e">
        <f t="shared" si="23"/>
        <v>#REF!</v>
      </c>
      <c r="B246" s="68" t="s">
        <v>7</v>
      </c>
      <c r="C246" s="68" t="s">
        <v>222</v>
      </c>
      <c r="D246" s="68" t="s">
        <v>436</v>
      </c>
      <c r="E246" s="23">
        <f t="shared" ca="1" si="18"/>
        <v>40951</v>
      </c>
      <c r="F246" s="16">
        <f>DATE(64,8,21)</f>
        <v>23610</v>
      </c>
      <c r="G246" s="17">
        <f t="shared" ca="1" si="19"/>
        <v>48</v>
      </c>
      <c r="H246" s="17">
        <f t="shared" ca="1" si="20"/>
        <v>-6</v>
      </c>
      <c r="I246" s="18">
        <f t="shared" ca="1" si="21"/>
        <v>-9</v>
      </c>
      <c r="J246" s="19">
        <f t="shared" ca="1" si="22"/>
        <v>47</v>
      </c>
      <c r="K246" s="17" t="s">
        <v>41</v>
      </c>
      <c r="L246" s="20">
        <v>42</v>
      </c>
      <c r="M246" s="26" t="s">
        <v>40</v>
      </c>
      <c r="N246">
        <v>55</v>
      </c>
    </row>
    <row r="247" spans="1:14">
      <c r="A247" s="24" t="e">
        <f t="shared" si="23"/>
        <v>#REF!</v>
      </c>
      <c r="B247" s="66" t="s">
        <v>7</v>
      </c>
      <c r="C247" s="66" t="s">
        <v>415</v>
      </c>
      <c r="D247" s="66" t="s">
        <v>438</v>
      </c>
      <c r="E247" s="21">
        <f t="shared" ca="1" si="18"/>
        <v>40951</v>
      </c>
      <c r="F247" s="45"/>
      <c r="G247" s="7">
        <f t="shared" ca="1" si="19"/>
        <v>112</v>
      </c>
      <c r="H247" s="7">
        <f t="shared" ca="1" si="20"/>
        <v>1</v>
      </c>
      <c r="I247" s="8">
        <f t="shared" ca="1" si="21"/>
        <v>12</v>
      </c>
      <c r="J247" s="9">
        <f t="shared" ca="1" si="22"/>
        <v>112</v>
      </c>
      <c r="K247" s="7" t="s">
        <v>41</v>
      </c>
      <c r="L247" s="10">
        <v>43</v>
      </c>
      <c r="M247" s="24" t="s">
        <v>40</v>
      </c>
      <c r="N247">
        <v>56</v>
      </c>
    </row>
    <row r="248" spans="1:14">
      <c r="A248" s="25" t="e">
        <f t="shared" si="23"/>
        <v>#REF!</v>
      </c>
      <c r="B248" s="67" t="s">
        <v>7</v>
      </c>
      <c r="C248" s="67" t="s">
        <v>440</v>
      </c>
      <c r="D248" s="67" t="s">
        <v>439</v>
      </c>
      <c r="E248" s="22">
        <f t="shared" ca="1" si="18"/>
        <v>40951</v>
      </c>
      <c r="F248" s="11">
        <f>DATE(58,8,14)</f>
        <v>21411</v>
      </c>
      <c r="G248" s="12">
        <f t="shared" ca="1" si="19"/>
        <v>54</v>
      </c>
      <c r="H248" s="12">
        <f t="shared" ca="1" si="20"/>
        <v>-6</v>
      </c>
      <c r="I248" s="13">
        <f t="shared" ca="1" si="21"/>
        <v>-2</v>
      </c>
      <c r="J248" s="14">
        <f t="shared" ca="1" si="22"/>
        <v>53</v>
      </c>
      <c r="K248" s="12" t="s">
        <v>41</v>
      </c>
      <c r="L248" s="15">
        <v>43</v>
      </c>
      <c r="M248" s="25" t="s">
        <v>40</v>
      </c>
      <c r="N248">
        <v>56</v>
      </c>
    </row>
    <row r="249" spans="1:14">
      <c r="A249" s="25" t="e">
        <f t="shared" si="23"/>
        <v>#REF!</v>
      </c>
      <c r="B249" s="67" t="s">
        <v>7</v>
      </c>
      <c r="C249" s="67" t="s">
        <v>441</v>
      </c>
      <c r="D249" s="67" t="s">
        <v>410</v>
      </c>
      <c r="E249" s="22">
        <f t="shared" ca="1" si="18"/>
        <v>40951</v>
      </c>
      <c r="F249" s="11">
        <f>DATE(66,4,22)</f>
        <v>24219</v>
      </c>
      <c r="G249" s="12">
        <f t="shared" ca="1" si="19"/>
        <v>46</v>
      </c>
      <c r="H249" s="12">
        <f t="shared" ca="1" si="20"/>
        <v>-2</v>
      </c>
      <c r="I249" s="13">
        <f t="shared" ca="1" si="21"/>
        <v>-10</v>
      </c>
      <c r="J249" s="14">
        <f t="shared" ca="1" si="22"/>
        <v>45</v>
      </c>
      <c r="K249" s="12" t="s">
        <v>41</v>
      </c>
      <c r="L249" s="15">
        <v>43</v>
      </c>
      <c r="M249" s="25" t="s">
        <v>40</v>
      </c>
      <c r="N249">
        <v>56</v>
      </c>
    </row>
    <row r="250" spans="1:14" ht="15.75" thickBot="1">
      <c r="A250" s="26" t="e">
        <f t="shared" si="23"/>
        <v>#REF!</v>
      </c>
      <c r="B250" s="68" t="s">
        <v>7</v>
      </c>
      <c r="C250" s="68" t="s">
        <v>442</v>
      </c>
      <c r="D250" s="68" t="s">
        <v>410</v>
      </c>
      <c r="E250" s="23">
        <f t="shared" ca="1" si="18"/>
        <v>40951</v>
      </c>
      <c r="F250" s="16">
        <f>DATE(91,10,25)</f>
        <v>33536</v>
      </c>
      <c r="G250" s="17">
        <f t="shared" ca="1" si="19"/>
        <v>21</v>
      </c>
      <c r="H250" s="17">
        <f t="shared" ca="1" si="20"/>
        <v>-8</v>
      </c>
      <c r="I250" s="18">
        <f t="shared" ca="1" si="21"/>
        <v>-13</v>
      </c>
      <c r="J250" s="19">
        <f t="shared" ca="1" si="22"/>
        <v>20</v>
      </c>
      <c r="K250" s="17" t="s">
        <v>41</v>
      </c>
      <c r="L250" s="20">
        <v>43</v>
      </c>
      <c r="M250" s="26" t="s">
        <v>44</v>
      </c>
      <c r="N250">
        <v>56</v>
      </c>
    </row>
    <row r="251" spans="1:14">
      <c r="A251" s="24" t="e">
        <f t="shared" si="23"/>
        <v>#REF!</v>
      </c>
      <c r="B251" s="66" t="s">
        <v>7</v>
      </c>
      <c r="C251" s="66" t="s">
        <v>133</v>
      </c>
      <c r="D251" s="66" t="s">
        <v>443</v>
      </c>
      <c r="E251" s="21">
        <f t="shared" ca="1" si="18"/>
        <v>40951</v>
      </c>
      <c r="F251" s="45"/>
      <c r="G251" s="7">
        <f t="shared" ca="1" si="19"/>
        <v>112</v>
      </c>
      <c r="H251" s="7">
        <f t="shared" ca="1" si="20"/>
        <v>1</v>
      </c>
      <c r="I251" s="8">
        <f t="shared" ca="1" si="21"/>
        <v>12</v>
      </c>
      <c r="J251" s="9">
        <f t="shared" ca="1" si="22"/>
        <v>112</v>
      </c>
      <c r="K251" s="7" t="s">
        <v>41</v>
      </c>
      <c r="L251" s="10">
        <v>43</v>
      </c>
      <c r="M251" s="24" t="s">
        <v>40</v>
      </c>
      <c r="N251">
        <v>57</v>
      </c>
    </row>
    <row r="252" spans="1:14">
      <c r="A252" s="25" t="e">
        <f t="shared" si="23"/>
        <v>#REF!</v>
      </c>
      <c r="B252" s="67" t="s">
        <v>7</v>
      </c>
      <c r="C252" s="67" t="s">
        <v>62</v>
      </c>
      <c r="D252" s="67" t="s">
        <v>444</v>
      </c>
      <c r="E252" s="22">
        <f t="shared" ca="1" si="18"/>
        <v>40951</v>
      </c>
      <c r="F252" s="11">
        <f>DATE(80,1,4)</f>
        <v>29224</v>
      </c>
      <c r="G252" s="12">
        <f t="shared" ca="1" si="19"/>
        <v>32</v>
      </c>
      <c r="H252" s="12">
        <f t="shared" ca="1" si="20"/>
        <v>1</v>
      </c>
      <c r="I252" s="13">
        <f t="shared" ca="1" si="21"/>
        <v>8</v>
      </c>
      <c r="J252" s="14">
        <f t="shared" ca="1" si="22"/>
        <v>32</v>
      </c>
      <c r="K252" s="12" t="s">
        <v>41</v>
      </c>
      <c r="L252" s="15">
        <v>43</v>
      </c>
      <c r="M252" s="25" t="s">
        <v>40</v>
      </c>
      <c r="N252">
        <v>57</v>
      </c>
    </row>
    <row r="253" spans="1:14">
      <c r="A253" s="25" t="e">
        <f t="shared" si="23"/>
        <v>#REF!</v>
      </c>
      <c r="B253" s="67" t="s">
        <v>7</v>
      </c>
      <c r="C253" s="67" t="s">
        <v>447</v>
      </c>
      <c r="D253" s="67" t="s">
        <v>446</v>
      </c>
      <c r="E253" s="22">
        <f t="shared" ca="1" si="18"/>
        <v>40951</v>
      </c>
      <c r="F253" s="11">
        <f>DATE(78,8,21)</f>
        <v>28723</v>
      </c>
      <c r="G253" s="12">
        <f t="shared" ca="1" si="19"/>
        <v>34</v>
      </c>
      <c r="H253" s="12">
        <f t="shared" ca="1" si="20"/>
        <v>-6</v>
      </c>
      <c r="I253" s="13">
        <f t="shared" ca="1" si="21"/>
        <v>-9</v>
      </c>
      <c r="J253" s="14">
        <f t="shared" ca="1" si="22"/>
        <v>33</v>
      </c>
      <c r="K253" s="12" t="s">
        <v>41</v>
      </c>
      <c r="L253" s="15">
        <v>43</v>
      </c>
      <c r="M253" s="25" t="s">
        <v>40</v>
      </c>
      <c r="N253">
        <v>57</v>
      </c>
    </row>
    <row r="254" spans="1:14" ht="15.75" thickBot="1">
      <c r="A254" s="26" t="e">
        <f t="shared" si="23"/>
        <v>#REF!</v>
      </c>
      <c r="B254" s="68" t="s">
        <v>7</v>
      </c>
      <c r="C254" s="68" t="s">
        <v>451</v>
      </c>
      <c r="D254" s="68" t="s">
        <v>449</v>
      </c>
      <c r="E254" s="23">
        <f t="shared" ca="1" si="18"/>
        <v>40951</v>
      </c>
      <c r="F254" s="33"/>
      <c r="G254" s="17">
        <f t="shared" ca="1" si="19"/>
        <v>112</v>
      </c>
      <c r="H254" s="17">
        <f t="shared" ca="1" si="20"/>
        <v>1</v>
      </c>
      <c r="I254" s="18">
        <f t="shared" ca="1" si="21"/>
        <v>12</v>
      </c>
      <c r="J254" s="19">
        <f t="shared" ca="1" si="22"/>
        <v>112</v>
      </c>
      <c r="K254" s="17" t="s">
        <v>41</v>
      </c>
      <c r="L254" s="20">
        <v>44</v>
      </c>
      <c r="M254" s="26" t="s">
        <v>40</v>
      </c>
      <c r="N254">
        <v>57</v>
      </c>
    </row>
    <row r="255" spans="1:14">
      <c r="A255" s="24" t="e">
        <f t="shared" si="23"/>
        <v>#REF!</v>
      </c>
      <c r="B255" s="66" t="s">
        <v>7</v>
      </c>
      <c r="C255" s="66" t="s">
        <v>342</v>
      </c>
      <c r="D255" s="66" t="s">
        <v>452</v>
      </c>
      <c r="E255" s="21">
        <f t="shared" ca="1" si="18"/>
        <v>40951</v>
      </c>
      <c r="F255" s="6">
        <f>DATE(71,2,19)</f>
        <v>25983</v>
      </c>
      <c r="G255" s="7">
        <f t="shared" ca="1" si="19"/>
        <v>41</v>
      </c>
      <c r="H255" s="7">
        <f t="shared" ca="1" si="20"/>
        <v>0</v>
      </c>
      <c r="I255" s="8">
        <f t="shared" ca="1" si="21"/>
        <v>-7</v>
      </c>
      <c r="J255" s="9">
        <f t="shared" ca="1" si="22"/>
        <v>40</v>
      </c>
      <c r="K255" s="7" t="s">
        <v>41</v>
      </c>
      <c r="L255" s="10">
        <v>44</v>
      </c>
      <c r="M255" s="24" t="s">
        <v>40</v>
      </c>
      <c r="N255">
        <v>58</v>
      </c>
    </row>
    <row r="256" spans="1:14">
      <c r="A256" s="25" t="e">
        <f t="shared" si="23"/>
        <v>#REF!</v>
      </c>
      <c r="B256" s="67" t="s">
        <v>7</v>
      </c>
      <c r="C256" s="67" t="s">
        <v>453</v>
      </c>
      <c r="D256" s="67" t="s">
        <v>452</v>
      </c>
      <c r="E256" s="22">
        <f t="shared" ca="1" si="18"/>
        <v>40951</v>
      </c>
      <c r="F256" s="11">
        <f>DATE(97,2,28)</f>
        <v>35489</v>
      </c>
      <c r="G256" s="12">
        <f t="shared" ca="1" si="19"/>
        <v>15</v>
      </c>
      <c r="H256" s="12">
        <f t="shared" ca="1" si="20"/>
        <v>0</v>
      </c>
      <c r="I256" s="13">
        <f t="shared" ca="1" si="21"/>
        <v>-16</v>
      </c>
      <c r="J256" s="14">
        <f t="shared" ca="1" si="22"/>
        <v>14</v>
      </c>
      <c r="K256" s="12" t="s">
        <v>41</v>
      </c>
      <c r="L256" s="15">
        <v>44</v>
      </c>
      <c r="M256" s="25" t="s">
        <v>44</v>
      </c>
      <c r="N256">
        <v>58</v>
      </c>
    </row>
    <row r="257" spans="1:14">
      <c r="A257" s="25" t="e">
        <f t="shared" si="23"/>
        <v>#REF!</v>
      </c>
      <c r="B257" s="67" t="s">
        <v>7</v>
      </c>
      <c r="C257" s="67" t="s">
        <v>454</v>
      </c>
      <c r="D257" s="67" t="s">
        <v>452</v>
      </c>
      <c r="E257" s="22">
        <f t="shared" ref="E257:E320" ca="1" si="24">TODAY()</f>
        <v>40951</v>
      </c>
      <c r="F257" s="11">
        <f>DATE(99,6,14)</f>
        <v>36325</v>
      </c>
      <c r="G257" s="12">
        <f t="shared" ref="G257:G320" ca="1" si="25">YEAR(E257)-YEAR(F257)</f>
        <v>13</v>
      </c>
      <c r="H257" s="12">
        <f t="shared" ref="H257:H320" ca="1" si="26">MONTH(E257)-MONTH(F257)</f>
        <v>-4</v>
      </c>
      <c r="I257" s="13">
        <f t="shared" ref="I257:I320" ca="1" si="27">DAY(E257)-DAY(F257)</f>
        <v>-2</v>
      </c>
      <c r="J257" s="14">
        <f t="shared" ref="J257:J320" ca="1" si="28">IF(H257&lt;0,G257-1,IF(H257&gt;0,G257,IF(I257&lt;0,G257-1,G257)))</f>
        <v>12</v>
      </c>
      <c r="K257" s="12" t="s">
        <v>41</v>
      </c>
      <c r="L257" s="15">
        <v>44</v>
      </c>
      <c r="M257" s="25" t="s">
        <v>44</v>
      </c>
      <c r="N257">
        <v>58</v>
      </c>
    </row>
    <row r="258" spans="1:14" ht="15.75" thickBot="1">
      <c r="A258" s="26" t="e">
        <f t="shared" ref="A258:A321" si="29">A257+1</f>
        <v>#REF!</v>
      </c>
      <c r="B258" s="68" t="s">
        <v>7</v>
      </c>
      <c r="C258" s="68" t="s">
        <v>455</v>
      </c>
      <c r="D258" s="68" t="s">
        <v>452</v>
      </c>
      <c r="E258" s="23">
        <f t="shared" ca="1" si="24"/>
        <v>40951</v>
      </c>
      <c r="F258" s="16">
        <f>DATE(2005,7,23)</f>
        <v>38556</v>
      </c>
      <c r="G258" s="17">
        <f t="shared" ca="1" si="25"/>
        <v>7</v>
      </c>
      <c r="H258" s="17">
        <f t="shared" ca="1" si="26"/>
        <v>-5</v>
      </c>
      <c r="I258" s="18">
        <f t="shared" ca="1" si="27"/>
        <v>-11</v>
      </c>
      <c r="J258" s="19">
        <f t="shared" ca="1" si="28"/>
        <v>6</v>
      </c>
      <c r="K258" s="17" t="s">
        <v>41</v>
      </c>
      <c r="L258" s="20">
        <v>44</v>
      </c>
      <c r="M258" s="26" t="s">
        <v>44</v>
      </c>
      <c r="N258">
        <v>58</v>
      </c>
    </row>
    <row r="259" spans="1:14">
      <c r="A259" s="24" t="e">
        <f t="shared" si="29"/>
        <v>#REF!</v>
      </c>
      <c r="B259" s="66" t="s">
        <v>7</v>
      </c>
      <c r="C259" s="66" t="s">
        <v>143</v>
      </c>
      <c r="D259" s="66" t="s">
        <v>449</v>
      </c>
      <c r="E259" s="21">
        <f t="shared" ca="1" si="24"/>
        <v>40951</v>
      </c>
      <c r="F259" s="6">
        <f>DATE(69,10,3)</f>
        <v>25479</v>
      </c>
      <c r="G259" s="7">
        <f t="shared" ca="1" si="25"/>
        <v>43</v>
      </c>
      <c r="H259" s="7">
        <f t="shared" ca="1" si="26"/>
        <v>-8</v>
      </c>
      <c r="I259" s="8">
        <f t="shared" ca="1" si="27"/>
        <v>9</v>
      </c>
      <c r="J259" s="9">
        <f t="shared" ca="1" si="28"/>
        <v>42</v>
      </c>
      <c r="K259" s="7" t="s">
        <v>41</v>
      </c>
      <c r="L259" s="10">
        <v>44</v>
      </c>
      <c r="M259" s="24" t="s">
        <v>44</v>
      </c>
      <c r="N259">
        <v>59</v>
      </c>
    </row>
    <row r="260" spans="1:14">
      <c r="A260" s="25" t="e">
        <f t="shared" si="29"/>
        <v>#REF!</v>
      </c>
      <c r="B260" s="67" t="s">
        <v>7</v>
      </c>
      <c r="C260" s="67" t="s">
        <v>456</v>
      </c>
      <c r="D260" s="67" t="s">
        <v>449</v>
      </c>
      <c r="E260" s="22">
        <f t="shared" ca="1" si="24"/>
        <v>40951</v>
      </c>
      <c r="F260" s="11">
        <f>DATE(71,5,26)</f>
        <v>26079</v>
      </c>
      <c r="G260" s="12">
        <f t="shared" ca="1" si="25"/>
        <v>41</v>
      </c>
      <c r="H260" s="12">
        <f t="shared" ca="1" si="26"/>
        <v>-3</v>
      </c>
      <c r="I260" s="13">
        <f t="shared" ca="1" si="27"/>
        <v>-14</v>
      </c>
      <c r="J260" s="14">
        <f t="shared" ca="1" si="28"/>
        <v>40</v>
      </c>
      <c r="K260" s="12" t="s">
        <v>41</v>
      </c>
      <c r="L260" s="15">
        <v>44</v>
      </c>
      <c r="M260" s="25" t="s">
        <v>44</v>
      </c>
      <c r="N260">
        <v>59</v>
      </c>
    </row>
    <row r="261" spans="1:14">
      <c r="A261" s="25" t="e">
        <f t="shared" si="29"/>
        <v>#REF!</v>
      </c>
      <c r="B261" s="67" t="s">
        <v>7</v>
      </c>
      <c r="C261" s="67" t="s">
        <v>113</v>
      </c>
      <c r="D261" s="67" t="s">
        <v>277</v>
      </c>
      <c r="E261" s="22">
        <f t="shared" ca="1" si="24"/>
        <v>40951</v>
      </c>
      <c r="F261" s="11">
        <f>DATE(66,1,16)</f>
        <v>24123</v>
      </c>
      <c r="G261" s="12">
        <f t="shared" ca="1" si="25"/>
        <v>46</v>
      </c>
      <c r="H261" s="12">
        <f t="shared" ca="1" si="26"/>
        <v>1</v>
      </c>
      <c r="I261" s="13">
        <f t="shared" ca="1" si="27"/>
        <v>-4</v>
      </c>
      <c r="J261" s="14">
        <f t="shared" ca="1" si="28"/>
        <v>46</v>
      </c>
      <c r="K261" s="12" t="s">
        <v>41</v>
      </c>
      <c r="L261" s="15">
        <v>44</v>
      </c>
      <c r="M261" s="25" t="s">
        <v>40</v>
      </c>
      <c r="N261">
        <v>59</v>
      </c>
    </row>
    <row r="262" spans="1:14" ht="15.75" thickBot="1">
      <c r="A262" s="26" t="e">
        <f t="shared" si="29"/>
        <v>#REF!</v>
      </c>
      <c r="B262" s="68" t="s">
        <v>7</v>
      </c>
      <c r="C262" s="68" t="s">
        <v>100</v>
      </c>
      <c r="D262" s="68" t="s">
        <v>277</v>
      </c>
      <c r="E262" s="23">
        <f t="shared" ca="1" si="24"/>
        <v>40951</v>
      </c>
      <c r="F262" s="16">
        <f>DATE(86,2,7)</f>
        <v>31450</v>
      </c>
      <c r="G262" s="17">
        <f t="shared" ca="1" si="25"/>
        <v>26</v>
      </c>
      <c r="H262" s="17">
        <f t="shared" ca="1" si="26"/>
        <v>0</v>
      </c>
      <c r="I262" s="18">
        <f t="shared" ca="1" si="27"/>
        <v>5</v>
      </c>
      <c r="J262" s="19">
        <f t="shared" ca="1" si="28"/>
        <v>26</v>
      </c>
      <c r="K262" s="17" t="s">
        <v>41</v>
      </c>
      <c r="L262" s="20">
        <v>44</v>
      </c>
      <c r="M262" s="26" t="s">
        <v>44</v>
      </c>
      <c r="N262">
        <v>59</v>
      </c>
    </row>
    <row r="263" spans="1:14">
      <c r="A263" s="24" t="e">
        <f t="shared" si="29"/>
        <v>#REF!</v>
      </c>
      <c r="B263" s="66" t="s">
        <v>7</v>
      </c>
      <c r="C263" s="66" t="s">
        <v>458</v>
      </c>
      <c r="D263" s="66" t="s">
        <v>277</v>
      </c>
      <c r="E263" s="21">
        <f t="shared" ca="1" si="24"/>
        <v>40951</v>
      </c>
      <c r="F263" s="6">
        <f>DATE(87,9,12)</f>
        <v>32032</v>
      </c>
      <c r="G263" s="7">
        <f t="shared" ca="1" si="25"/>
        <v>25</v>
      </c>
      <c r="H263" s="7">
        <f t="shared" ca="1" si="26"/>
        <v>-7</v>
      </c>
      <c r="I263" s="8">
        <f t="shared" ca="1" si="27"/>
        <v>0</v>
      </c>
      <c r="J263" s="9">
        <f t="shared" ca="1" si="28"/>
        <v>24</v>
      </c>
      <c r="K263" s="7" t="s">
        <v>41</v>
      </c>
      <c r="L263" s="10">
        <v>44</v>
      </c>
      <c r="M263" s="24" t="s">
        <v>44</v>
      </c>
      <c r="N263">
        <v>60</v>
      </c>
    </row>
    <row r="264" spans="1:14">
      <c r="A264" s="25" t="e">
        <f t="shared" si="29"/>
        <v>#REF!</v>
      </c>
      <c r="B264" s="67" t="s">
        <v>7</v>
      </c>
      <c r="C264" s="67" t="s">
        <v>170</v>
      </c>
      <c r="D264" s="67" t="s">
        <v>208</v>
      </c>
      <c r="E264" s="22">
        <f t="shared" ca="1" si="24"/>
        <v>40951</v>
      </c>
      <c r="F264" s="11">
        <f>DATE(72,8,6)</f>
        <v>26517</v>
      </c>
      <c r="G264" s="12">
        <f t="shared" ca="1" si="25"/>
        <v>40</v>
      </c>
      <c r="H264" s="12">
        <f t="shared" ca="1" si="26"/>
        <v>-6</v>
      </c>
      <c r="I264" s="13">
        <f t="shared" ca="1" si="27"/>
        <v>6</v>
      </c>
      <c r="J264" s="14">
        <f t="shared" ca="1" si="28"/>
        <v>39</v>
      </c>
      <c r="K264" s="12" t="s">
        <v>41</v>
      </c>
      <c r="L264" s="15">
        <v>45</v>
      </c>
      <c r="M264" s="25" t="s">
        <v>40</v>
      </c>
      <c r="N264">
        <v>60</v>
      </c>
    </row>
    <row r="265" spans="1:14">
      <c r="A265" s="25" t="e">
        <f t="shared" si="29"/>
        <v>#REF!</v>
      </c>
      <c r="B265" s="67" t="s">
        <v>7</v>
      </c>
      <c r="C265" s="67" t="s">
        <v>461</v>
      </c>
      <c r="D265" s="67" t="s">
        <v>443</v>
      </c>
      <c r="E265" s="22">
        <f t="shared" ca="1" si="24"/>
        <v>40951</v>
      </c>
      <c r="F265" s="32"/>
      <c r="G265" s="12">
        <f t="shared" ca="1" si="25"/>
        <v>112</v>
      </c>
      <c r="H265" s="12">
        <f t="shared" ca="1" si="26"/>
        <v>1</v>
      </c>
      <c r="I265" s="13">
        <f t="shared" ca="1" si="27"/>
        <v>12</v>
      </c>
      <c r="J265" s="14">
        <f t="shared" ca="1" si="28"/>
        <v>112</v>
      </c>
      <c r="K265" s="12" t="s">
        <v>41</v>
      </c>
      <c r="L265" s="15">
        <v>45</v>
      </c>
      <c r="M265" s="25" t="s">
        <v>40</v>
      </c>
      <c r="N265">
        <v>60</v>
      </c>
    </row>
    <row r="266" spans="1:14">
      <c r="A266" s="25" t="e">
        <f t="shared" si="29"/>
        <v>#REF!</v>
      </c>
      <c r="B266" s="67" t="s">
        <v>7</v>
      </c>
      <c r="C266" s="67" t="s">
        <v>462</v>
      </c>
      <c r="D266" s="67" t="s">
        <v>49</v>
      </c>
      <c r="E266" s="22">
        <f t="shared" ca="1" si="24"/>
        <v>40951</v>
      </c>
      <c r="F266" s="11">
        <f>DATE(63,3,31)</f>
        <v>23101</v>
      </c>
      <c r="G266" s="12">
        <f t="shared" ca="1" si="25"/>
        <v>49</v>
      </c>
      <c r="H266" s="12">
        <f t="shared" ca="1" si="26"/>
        <v>-1</v>
      </c>
      <c r="I266" s="13">
        <f t="shared" ca="1" si="27"/>
        <v>-19</v>
      </c>
      <c r="J266" s="14">
        <f t="shared" ca="1" si="28"/>
        <v>48</v>
      </c>
      <c r="K266" s="12" t="s">
        <v>41</v>
      </c>
      <c r="L266" s="15">
        <v>45</v>
      </c>
      <c r="M266" s="25" t="s">
        <v>40</v>
      </c>
      <c r="N266">
        <v>60</v>
      </c>
    </row>
    <row r="267" spans="1:14">
      <c r="A267" s="25" t="e">
        <f t="shared" si="29"/>
        <v>#REF!</v>
      </c>
      <c r="B267" s="67" t="s">
        <v>7</v>
      </c>
      <c r="C267" s="67" t="s">
        <v>385</v>
      </c>
      <c r="D267" s="67" t="s">
        <v>49</v>
      </c>
      <c r="E267" s="22">
        <f t="shared" ca="1" si="24"/>
        <v>40951</v>
      </c>
      <c r="F267" s="11">
        <f>DATE(88,4,22)</f>
        <v>32255</v>
      </c>
      <c r="G267" s="12">
        <f t="shared" ca="1" si="25"/>
        <v>24</v>
      </c>
      <c r="H267" s="12">
        <f t="shared" ca="1" si="26"/>
        <v>-2</v>
      </c>
      <c r="I267" s="13">
        <f t="shared" ca="1" si="27"/>
        <v>-10</v>
      </c>
      <c r="J267" s="14">
        <f t="shared" ca="1" si="28"/>
        <v>23</v>
      </c>
      <c r="K267" s="12" t="s">
        <v>41</v>
      </c>
      <c r="L267" s="15">
        <v>45</v>
      </c>
      <c r="M267" s="25" t="s">
        <v>44</v>
      </c>
      <c r="N267">
        <v>60</v>
      </c>
    </row>
    <row r="268" spans="1:14">
      <c r="A268" s="25" t="e">
        <f t="shared" si="29"/>
        <v>#REF!</v>
      </c>
      <c r="B268" s="67" t="s">
        <v>7</v>
      </c>
      <c r="C268" s="67" t="s">
        <v>464</v>
      </c>
      <c r="D268" s="67" t="s">
        <v>463</v>
      </c>
      <c r="E268" s="22">
        <f t="shared" ca="1" si="24"/>
        <v>40951</v>
      </c>
      <c r="F268" s="11">
        <f>DATE(66,7,17)</f>
        <v>24305</v>
      </c>
      <c r="G268" s="12">
        <f t="shared" ca="1" si="25"/>
        <v>46</v>
      </c>
      <c r="H268" s="12">
        <f t="shared" ca="1" si="26"/>
        <v>-5</v>
      </c>
      <c r="I268" s="13">
        <f t="shared" ca="1" si="27"/>
        <v>-5</v>
      </c>
      <c r="J268" s="14">
        <f t="shared" ca="1" si="28"/>
        <v>45</v>
      </c>
      <c r="K268" s="12" t="s">
        <v>41</v>
      </c>
      <c r="L268" s="15">
        <v>45</v>
      </c>
      <c r="M268" s="25" t="s">
        <v>40</v>
      </c>
      <c r="N268">
        <v>60</v>
      </c>
    </row>
    <row r="269" spans="1:14" ht="15.75" thickBot="1">
      <c r="A269" s="26" t="e">
        <f t="shared" si="29"/>
        <v>#REF!</v>
      </c>
      <c r="B269" s="68" t="s">
        <v>7</v>
      </c>
      <c r="C269" s="68" t="s">
        <v>81</v>
      </c>
      <c r="D269" s="68" t="s">
        <v>465</v>
      </c>
      <c r="E269" s="23">
        <f t="shared" ca="1" si="24"/>
        <v>40951</v>
      </c>
      <c r="F269" s="16">
        <f>DATE(66,10,16)</f>
        <v>24396</v>
      </c>
      <c r="G269" s="17">
        <f t="shared" ca="1" si="25"/>
        <v>46</v>
      </c>
      <c r="H269" s="17">
        <f t="shared" ca="1" si="26"/>
        <v>-8</v>
      </c>
      <c r="I269" s="18">
        <f t="shared" ca="1" si="27"/>
        <v>-4</v>
      </c>
      <c r="J269" s="19">
        <f t="shared" ca="1" si="28"/>
        <v>45</v>
      </c>
      <c r="K269" s="17" t="s">
        <v>41</v>
      </c>
      <c r="L269" s="20">
        <v>45</v>
      </c>
      <c r="M269" s="26" t="s">
        <v>40</v>
      </c>
      <c r="N269">
        <v>60</v>
      </c>
    </row>
    <row r="270" spans="1:14">
      <c r="A270" s="24" t="e">
        <f t="shared" si="29"/>
        <v>#REF!</v>
      </c>
      <c r="B270" s="66" t="s">
        <v>7</v>
      </c>
      <c r="C270" s="66" t="s">
        <v>74</v>
      </c>
      <c r="D270" s="66" t="s">
        <v>465</v>
      </c>
      <c r="E270" s="21">
        <f t="shared" ca="1" si="24"/>
        <v>40951</v>
      </c>
      <c r="F270" s="78">
        <f>DATE(89,10,16)</f>
        <v>32797</v>
      </c>
      <c r="G270" s="7">
        <f t="shared" ca="1" si="25"/>
        <v>23</v>
      </c>
      <c r="H270" s="7">
        <f t="shared" ca="1" si="26"/>
        <v>-8</v>
      </c>
      <c r="I270" s="8">
        <f t="shared" ca="1" si="27"/>
        <v>-4</v>
      </c>
      <c r="J270" s="9">
        <f t="shared" ca="1" si="28"/>
        <v>22</v>
      </c>
      <c r="K270" s="7" t="s">
        <v>41</v>
      </c>
      <c r="L270" s="10">
        <v>45</v>
      </c>
      <c r="M270" s="24" t="s">
        <v>44</v>
      </c>
      <c r="N270">
        <v>61</v>
      </c>
    </row>
    <row r="271" spans="1:14">
      <c r="A271" s="25" t="e">
        <f t="shared" si="29"/>
        <v>#REF!</v>
      </c>
      <c r="B271" s="67" t="s">
        <v>7</v>
      </c>
      <c r="C271" s="67" t="s">
        <v>361</v>
      </c>
      <c r="D271" s="67" t="s">
        <v>465</v>
      </c>
      <c r="E271" s="22">
        <f t="shared" ca="1" si="24"/>
        <v>40951</v>
      </c>
      <c r="F271" s="11">
        <f>DATE(92,5,26)</f>
        <v>33750</v>
      </c>
      <c r="G271" s="12">
        <f t="shared" ca="1" si="25"/>
        <v>20</v>
      </c>
      <c r="H271" s="12">
        <f t="shared" ca="1" si="26"/>
        <v>-3</v>
      </c>
      <c r="I271" s="13">
        <f t="shared" ca="1" si="27"/>
        <v>-14</v>
      </c>
      <c r="J271" s="14">
        <f t="shared" ca="1" si="28"/>
        <v>19</v>
      </c>
      <c r="K271" s="12" t="s">
        <v>41</v>
      </c>
      <c r="L271" s="15">
        <v>45</v>
      </c>
      <c r="M271" s="25" t="s">
        <v>44</v>
      </c>
      <c r="N271">
        <v>61</v>
      </c>
    </row>
    <row r="272" spans="1:14">
      <c r="A272" s="25" t="e">
        <f t="shared" si="29"/>
        <v>#REF!</v>
      </c>
      <c r="B272" s="67" t="s">
        <v>7</v>
      </c>
      <c r="C272" s="67" t="s">
        <v>364</v>
      </c>
      <c r="D272" s="67" t="s">
        <v>348</v>
      </c>
      <c r="E272" s="22">
        <f t="shared" ca="1" si="24"/>
        <v>40951</v>
      </c>
      <c r="F272" s="11">
        <f>DATE(66,10,12)</f>
        <v>24392</v>
      </c>
      <c r="G272" s="12">
        <f t="shared" ca="1" si="25"/>
        <v>46</v>
      </c>
      <c r="H272" s="12">
        <f t="shared" ca="1" si="26"/>
        <v>-8</v>
      </c>
      <c r="I272" s="13">
        <f t="shared" ca="1" si="27"/>
        <v>0</v>
      </c>
      <c r="J272" s="14">
        <f t="shared" ca="1" si="28"/>
        <v>45</v>
      </c>
      <c r="K272" s="12" t="s">
        <v>41</v>
      </c>
      <c r="L272" s="15">
        <v>46</v>
      </c>
      <c r="M272" s="25" t="s">
        <v>40</v>
      </c>
      <c r="N272">
        <v>61</v>
      </c>
    </row>
    <row r="273" spans="1:14" ht="15.75" thickBot="1">
      <c r="A273" s="26" t="e">
        <f t="shared" si="29"/>
        <v>#REF!</v>
      </c>
      <c r="B273" s="68" t="s">
        <v>7</v>
      </c>
      <c r="C273" s="68" t="s">
        <v>468</v>
      </c>
      <c r="D273" s="68" t="s">
        <v>467</v>
      </c>
      <c r="E273" s="23">
        <f t="shared" ca="1" si="24"/>
        <v>40951</v>
      </c>
      <c r="F273" s="16">
        <f>DATE(85,7,27)</f>
        <v>31255</v>
      </c>
      <c r="G273" s="17">
        <f t="shared" ca="1" si="25"/>
        <v>27</v>
      </c>
      <c r="H273" s="17">
        <f t="shared" ca="1" si="26"/>
        <v>-5</v>
      </c>
      <c r="I273" s="18">
        <f t="shared" ca="1" si="27"/>
        <v>-15</v>
      </c>
      <c r="J273" s="19">
        <f t="shared" ca="1" si="28"/>
        <v>26</v>
      </c>
      <c r="K273" s="17" t="s">
        <v>41</v>
      </c>
      <c r="L273" s="20">
        <v>46</v>
      </c>
      <c r="M273" s="26" t="s">
        <v>44</v>
      </c>
      <c r="N273">
        <v>61</v>
      </c>
    </row>
    <row r="274" spans="1:14">
      <c r="A274" s="24" t="e">
        <f t="shared" si="29"/>
        <v>#REF!</v>
      </c>
      <c r="B274" s="66" t="s">
        <v>7</v>
      </c>
      <c r="C274" s="66" t="s">
        <v>470</v>
      </c>
      <c r="D274" s="66" t="s">
        <v>463</v>
      </c>
      <c r="E274" s="21">
        <f t="shared" ca="1" si="24"/>
        <v>40951</v>
      </c>
      <c r="F274" s="6">
        <f>DATE(61,7,7)</f>
        <v>22469</v>
      </c>
      <c r="G274" s="7">
        <f t="shared" ca="1" si="25"/>
        <v>51</v>
      </c>
      <c r="H274" s="7">
        <f t="shared" ca="1" si="26"/>
        <v>-5</v>
      </c>
      <c r="I274" s="8">
        <f t="shared" ca="1" si="27"/>
        <v>5</v>
      </c>
      <c r="J274" s="9">
        <f t="shared" ca="1" si="28"/>
        <v>50</v>
      </c>
      <c r="K274" s="7" t="s">
        <v>41</v>
      </c>
      <c r="L274" s="10">
        <v>46</v>
      </c>
      <c r="M274" s="24" t="s">
        <v>40</v>
      </c>
      <c r="N274">
        <v>62</v>
      </c>
    </row>
    <row r="275" spans="1:14">
      <c r="A275" s="25" t="e">
        <f t="shared" si="29"/>
        <v>#REF!</v>
      </c>
      <c r="B275" s="67" t="s">
        <v>7</v>
      </c>
      <c r="C275" s="67" t="s">
        <v>471</v>
      </c>
      <c r="D275" s="67" t="s">
        <v>463</v>
      </c>
      <c r="E275" s="22">
        <f t="shared" ca="1" si="24"/>
        <v>40951</v>
      </c>
      <c r="F275" s="11">
        <f>DATE(86,9,28)</f>
        <v>31683</v>
      </c>
      <c r="G275" s="12">
        <f t="shared" ca="1" si="25"/>
        <v>26</v>
      </c>
      <c r="H275" s="12">
        <f t="shared" ca="1" si="26"/>
        <v>-7</v>
      </c>
      <c r="I275" s="13">
        <f t="shared" ca="1" si="27"/>
        <v>-16</v>
      </c>
      <c r="J275" s="14">
        <f t="shared" ca="1" si="28"/>
        <v>25</v>
      </c>
      <c r="K275" s="12" t="s">
        <v>41</v>
      </c>
      <c r="L275" s="15">
        <v>46</v>
      </c>
      <c r="M275" s="25" t="s">
        <v>44</v>
      </c>
      <c r="N275">
        <v>62</v>
      </c>
    </row>
    <row r="276" spans="1:14">
      <c r="A276" s="25" t="e">
        <f t="shared" si="29"/>
        <v>#REF!</v>
      </c>
      <c r="B276" s="67" t="s">
        <v>7</v>
      </c>
      <c r="C276" s="67" t="s">
        <v>302</v>
      </c>
      <c r="D276" s="67" t="s">
        <v>473</v>
      </c>
      <c r="E276" s="22">
        <f t="shared" ca="1" si="24"/>
        <v>40951</v>
      </c>
      <c r="F276" s="11">
        <f>DATE(70,8,24)</f>
        <v>25804</v>
      </c>
      <c r="G276" s="12">
        <f t="shared" ca="1" si="25"/>
        <v>42</v>
      </c>
      <c r="H276" s="12">
        <f t="shared" ca="1" si="26"/>
        <v>-6</v>
      </c>
      <c r="I276" s="13">
        <f t="shared" ca="1" si="27"/>
        <v>-12</v>
      </c>
      <c r="J276" s="14">
        <f t="shared" ca="1" si="28"/>
        <v>41</v>
      </c>
      <c r="K276" s="12" t="s">
        <v>41</v>
      </c>
      <c r="L276" s="15">
        <v>47</v>
      </c>
      <c r="M276" s="25" t="s">
        <v>40</v>
      </c>
      <c r="N276">
        <v>62</v>
      </c>
    </row>
    <row r="277" spans="1:14">
      <c r="A277" s="25" t="e">
        <f t="shared" si="29"/>
        <v>#REF!</v>
      </c>
      <c r="B277" s="67" t="s">
        <v>7</v>
      </c>
      <c r="C277" s="67" t="s">
        <v>474</v>
      </c>
      <c r="D277" s="67" t="s">
        <v>473</v>
      </c>
      <c r="E277" s="22">
        <f t="shared" ca="1" si="24"/>
        <v>40951</v>
      </c>
      <c r="F277" s="11">
        <f>DATE(2002,6,24)</f>
        <v>37431</v>
      </c>
      <c r="G277" s="12">
        <f t="shared" ca="1" si="25"/>
        <v>10</v>
      </c>
      <c r="H277" s="12">
        <f t="shared" ca="1" si="26"/>
        <v>-4</v>
      </c>
      <c r="I277" s="13">
        <f t="shared" ca="1" si="27"/>
        <v>-12</v>
      </c>
      <c r="J277" s="14">
        <f t="shared" ca="1" si="28"/>
        <v>9</v>
      </c>
      <c r="K277" s="12" t="s">
        <v>41</v>
      </c>
      <c r="L277" s="15">
        <v>47</v>
      </c>
      <c r="M277" s="25" t="s">
        <v>44</v>
      </c>
      <c r="N277">
        <v>62</v>
      </c>
    </row>
    <row r="278" spans="1:14" ht="15.75" thickBot="1">
      <c r="A278" s="26" t="e">
        <f t="shared" si="29"/>
        <v>#REF!</v>
      </c>
      <c r="B278" s="68" t="s">
        <v>7</v>
      </c>
      <c r="C278" s="68" t="s">
        <v>364</v>
      </c>
      <c r="D278" s="68" t="s">
        <v>475</v>
      </c>
      <c r="E278" s="23">
        <f t="shared" ca="1" si="24"/>
        <v>40951</v>
      </c>
      <c r="F278" s="16">
        <f>DATE(68,6,4)</f>
        <v>24993</v>
      </c>
      <c r="G278" s="17">
        <f t="shared" ca="1" si="25"/>
        <v>44</v>
      </c>
      <c r="H278" s="17">
        <f t="shared" ca="1" si="26"/>
        <v>-4</v>
      </c>
      <c r="I278" s="18">
        <f t="shared" ca="1" si="27"/>
        <v>8</v>
      </c>
      <c r="J278" s="19">
        <f t="shared" ca="1" si="28"/>
        <v>43</v>
      </c>
      <c r="K278" s="17" t="s">
        <v>41</v>
      </c>
      <c r="L278" s="20">
        <v>47</v>
      </c>
      <c r="M278" s="26" t="s">
        <v>40</v>
      </c>
      <c r="N278">
        <v>62</v>
      </c>
    </row>
    <row r="279" spans="1:14">
      <c r="A279" s="24" t="e">
        <f t="shared" si="29"/>
        <v>#REF!</v>
      </c>
      <c r="B279" s="66" t="s">
        <v>7</v>
      </c>
      <c r="C279" s="66" t="s">
        <v>476</v>
      </c>
      <c r="D279" s="66" t="s">
        <v>475</v>
      </c>
      <c r="E279" s="21">
        <f t="shared" ca="1" si="24"/>
        <v>40951</v>
      </c>
      <c r="F279" s="6">
        <f>DATE(91,10,1)</f>
        <v>33512</v>
      </c>
      <c r="G279" s="7">
        <f t="shared" ca="1" si="25"/>
        <v>21</v>
      </c>
      <c r="H279" s="7">
        <f t="shared" ca="1" si="26"/>
        <v>-8</v>
      </c>
      <c r="I279" s="8">
        <f t="shared" ca="1" si="27"/>
        <v>11</v>
      </c>
      <c r="J279" s="9">
        <f t="shared" ca="1" si="28"/>
        <v>20</v>
      </c>
      <c r="K279" s="7" t="s">
        <v>41</v>
      </c>
      <c r="L279" s="10">
        <v>47</v>
      </c>
      <c r="M279" s="24" t="s">
        <v>44</v>
      </c>
      <c r="N279">
        <v>63</v>
      </c>
    </row>
    <row r="280" spans="1:14" ht="15.75" thickBot="1">
      <c r="A280" s="26" t="e">
        <f t="shared" si="29"/>
        <v>#REF!</v>
      </c>
      <c r="B280" s="68" t="s">
        <v>7</v>
      </c>
      <c r="C280" s="68" t="s">
        <v>477</v>
      </c>
      <c r="D280" s="68" t="s">
        <v>475</v>
      </c>
      <c r="E280" s="23">
        <f t="shared" ca="1" si="24"/>
        <v>40951</v>
      </c>
      <c r="F280" s="16">
        <f>DATE(92,9,28)</f>
        <v>33875</v>
      </c>
      <c r="G280" s="17">
        <f t="shared" ca="1" si="25"/>
        <v>20</v>
      </c>
      <c r="H280" s="17">
        <f t="shared" ca="1" si="26"/>
        <v>-7</v>
      </c>
      <c r="I280" s="18">
        <f t="shared" ca="1" si="27"/>
        <v>-16</v>
      </c>
      <c r="J280" s="19">
        <f t="shared" ca="1" si="28"/>
        <v>19</v>
      </c>
      <c r="K280" s="17" t="s">
        <v>41</v>
      </c>
      <c r="L280" s="20">
        <v>47</v>
      </c>
      <c r="M280" s="26" t="s">
        <v>44</v>
      </c>
      <c r="N280">
        <v>63</v>
      </c>
    </row>
    <row r="281" spans="1:14">
      <c r="A281" s="24" t="e">
        <f t="shared" si="29"/>
        <v>#REF!</v>
      </c>
      <c r="B281" s="66" t="s">
        <v>7</v>
      </c>
      <c r="C281" s="66" t="s">
        <v>480</v>
      </c>
      <c r="D281" s="66" t="s">
        <v>94</v>
      </c>
      <c r="E281" s="21">
        <f t="shared" ca="1" si="24"/>
        <v>40951</v>
      </c>
      <c r="F281" s="6">
        <f>DATE(22,12,9)</f>
        <v>8379</v>
      </c>
      <c r="G281" s="7">
        <f t="shared" ca="1" si="25"/>
        <v>90</v>
      </c>
      <c r="H281" s="7">
        <f t="shared" ca="1" si="26"/>
        <v>-10</v>
      </c>
      <c r="I281" s="8">
        <f t="shared" ca="1" si="27"/>
        <v>3</v>
      </c>
      <c r="J281" s="9">
        <f t="shared" ca="1" si="28"/>
        <v>89</v>
      </c>
      <c r="K281" s="7" t="s">
        <v>41</v>
      </c>
      <c r="L281" s="10">
        <v>47</v>
      </c>
      <c r="M281" s="24" t="s">
        <v>40</v>
      </c>
      <c r="N281">
        <v>64</v>
      </c>
    </row>
    <row r="282" spans="1:14">
      <c r="A282" s="25" t="e">
        <f t="shared" si="29"/>
        <v>#REF!</v>
      </c>
      <c r="B282" s="67" t="s">
        <v>7</v>
      </c>
      <c r="C282" s="67" t="s">
        <v>482</v>
      </c>
      <c r="D282" s="67" t="s">
        <v>483</v>
      </c>
      <c r="E282" s="22">
        <f t="shared" ca="1" si="24"/>
        <v>40951</v>
      </c>
      <c r="F282" s="11">
        <f>DATE(59,3,28)</f>
        <v>21637</v>
      </c>
      <c r="G282" s="12">
        <f t="shared" ca="1" si="25"/>
        <v>53</v>
      </c>
      <c r="H282" s="12">
        <f t="shared" ca="1" si="26"/>
        <v>-1</v>
      </c>
      <c r="I282" s="13">
        <f t="shared" ca="1" si="27"/>
        <v>-16</v>
      </c>
      <c r="J282" s="14">
        <f t="shared" ca="1" si="28"/>
        <v>52</v>
      </c>
      <c r="K282" s="12" t="s">
        <v>41</v>
      </c>
      <c r="L282" s="15">
        <v>47</v>
      </c>
      <c r="M282" s="25" t="s">
        <v>40</v>
      </c>
      <c r="N282">
        <v>64</v>
      </c>
    </row>
    <row r="283" spans="1:14">
      <c r="A283" s="25" t="e">
        <f t="shared" si="29"/>
        <v>#REF!</v>
      </c>
      <c r="B283" s="67" t="s">
        <v>7</v>
      </c>
      <c r="C283" s="67" t="s">
        <v>78</v>
      </c>
      <c r="D283" s="67" t="s">
        <v>485</v>
      </c>
      <c r="E283" s="22">
        <f t="shared" ca="1" si="24"/>
        <v>40951</v>
      </c>
      <c r="F283" s="11">
        <f>DATE(54,9,3)</f>
        <v>19970</v>
      </c>
      <c r="G283" s="12">
        <f t="shared" ca="1" si="25"/>
        <v>58</v>
      </c>
      <c r="H283" s="12">
        <f t="shared" ca="1" si="26"/>
        <v>-7</v>
      </c>
      <c r="I283" s="13">
        <f t="shared" ca="1" si="27"/>
        <v>9</v>
      </c>
      <c r="J283" s="14">
        <f t="shared" ca="1" si="28"/>
        <v>57</v>
      </c>
      <c r="K283" s="12" t="s">
        <v>41</v>
      </c>
      <c r="L283" s="15">
        <v>48</v>
      </c>
      <c r="M283" s="25" t="s">
        <v>40</v>
      </c>
      <c r="N283">
        <v>64</v>
      </c>
    </row>
    <row r="284" spans="1:14">
      <c r="A284" s="25" t="e">
        <f t="shared" si="29"/>
        <v>#REF!</v>
      </c>
      <c r="B284" s="67" t="s">
        <v>7</v>
      </c>
      <c r="C284" s="67" t="s">
        <v>487</v>
      </c>
      <c r="D284" s="67" t="s">
        <v>486</v>
      </c>
      <c r="E284" s="22">
        <f t="shared" ca="1" si="24"/>
        <v>40951</v>
      </c>
      <c r="F284" s="11">
        <f>DATE(79,5,20)</f>
        <v>28995</v>
      </c>
      <c r="G284" s="12">
        <f t="shared" ca="1" si="25"/>
        <v>33</v>
      </c>
      <c r="H284" s="12">
        <f t="shared" ca="1" si="26"/>
        <v>-3</v>
      </c>
      <c r="I284" s="13">
        <f t="shared" ca="1" si="27"/>
        <v>-8</v>
      </c>
      <c r="J284" s="14">
        <f t="shared" ca="1" si="28"/>
        <v>32</v>
      </c>
      <c r="K284" s="12" t="s">
        <v>41</v>
      </c>
      <c r="L284" s="15">
        <v>48</v>
      </c>
      <c r="M284" s="25" t="s">
        <v>40</v>
      </c>
      <c r="N284">
        <v>64</v>
      </c>
    </row>
    <row r="285" spans="1:14" ht="15.75" thickBot="1">
      <c r="A285" s="26" t="e">
        <f t="shared" si="29"/>
        <v>#REF!</v>
      </c>
      <c r="B285" s="68" t="s">
        <v>7</v>
      </c>
      <c r="C285" s="68" t="s">
        <v>156</v>
      </c>
      <c r="D285" s="68" t="s">
        <v>486</v>
      </c>
      <c r="E285" s="23">
        <f t="shared" ca="1" si="24"/>
        <v>40951</v>
      </c>
      <c r="F285" s="16">
        <f>DATE(2003,12,16)</f>
        <v>37971</v>
      </c>
      <c r="G285" s="17">
        <f t="shared" ca="1" si="25"/>
        <v>9</v>
      </c>
      <c r="H285" s="17">
        <f t="shared" ca="1" si="26"/>
        <v>-10</v>
      </c>
      <c r="I285" s="18">
        <f t="shared" ca="1" si="27"/>
        <v>-4</v>
      </c>
      <c r="J285" s="19">
        <f t="shared" ca="1" si="28"/>
        <v>8</v>
      </c>
      <c r="K285" s="17" t="s">
        <v>41</v>
      </c>
      <c r="L285" s="20">
        <v>48</v>
      </c>
      <c r="M285" s="26" t="s">
        <v>44</v>
      </c>
      <c r="N285">
        <v>64</v>
      </c>
    </row>
    <row r="286" spans="1:14">
      <c r="A286" s="24" t="e">
        <f t="shared" si="29"/>
        <v>#REF!</v>
      </c>
      <c r="B286" s="66" t="s">
        <v>7</v>
      </c>
      <c r="C286" s="66" t="s">
        <v>488</v>
      </c>
      <c r="D286" s="66" t="s">
        <v>239</v>
      </c>
      <c r="E286" s="21">
        <f t="shared" ca="1" si="24"/>
        <v>40951</v>
      </c>
      <c r="F286" s="6">
        <f>DATE(80,11,1)</f>
        <v>29526</v>
      </c>
      <c r="G286" s="7">
        <f t="shared" ca="1" si="25"/>
        <v>32</v>
      </c>
      <c r="H286" s="7">
        <f t="shared" ca="1" si="26"/>
        <v>-9</v>
      </c>
      <c r="I286" s="8">
        <f t="shared" ca="1" si="27"/>
        <v>11</v>
      </c>
      <c r="J286" s="9">
        <f t="shared" ca="1" si="28"/>
        <v>31</v>
      </c>
      <c r="K286" s="7" t="s">
        <v>41</v>
      </c>
      <c r="L286" s="10">
        <v>48</v>
      </c>
      <c r="M286" s="24" t="s">
        <v>40</v>
      </c>
      <c r="N286">
        <v>65</v>
      </c>
    </row>
    <row r="287" spans="1:14">
      <c r="A287" s="25" t="e">
        <f t="shared" si="29"/>
        <v>#REF!</v>
      </c>
      <c r="B287" s="67" t="s">
        <v>7</v>
      </c>
      <c r="C287" s="67" t="s">
        <v>491</v>
      </c>
      <c r="D287" s="67" t="s">
        <v>489</v>
      </c>
      <c r="E287" s="22">
        <f t="shared" ca="1" si="24"/>
        <v>40951</v>
      </c>
      <c r="F287" s="11">
        <f>DATE(78,7,5)</f>
        <v>28676</v>
      </c>
      <c r="G287" s="12">
        <f t="shared" ca="1" si="25"/>
        <v>34</v>
      </c>
      <c r="H287" s="12">
        <f t="shared" ca="1" si="26"/>
        <v>-5</v>
      </c>
      <c r="I287" s="13">
        <f t="shared" ca="1" si="27"/>
        <v>7</v>
      </c>
      <c r="J287" s="14">
        <f t="shared" ca="1" si="28"/>
        <v>33</v>
      </c>
      <c r="K287" s="12" t="s">
        <v>41</v>
      </c>
      <c r="L287" s="15">
        <v>48</v>
      </c>
      <c r="M287" s="25" t="s">
        <v>40</v>
      </c>
      <c r="N287">
        <v>65</v>
      </c>
    </row>
    <row r="288" spans="1:14">
      <c r="A288" s="25" t="e">
        <f t="shared" si="29"/>
        <v>#REF!</v>
      </c>
      <c r="B288" s="67" t="s">
        <v>7</v>
      </c>
      <c r="C288" s="67" t="s">
        <v>156</v>
      </c>
      <c r="D288" s="67" t="s">
        <v>489</v>
      </c>
      <c r="E288" s="22">
        <f t="shared" ca="1" si="24"/>
        <v>40951</v>
      </c>
      <c r="F288" s="11">
        <f>DATE(2000,8,1)</f>
        <v>36739</v>
      </c>
      <c r="G288" s="12">
        <f t="shared" ca="1" si="25"/>
        <v>12</v>
      </c>
      <c r="H288" s="12">
        <f t="shared" ca="1" si="26"/>
        <v>-6</v>
      </c>
      <c r="I288" s="13">
        <f t="shared" ca="1" si="27"/>
        <v>11</v>
      </c>
      <c r="J288" s="14">
        <f t="shared" ca="1" si="28"/>
        <v>11</v>
      </c>
      <c r="K288" s="12" t="s">
        <v>41</v>
      </c>
      <c r="L288" s="15">
        <v>48</v>
      </c>
      <c r="M288" s="25" t="s">
        <v>44</v>
      </c>
      <c r="N288">
        <v>65</v>
      </c>
    </row>
    <row r="289" spans="1:14">
      <c r="A289" s="25" t="e">
        <f t="shared" si="29"/>
        <v>#REF!</v>
      </c>
      <c r="B289" s="67" t="s">
        <v>7</v>
      </c>
      <c r="C289" s="67" t="s">
        <v>494</v>
      </c>
      <c r="D289" s="67" t="s">
        <v>493</v>
      </c>
      <c r="E289" s="22">
        <f t="shared" ca="1" si="24"/>
        <v>40951</v>
      </c>
      <c r="F289" s="11">
        <f>DATE(81,3,25)</f>
        <v>29670</v>
      </c>
      <c r="G289" s="12">
        <f t="shared" ca="1" si="25"/>
        <v>31</v>
      </c>
      <c r="H289" s="12">
        <f t="shared" ca="1" si="26"/>
        <v>-1</v>
      </c>
      <c r="I289" s="13">
        <f t="shared" ca="1" si="27"/>
        <v>-13</v>
      </c>
      <c r="J289" s="14">
        <f t="shared" ca="1" si="28"/>
        <v>30</v>
      </c>
      <c r="K289" s="12" t="s">
        <v>41</v>
      </c>
      <c r="L289" s="15">
        <v>48</v>
      </c>
      <c r="M289" s="25" t="s">
        <v>40</v>
      </c>
      <c r="N289">
        <v>65</v>
      </c>
    </row>
    <row r="290" spans="1:14" ht="15.75" thickBot="1">
      <c r="A290" s="26" t="e">
        <f t="shared" si="29"/>
        <v>#REF!</v>
      </c>
      <c r="B290" s="68" t="s">
        <v>7</v>
      </c>
      <c r="C290" s="68" t="s">
        <v>361</v>
      </c>
      <c r="D290" s="68" t="s">
        <v>498</v>
      </c>
      <c r="E290" s="23">
        <f t="shared" ca="1" si="24"/>
        <v>40951</v>
      </c>
      <c r="F290" s="16">
        <f>DATE(65,12,12)</f>
        <v>24088</v>
      </c>
      <c r="G290" s="17">
        <f t="shared" ca="1" si="25"/>
        <v>47</v>
      </c>
      <c r="H290" s="17">
        <f t="shared" ca="1" si="26"/>
        <v>-10</v>
      </c>
      <c r="I290" s="18">
        <f t="shared" ca="1" si="27"/>
        <v>0</v>
      </c>
      <c r="J290" s="19">
        <f t="shared" ca="1" si="28"/>
        <v>46</v>
      </c>
      <c r="K290" s="17" t="s">
        <v>41</v>
      </c>
      <c r="L290" s="20">
        <v>49</v>
      </c>
      <c r="M290" s="26" t="s">
        <v>40</v>
      </c>
      <c r="N290">
        <v>65</v>
      </c>
    </row>
    <row r="291" spans="1:14">
      <c r="A291" s="24" t="e">
        <f t="shared" si="29"/>
        <v>#REF!</v>
      </c>
      <c r="B291" s="66" t="s">
        <v>7</v>
      </c>
      <c r="C291" s="66" t="s">
        <v>499</v>
      </c>
      <c r="D291" s="66" t="s">
        <v>316</v>
      </c>
      <c r="E291" s="21">
        <f t="shared" ca="1" si="24"/>
        <v>40951</v>
      </c>
      <c r="F291" s="45"/>
      <c r="G291" s="7">
        <f t="shared" ca="1" si="25"/>
        <v>112</v>
      </c>
      <c r="H291" s="7">
        <f t="shared" ca="1" si="26"/>
        <v>1</v>
      </c>
      <c r="I291" s="8">
        <f t="shared" ca="1" si="27"/>
        <v>12</v>
      </c>
      <c r="J291" s="9">
        <f t="shared" ca="1" si="28"/>
        <v>112</v>
      </c>
      <c r="K291" s="7" t="s">
        <v>41</v>
      </c>
      <c r="L291" s="10">
        <v>49</v>
      </c>
      <c r="M291" s="24" t="s">
        <v>40</v>
      </c>
      <c r="N291">
        <v>66</v>
      </c>
    </row>
    <row r="292" spans="1:14">
      <c r="A292" s="25" t="e">
        <f t="shared" si="29"/>
        <v>#REF!</v>
      </c>
      <c r="B292" s="67" t="s">
        <v>7</v>
      </c>
      <c r="C292" s="67" t="s">
        <v>503</v>
      </c>
      <c r="D292" s="67" t="s">
        <v>435</v>
      </c>
      <c r="E292" s="22">
        <f t="shared" ca="1" si="24"/>
        <v>40951</v>
      </c>
      <c r="F292" s="32"/>
      <c r="G292" s="12">
        <f t="shared" ca="1" si="25"/>
        <v>112</v>
      </c>
      <c r="H292" s="12">
        <f t="shared" ca="1" si="26"/>
        <v>1</v>
      </c>
      <c r="I292" s="13">
        <f t="shared" ca="1" si="27"/>
        <v>12</v>
      </c>
      <c r="J292" s="14">
        <f t="shared" ca="1" si="28"/>
        <v>112</v>
      </c>
      <c r="K292" s="12" t="s">
        <v>41</v>
      </c>
      <c r="L292" s="15">
        <v>49</v>
      </c>
      <c r="M292" s="25" t="s">
        <v>40</v>
      </c>
      <c r="N292">
        <v>66</v>
      </c>
    </row>
    <row r="293" spans="1:14" ht="15.75" thickBot="1">
      <c r="A293" s="26" t="e">
        <f t="shared" si="29"/>
        <v>#REF!</v>
      </c>
      <c r="B293" s="68" t="s">
        <v>7</v>
      </c>
      <c r="C293" s="68" t="s">
        <v>488</v>
      </c>
      <c r="D293" s="68" t="s">
        <v>505</v>
      </c>
      <c r="E293" s="23">
        <f t="shared" ca="1" si="24"/>
        <v>40951</v>
      </c>
      <c r="F293" s="16">
        <f>DATE(66,9,6)</f>
        <v>24356</v>
      </c>
      <c r="G293" s="17">
        <f t="shared" ca="1" si="25"/>
        <v>46</v>
      </c>
      <c r="H293" s="17">
        <f t="shared" ca="1" si="26"/>
        <v>-7</v>
      </c>
      <c r="I293" s="18">
        <f t="shared" ca="1" si="27"/>
        <v>6</v>
      </c>
      <c r="J293" s="19">
        <f t="shared" ca="1" si="28"/>
        <v>45</v>
      </c>
      <c r="K293" s="17" t="s">
        <v>41</v>
      </c>
      <c r="L293" s="20">
        <v>49</v>
      </c>
      <c r="M293" s="26" t="s">
        <v>40</v>
      </c>
      <c r="N293">
        <v>66</v>
      </c>
    </row>
    <row r="294" spans="1:14">
      <c r="A294" s="24" t="e">
        <f t="shared" si="29"/>
        <v>#REF!</v>
      </c>
      <c r="B294" s="66" t="s">
        <v>7</v>
      </c>
      <c r="C294" s="66" t="s">
        <v>359</v>
      </c>
      <c r="D294" s="66" t="s">
        <v>507</v>
      </c>
      <c r="E294" s="21">
        <f t="shared" ca="1" si="24"/>
        <v>40951</v>
      </c>
      <c r="F294" s="6">
        <f>DATE(64,6,17)</f>
        <v>23545</v>
      </c>
      <c r="G294" s="7">
        <f t="shared" ca="1" si="25"/>
        <v>48</v>
      </c>
      <c r="H294" s="7">
        <f t="shared" ca="1" si="26"/>
        <v>-4</v>
      </c>
      <c r="I294" s="8">
        <f t="shared" ca="1" si="27"/>
        <v>-5</v>
      </c>
      <c r="J294" s="9">
        <f t="shared" ca="1" si="28"/>
        <v>47</v>
      </c>
      <c r="K294" s="7" t="s">
        <v>41</v>
      </c>
      <c r="L294" s="10">
        <v>49</v>
      </c>
      <c r="M294" s="24" t="s">
        <v>40</v>
      </c>
      <c r="N294">
        <v>67</v>
      </c>
    </row>
    <row r="295" spans="1:14">
      <c r="A295" s="25" t="e">
        <f t="shared" si="29"/>
        <v>#REF!</v>
      </c>
      <c r="B295" s="67" t="s">
        <v>7</v>
      </c>
      <c r="C295" s="67" t="s">
        <v>508</v>
      </c>
      <c r="D295" s="67" t="s">
        <v>507</v>
      </c>
      <c r="E295" s="22">
        <f t="shared" ca="1" si="24"/>
        <v>40951</v>
      </c>
      <c r="F295" s="11">
        <f>DATE(85,9,23)</f>
        <v>31313</v>
      </c>
      <c r="G295" s="12">
        <f t="shared" ca="1" si="25"/>
        <v>27</v>
      </c>
      <c r="H295" s="12">
        <f t="shared" ca="1" si="26"/>
        <v>-7</v>
      </c>
      <c r="I295" s="13">
        <f t="shared" ca="1" si="27"/>
        <v>-11</v>
      </c>
      <c r="J295" s="14">
        <f t="shared" ca="1" si="28"/>
        <v>26</v>
      </c>
      <c r="K295" s="12" t="s">
        <v>41</v>
      </c>
      <c r="L295" s="15">
        <v>49</v>
      </c>
      <c r="M295" s="25" t="s">
        <v>44</v>
      </c>
      <c r="N295">
        <v>67</v>
      </c>
    </row>
    <row r="296" spans="1:14" ht="15.75" thickBot="1">
      <c r="A296" s="26" t="e">
        <f t="shared" si="29"/>
        <v>#REF!</v>
      </c>
      <c r="B296" s="68" t="s">
        <v>7</v>
      </c>
      <c r="C296" s="68" t="s">
        <v>324</v>
      </c>
      <c r="D296" s="68" t="s">
        <v>507</v>
      </c>
      <c r="E296" s="23">
        <f t="shared" ca="1" si="24"/>
        <v>40951</v>
      </c>
      <c r="F296" s="16">
        <f>DATE(92,10,30)</f>
        <v>33907</v>
      </c>
      <c r="G296" s="17">
        <f t="shared" ca="1" si="25"/>
        <v>20</v>
      </c>
      <c r="H296" s="17">
        <f t="shared" ca="1" si="26"/>
        <v>-8</v>
      </c>
      <c r="I296" s="18">
        <f t="shared" ca="1" si="27"/>
        <v>-18</v>
      </c>
      <c r="J296" s="19">
        <f t="shared" ca="1" si="28"/>
        <v>19</v>
      </c>
      <c r="K296" s="17" t="s">
        <v>41</v>
      </c>
      <c r="L296" s="20">
        <v>49</v>
      </c>
      <c r="M296" s="26" t="s">
        <v>44</v>
      </c>
      <c r="N296">
        <v>67</v>
      </c>
    </row>
    <row r="297" spans="1:14">
      <c r="A297" s="24" t="e">
        <f t="shared" si="29"/>
        <v>#REF!</v>
      </c>
      <c r="B297" s="66" t="s">
        <v>7</v>
      </c>
      <c r="C297" s="66" t="s">
        <v>511</v>
      </c>
      <c r="D297" s="66" t="s">
        <v>509</v>
      </c>
      <c r="E297" s="21">
        <f t="shared" ca="1" si="24"/>
        <v>40951</v>
      </c>
      <c r="F297" s="6">
        <f>DATE(57,6,10)</f>
        <v>20981</v>
      </c>
      <c r="G297" s="7">
        <f t="shared" ca="1" si="25"/>
        <v>55</v>
      </c>
      <c r="H297" s="7">
        <f t="shared" ca="1" si="26"/>
        <v>-4</v>
      </c>
      <c r="I297" s="8">
        <f t="shared" ca="1" si="27"/>
        <v>2</v>
      </c>
      <c r="J297" s="9">
        <f t="shared" ca="1" si="28"/>
        <v>54</v>
      </c>
      <c r="K297" s="7" t="s">
        <v>41</v>
      </c>
      <c r="L297" s="10">
        <v>50</v>
      </c>
      <c r="M297" s="24" t="s">
        <v>40</v>
      </c>
      <c r="N297">
        <v>68</v>
      </c>
    </row>
    <row r="298" spans="1:14">
      <c r="A298" s="25" t="e">
        <f t="shared" si="29"/>
        <v>#REF!</v>
      </c>
      <c r="B298" s="67" t="s">
        <v>7</v>
      </c>
      <c r="C298" s="67" t="s">
        <v>513</v>
      </c>
      <c r="D298" s="67" t="s">
        <v>512</v>
      </c>
      <c r="E298" s="22">
        <f t="shared" ca="1" si="24"/>
        <v>40951</v>
      </c>
      <c r="F298" s="11">
        <f>DATE(76,1,19)</f>
        <v>27778</v>
      </c>
      <c r="G298" s="12">
        <f t="shared" ca="1" si="25"/>
        <v>36</v>
      </c>
      <c r="H298" s="12">
        <f t="shared" ca="1" si="26"/>
        <v>1</v>
      </c>
      <c r="I298" s="13">
        <f t="shared" ca="1" si="27"/>
        <v>-7</v>
      </c>
      <c r="J298" s="14">
        <f t="shared" ca="1" si="28"/>
        <v>36</v>
      </c>
      <c r="K298" s="12" t="s">
        <v>41</v>
      </c>
      <c r="L298" s="15">
        <v>50</v>
      </c>
      <c r="M298" s="25" t="s">
        <v>40</v>
      </c>
      <c r="N298">
        <v>68</v>
      </c>
    </row>
    <row r="299" spans="1:14">
      <c r="A299" s="25" t="e">
        <f t="shared" si="29"/>
        <v>#REF!</v>
      </c>
      <c r="B299" s="67" t="s">
        <v>7</v>
      </c>
      <c r="C299" s="67" t="s">
        <v>514</v>
      </c>
      <c r="D299" s="67" t="s">
        <v>512</v>
      </c>
      <c r="E299" s="22">
        <f t="shared" ca="1" si="24"/>
        <v>40951</v>
      </c>
      <c r="F299" s="11">
        <f>DATE(2004,11,5)</f>
        <v>38296</v>
      </c>
      <c r="G299" s="12">
        <f t="shared" ca="1" si="25"/>
        <v>8</v>
      </c>
      <c r="H299" s="12">
        <f t="shared" ca="1" si="26"/>
        <v>-9</v>
      </c>
      <c r="I299" s="13">
        <f t="shared" ca="1" si="27"/>
        <v>7</v>
      </c>
      <c r="J299" s="14">
        <f t="shared" ca="1" si="28"/>
        <v>7</v>
      </c>
      <c r="K299" s="12" t="s">
        <v>41</v>
      </c>
      <c r="L299" s="15">
        <v>50</v>
      </c>
      <c r="M299" s="25" t="s">
        <v>44</v>
      </c>
      <c r="N299">
        <v>68</v>
      </c>
    </row>
    <row r="300" spans="1:14" ht="15.75" thickBot="1">
      <c r="A300" s="26" t="e">
        <f t="shared" si="29"/>
        <v>#REF!</v>
      </c>
      <c r="B300" s="68" t="s">
        <v>7</v>
      </c>
      <c r="C300" s="68" t="s">
        <v>163</v>
      </c>
      <c r="D300" s="68" t="s">
        <v>509</v>
      </c>
      <c r="E300" s="23">
        <f t="shared" ca="1" si="24"/>
        <v>40951</v>
      </c>
      <c r="F300" s="16">
        <f>DATE(81,5,9)</f>
        <v>29715</v>
      </c>
      <c r="G300" s="17">
        <f t="shared" ca="1" si="25"/>
        <v>31</v>
      </c>
      <c r="H300" s="17">
        <f t="shared" ca="1" si="26"/>
        <v>-3</v>
      </c>
      <c r="I300" s="18">
        <f t="shared" ca="1" si="27"/>
        <v>3</v>
      </c>
      <c r="J300" s="19">
        <f t="shared" ca="1" si="28"/>
        <v>30</v>
      </c>
      <c r="K300" s="17" t="s">
        <v>41</v>
      </c>
      <c r="L300" s="20">
        <v>50</v>
      </c>
      <c r="M300" s="26" t="s">
        <v>44</v>
      </c>
      <c r="N300">
        <v>68</v>
      </c>
    </row>
    <row r="301" spans="1:14">
      <c r="A301" s="24" t="e">
        <f t="shared" si="29"/>
        <v>#REF!</v>
      </c>
      <c r="B301" s="66" t="s">
        <v>7</v>
      </c>
      <c r="C301" s="66" t="s">
        <v>515</v>
      </c>
      <c r="D301" s="66" t="s">
        <v>509</v>
      </c>
      <c r="E301" s="21">
        <f t="shared" ca="1" si="24"/>
        <v>40951</v>
      </c>
      <c r="F301" s="6">
        <f>DATE(85,4,1)</f>
        <v>31138</v>
      </c>
      <c r="G301" s="7">
        <f t="shared" ca="1" si="25"/>
        <v>27</v>
      </c>
      <c r="H301" s="7">
        <f t="shared" ca="1" si="26"/>
        <v>-2</v>
      </c>
      <c r="I301" s="8">
        <f t="shared" ca="1" si="27"/>
        <v>11</v>
      </c>
      <c r="J301" s="9">
        <f t="shared" ca="1" si="28"/>
        <v>26</v>
      </c>
      <c r="K301" s="7" t="s">
        <v>41</v>
      </c>
      <c r="L301" s="10">
        <v>50</v>
      </c>
      <c r="M301" s="24" t="s">
        <v>44</v>
      </c>
      <c r="N301">
        <v>69</v>
      </c>
    </row>
    <row r="302" spans="1:14">
      <c r="A302" s="25" t="e">
        <f t="shared" si="29"/>
        <v>#REF!</v>
      </c>
      <c r="B302" s="67" t="s">
        <v>7</v>
      </c>
      <c r="C302" s="67" t="s">
        <v>487</v>
      </c>
      <c r="D302" s="67" t="s">
        <v>516</v>
      </c>
      <c r="E302" s="22">
        <f t="shared" ca="1" si="24"/>
        <v>40951</v>
      </c>
      <c r="F302" s="11">
        <f>DATE(75,10,23)</f>
        <v>27690</v>
      </c>
      <c r="G302" s="12">
        <f t="shared" ca="1" si="25"/>
        <v>37</v>
      </c>
      <c r="H302" s="12">
        <f t="shared" ca="1" si="26"/>
        <v>-8</v>
      </c>
      <c r="I302" s="13">
        <f t="shared" ca="1" si="27"/>
        <v>-11</v>
      </c>
      <c r="J302" s="14">
        <f t="shared" ca="1" si="28"/>
        <v>36</v>
      </c>
      <c r="K302" s="12" t="s">
        <v>41</v>
      </c>
      <c r="L302" s="15">
        <v>50</v>
      </c>
      <c r="M302" s="25" t="s">
        <v>40</v>
      </c>
      <c r="N302">
        <v>69</v>
      </c>
    </row>
    <row r="303" spans="1:14" ht="15.75" thickBot="1">
      <c r="A303" s="26" t="e">
        <f t="shared" si="29"/>
        <v>#REF!</v>
      </c>
      <c r="B303" s="68" t="s">
        <v>7</v>
      </c>
      <c r="C303" s="68" t="s">
        <v>318</v>
      </c>
      <c r="D303" s="68" t="s">
        <v>519</v>
      </c>
      <c r="E303" s="23">
        <f t="shared" ca="1" si="24"/>
        <v>40951</v>
      </c>
      <c r="F303" s="33"/>
      <c r="G303" s="17">
        <f t="shared" ca="1" si="25"/>
        <v>112</v>
      </c>
      <c r="H303" s="17">
        <f t="shared" ca="1" si="26"/>
        <v>1</v>
      </c>
      <c r="I303" s="18">
        <f t="shared" ca="1" si="27"/>
        <v>12</v>
      </c>
      <c r="J303" s="19">
        <f t="shared" ca="1" si="28"/>
        <v>112</v>
      </c>
      <c r="K303" s="17" t="s">
        <v>41</v>
      </c>
      <c r="L303" s="20">
        <v>50</v>
      </c>
      <c r="M303" s="26" t="s">
        <v>40</v>
      </c>
      <c r="N303">
        <v>69</v>
      </c>
    </row>
    <row r="304" spans="1:14">
      <c r="A304" s="24" t="e">
        <f t="shared" si="29"/>
        <v>#REF!</v>
      </c>
      <c r="B304" s="66" t="s">
        <v>8</v>
      </c>
      <c r="C304" s="66" t="s">
        <v>73</v>
      </c>
      <c r="D304" s="66" t="s">
        <v>162</v>
      </c>
      <c r="E304" s="21">
        <f t="shared" ca="1" si="24"/>
        <v>40951</v>
      </c>
      <c r="F304" s="6">
        <f>DATE(59,5,5)</f>
        <v>21675</v>
      </c>
      <c r="G304" s="7">
        <f t="shared" ca="1" si="25"/>
        <v>53</v>
      </c>
      <c r="H304" s="7">
        <f t="shared" ca="1" si="26"/>
        <v>-3</v>
      </c>
      <c r="I304" s="8">
        <f t="shared" ca="1" si="27"/>
        <v>7</v>
      </c>
      <c r="J304" s="9">
        <f t="shared" ca="1" si="28"/>
        <v>52</v>
      </c>
      <c r="K304" s="7" t="s">
        <v>41</v>
      </c>
      <c r="L304" s="10">
        <v>51</v>
      </c>
      <c r="M304" s="24" t="s">
        <v>40</v>
      </c>
      <c r="N304">
        <v>70</v>
      </c>
    </row>
    <row r="305" spans="1:14">
      <c r="A305" s="25" t="e">
        <f t="shared" si="29"/>
        <v>#REF!</v>
      </c>
      <c r="B305" s="67" t="s">
        <v>8</v>
      </c>
      <c r="C305" s="67" t="s">
        <v>520</v>
      </c>
      <c r="D305" s="67" t="s">
        <v>162</v>
      </c>
      <c r="E305" s="22">
        <f t="shared" ca="1" si="24"/>
        <v>40951</v>
      </c>
      <c r="F305" s="11">
        <f>DATE(86,12,17)</f>
        <v>31763</v>
      </c>
      <c r="G305" s="12">
        <f t="shared" ca="1" si="25"/>
        <v>26</v>
      </c>
      <c r="H305" s="12">
        <f t="shared" ca="1" si="26"/>
        <v>-10</v>
      </c>
      <c r="I305" s="13">
        <f t="shared" ca="1" si="27"/>
        <v>-5</v>
      </c>
      <c r="J305" s="14">
        <f t="shared" ca="1" si="28"/>
        <v>25</v>
      </c>
      <c r="K305" s="12" t="s">
        <v>41</v>
      </c>
      <c r="L305" s="15">
        <v>51</v>
      </c>
      <c r="M305" s="25" t="s">
        <v>44</v>
      </c>
      <c r="N305">
        <v>70</v>
      </c>
    </row>
    <row r="306" spans="1:14">
      <c r="A306" s="25" t="e">
        <f t="shared" si="29"/>
        <v>#REF!</v>
      </c>
      <c r="B306" s="67" t="s">
        <v>8</v>
      </c>
      <c r="C306" s="67" t="s">
        <v>523</v>
      </c>
      <c r="D306" s="67" t="s">
        <v>521</v>
      </c>
      <c r="E306" s="22">
        <f t="shared" ca="1" si="24"/>
        <v>40951</v>
      </c>
      <c r="F306" s="11">
        <f>DATE(48,4,10)</f>
        <v>17633</v>
      </c>
      <c r="G306" s="12">
        <f t="shared" ca="1" si="25"/>
        <v>64</v>
      </c>
      <c r="H306" s="12">
        <f t="shared" ca="1" si="26"/>
        <v>-2</v>
      </c>
      <c r="I306" s="13">
        <f t="shared" ca="1" si="27"/>
        <v>2</v>
      </c>
      <c r="J306" s="14">
        <f t="shared" ca="1" si="28"/>
        <v>63</v>
      </c>
      <c r="K306" s="12" t="s">
        <v>41</v>
      </c>
      <c r="L306" s="15">
        <v>51</v>
      </c>
      <c r="M306" s="25" t="s">
        <v>40</v>
      </c>
      <c r="N306">
        <v>70</v>
      </c>
    </row>
    <row r="307" spans="1:14">
      <c r="A307" s="25" t="e">
        <f t="shared" si="29"/>
        <v>#REF!</v>
      </c>
      <c r="B307" s="67" t="s">
        <v>8</v>
      </c>
      <c r="C307" s="67" t="s">
        <v>150</v>
      </c>
      <c r="D307" s="67" t="s">
        <v>521</v>
      </c>
      <c r="E307" s="22">
        <f t="shared" ca="1" si="24"/>
        <v>40951</v>
      </c>
      <c r="F307" s="11">
        <f>DATE(71,8,27)</f>
        <v>26172</v>
      </c>
      <c r="G307" s="12">
        <f t="shared" ca="1" si="25"/>
        <v>41</v>
      </c>
      <c r="H307" s="12">
        <f t="shared" ca="1" si="26"/>
        <v>-6</v>
      </c>
      <c r="I307" s="13">
        <f t="shared" ca="1" si="27"/>
        <v>-15</v>
      </c>
      <c r="J307" s="14">
        <f t="shared" ca="1" si="28"/>
        <v>40</v>
      </c>
      <c r="K307" s="12" t="s">
        <v>41</v>
      </c>
      <c r="L307" s="15">
        <v>51</v>
      </c>
      <c r="M307" s="25" t="s">
        <v>40</v>
      </c>
      <c r="N307">
        <v>70</v>
      </c>
    </row>
    <row r="308" spans="1:14" ht="15.75" thickBot="1">
      <c r="A308" s="26" t="e">
        <f t="shared" si="29"/>
        <v>#REF!</v>
      </c>
      <c r="B308" s="68" t="s">
        <v>8</v>
      </c>
      <c r="C308" s="68" t="s">
        <v>340</v>
      </c>
      <c r="D308" s="68" t="s">
        <v>446</v>
      </c>
      <c r="E308" s="23">
        <f t="shared" ca="1" si="24"/>
        <v>40951</v>
      </c>
      <c r="F308" s="16">
        <f>DATE(96,10,28)</f>
        <v>35366</v>
      </c>
      <c r="G308" s="17">
        <f t="shared" ca="1" si="25"/>
        <v>16</v>
      </c>
      <c r="H308" s="17">
        <f t="shared" ca="1" si="26"/>
        <v>-8</v>
      </c>
      <c r="I308" s="18">
        <f t="shared" ca="1" si="27"/>
        <v>-16</v>
      </c>
      <c r="J308" s="19">
        <f t="shared" ca="1" si="28"/>
        <v>15</v>
      </c>
      <c r="K308" s="17" t="s">
        <v>41</v>
      </c>
      <c r="L308" s="20">
        <v>51</v>
      </c>
      <c r="M308" s="26" t="s">
        <v>44</v>
      </c>
      <c r="N308">
        <v>70</v>
      </c>
    </row>
    <row r="309" spans="1:14">
      <c r="A309" s="24" t="e">
        <f t="shared" si="29"/>
        <v>#REF!</v>
      </c>
      <c r="B309" s="66" t="s">
        <v>8</v>
      </c>
      <c r="C309" s="66" t="s">
        <v>524</v>
      </c>
      <c r="D309" s="66" t="s">
        <v>446</v>
      </c>
      <c r="E309" s="21">
        <f t="shared" ca="1" si="24"/>
        <v>40951</v>
      </c>
      <c r="F309" s="6">
        <f>DATE(2001,10,29)</f>
        <v>37193</v>
      </c>
      <c r="G309" s="7">
        <f t="shared" ca="1" si="25"/>
        <v>11</v>
      </c>
      <c r="H309" s="7">
        <f t="shared" ca="1" si="26"/>
        <v>-8</v>
      </c>
      <c r="I309" s="8">
        <f t="shared" ca="1" si="27"/>
        <v>-17</v>
      </c>
      <c r="J309" s="9">
        <f t="shared" ca="1" si="28"/>
        <v>10</v>
      </c>
      <c r="K309" s="7" t="s">
        <v>41</v>
      </c>
      <c r="L309" s="10">
        <v>51</v>
      </c>
      <c r="M309" s="24" t="s">
        <v>44</v>
      </c>
      <c r="N309">
        <v>71</v>
      </c>
    </row>
    <row r="310" spans="1:14">
      <c r="A310" s="25" t="e">
        <f t="shared" si="29"/>
        <v>#REF!</v>
      </c>
      <c r="B310" s="67" t="s">
        <v>8</v>
      </c>
      <c r="C310" s="67" t="s">
        <v>525</v>
      </c>
      <c r="D310" s="67" t="s">
        <v>521</v>
      </c>
      <c r="E310" s="22">
        <f t="shared" ca="1" si="24"/>
        <v>40951</v>
      </c>
      <c r="F310" s="11">
        <f>DATE(64,4,9)</f>
        <v>23476</v>
      </c>
      <c r="G310" s="12">
        <f t="shared" ca="1" si="25"/>
        <v>48</v>
      </c>
      <c r="H310" s="12">
        <f t="shared" ca="1" si="26"/>
        <v>-2</v>
      </c>
      <c r="I310" s="13">
        <f t="shared" ca="1" si="27"/>
        <v>3</v>
      </c>
      <c r="J310" s="14">
        <f t="shared" ca="1" si="28"/>
        <v>47</v>
      </c>
      <c r="K310" s="12" t="s">
        <v>41</v>
      </c>
      <c r="L310" s="15">
        <v>51</v>
      </c>
      <c r="M310" s="25" t="s">
        <v>40</v>
      </c>
      <c r="N310">
        <v>71</v>
      </c>
    </row>
    <row r="311" spans="1:14">
      <c r="A311" s="25" t="e">
        <f t="shared" si="29"/>
        <v>#REF!</v>
      </c>
      <c r="B311" s="67" t="s">
        <v>8</v>
      </c>
      <c r="C311" s="67" t="s">
        <v>178</v>
      </c>
      <c r="D311" s="67" t="s">
        <v>326</v>
      </c>
      <c r="E311" s="22">
        <f t="shared" ca="1" si="24"/>
        <v>40951</v>
      </c>
      <c r="F311" s="11">
        <f>DATE(63,9,16)</f>
        <v>23270</v>
      </c>
      <c r="G311" s="12">
        <f t="shared" ca="1" si="25"/>
        <v>49</v>
      </c>
      <c r="H311" s="12">
        <f t="shared" ca="1" si="26"/>
        <v>-7</v>
      </c>
      <c r="I311" s="13">
        <f t="shared" ca="1" si="27"/>
        <v>-4</v>
      </c>
      <c r="J311" s="14">
        <f t="shared" ca="1" si="28"/>
        <v>48</v>
      </c>
      <c r="K311" s="12" t="s">
        <v>41</v>
      </c>
      <c r="L311" s="15">
        <v>52</v>
      </c>
      <c r="M311" s="25" t="s">
        <v>40</v>
      </c>
      <c r="N311">
        <v>71</v>
      </c>
    </row>
    <row r="312" spans="1:14">
      <c r="A312" s="25" t="e">
        <f t="shared" si="29"/>
        <v>#REF!</v>
      </c>
      <c r="B312" s="67" t="s">
        <v>8</v>
      </c>
      <c r="C312" s="67" t="s">
        <v>87</v>
      </c>
      <c r="D312" s="67" t="s">
        <v>315</v>
      </c>
      <c r="E312" s="22">
        <f t="shared" ca="1" si="24"/>
        <v>40951</v>
      </c>
      <c r="F312" s="11">
        <f>DATE(50,1,17)</f>
        <v>18280</v>
      </c>
      <c r="G312" s="12">
        <f t="shared" ca="1" si="25"/>
        <v>62</v>
      </c>
      <c r="H312" s="12">
        <f t="shared" ca="1" si="26"/>
        <v>1</v>
      </c>
      <c r="I312" s="13">
        <f t="shared" ca="1" si="27"/>
        <v>-5</v>
      </c>
      <c r="J312" s="14">
        <f t="shared" ca="1" si="28"/>
        <v>62</v>
      </c>
      <c r="K312" s="12" t="s">
        <v>41</v>
      </c>
      <c r="L312" s="15">
        <v>52</v>
      </c>
      <c r="M312" s="25" t="s">
        <v>40</v>
      </c>
      <c r="N312">
        <v>71</v>
      </c>
    </row>
    <row r="313" spans="1:14">
      <c r="A313" s="25" t="e">
        <f t="shared" si="29"/>
        <v>#REF!</v>
      </c>
      <c r="B313" s="67" t="s">
        <v>8</v>
      </c>
      <c r="C313" s="67" t="s">
        <v>530</v>
      </c>
      <c r="D313" s="67" t="s">
        <v>529</v>
      </c>
      <c r="E313" s="22">
        <f t="shared" ca="1" si="24"/>
        <v>40951</v>
      </c>
      <c r="F313" s="11">
        <f>DATE(79,2,11)</f>
        <v>28897</v>
      </c>
      <c r="G313" s="12">
        <f t="shared" ca="1" si="25"/>
        <v>33</v>
      </c>
      <c r="H313" s="12">
        <f t="shared" ca="1" si="26"/>
        <v>0</v>
      </c>
      <c r="I313" s="13">
        <f t="shared" ca="1" si="27"/>
        <v>1</v>
      </c>
      <c r="J313" s="14">
        <f t="shared" ca="1" si="28"/>
        <v>33</v>
      </c>
      <c r="K313" s="12" t="s">
        <v>41</v>
      </c>
      <c r="L313" s="15">
        <v>52</v>
      </c>
      <c r="M313" s="25" t="s">
        <v>40</v>
      </c>
      <c r="N313">
        <v>71</v>
      </c>
    </row>
    <row r="314" spans="1:14" ht="15.75" thickBot="1">
      <c r="A314" s="26" t="e">
        <f t="shared" si="29"/>
        <v>#REF!</v>
      </c>
      <c r="B314" s="68" t="s">
        <v>8</v>
      </c>
      <c r="C314" s="68" t="s">
        <v>194</v>
      </c>
      <c r="D314" s="68" t="s">
        <v>315</v>
      </c>
      <c r="E314" s="23">
        <f t="shared" ca="1" si="24"/>
        <v>40951</v>
      </c>
      <c r="F314" s="16">
        <f>DATE(67,5,30)</f>
        <v>24622</v>
      </c>
      <c r="G314" s="17">
        <f t="shared" ca="1" si="25"/>
        <v>45</v>
      </c>
      <c r="H314" s="17">
        <f t="shared" ca="1" si="26"/>
        <v>-3</v>
      </c>
      <c r="I314" s="18">
        <f t="shared" ca="1" si="27"/>
        <v>-18</v>
      </c>
      <c r="J314" s="19">
        <f t="shared" ca="1" si="28"/>
        <v>44</v>
      </c>
      <c r="K314" s="17" t="s">
        <v>41</v>
      </c>
      <c r="L314" s="20">
        <v>52</v>
      </c>
      <c r="M314" s="26" t="s">
        <v>40</v>
      </c>
      <c r="N314">
        <v>71</v>
      </c>
    </row>
    <row r="315" spans="1:14">
      <c r="A315" s="24" t="e">
        <f t="shared" si="29"/>
        <v>#REF!</v>
      </c>
      <c r="B315" s="66" t="s">
        <v>8</v>
      </c>
      <c r="C315" s="66" t="s">
        <v>533</v>
      </c>
      <c r="D315" s="66" t="s">
        <v>315</v>
      </c>
      <c r="E315" s="21">
        <f t="shared" ca="1" si="24"/>
        <v>40951</v>
      </c>
      <c r="F315" s="6">
        <f>DATE(89,4,24)</f>
        <v>32622</v>
      </c>
      <c r="G315" s="7">
        <f t="shared" ca="1" si="25"/>
        <v>23</v>
      </c>
      <c r="H315" s="7">
        <f t="shared" ca="1" si="26"/>
        <v>-2</v>
      </c>
      <c r="I315" s="8">
        <f t="shared" ca="1" si="27"/>
        <v>-12</v>
      </c>
      <c r="J315" s="9">
        <f t="shared" ca="1" si="28"/>
        <v>22</v>
      </c>
      <c r="K315" s="7" t="s">
        <v>41</v>
      </c>
      <c r="L315" s="10">
        <v>52</v>
      </c>
      <c r="M315" s="24" t="s">
        <v>44</v>
      </c>
      <c r="N315">
        <v>72</v>
      </c>
    </row>
    <row r="316" spans="1:14">
      <c r="A316" s="25" t="e">
        <f t="shared" si="29"/>
        <v>#REF!</v>
      </c>
      <c r="B316" s="67" t="s">
        <v>8</v>
      </c>
      <c r="C316" s="67" t="s">
        <v>532</v>
      </c>
      <c r="D316" s="67" t="s">
        <v>77</v>
      </c>
      <c r="E316" s="22">
        <f t="shared" ca="1" si="24"/>
        <v>40951</v>
      </c>
      <c r="F316" s="32"/>
      <c r="G316" s="12">
        <f t="shared" ca="1" si="25"/>
        <v>112</v>
      </c>
      <c r="H316" s="12">
        <f t="shared" ca="1" si="26"/>
        <v>1</v>
      </c>
      <c r="I316" s="13">
        <f t="shared" ca="1" si="27"/>
        <v>12</v>
      </c>
      <c r="J316" s="14">
        <f t="shared" ca="1" si="28"/>
        <v>112</v>
      </c>
      <c r="K316" s="12" t="s">
        <v>41</v>
      </c>
      <c r="L316" s="15">
        <v>53</v>
      </c>
      <c r="M316" s="25" t="s">
        <v>40</v>
      </c>
      <c r="N316">
        <v>72</v>
      </c>
    </row>
    <row r="317" spans="1:14" ht="15.75" thickBot="1">
      <c r="A317" s="26" t="e">
        <f t="shared" si="29"/>
        <v>#REF!</v>
      </c>
      <c r="B317" s="68" t="s">
        <v>8</v>
      </c>
      <c r="C317" s="68" t="s">
        <v>68</v>
      </c>
      <c r="D317" s="68" t="s">
        <v>315</v>
      </c>
      <c r="E317" s="23">
        <f t="shared" ca="1" si="24"/>
        <v>40951</v>
      </c>
      <c r="F317" s="16">
        <f>DATE(94,5,19)</f>
        <v>34473</v>
      </c>
      <c r="G317" s="17">
        <f t="shared" ca="1" si="25"/>
        <v>18</v>
      </c>
      <c r="H317" s="17">
        <f t="shared" ca="1" si="26"/>
        <v>-3</v>
      </c>
      <c r="I317" s="18">
        <f t="shared" ca="1" si="27"/>
        <v>-7</v>
      </c>
      <c r="J317" s="19">
        <f t="shared" ca="1" si="28"/>
        <v>17</v>
      </c>
      <c r="K317" s="17" t="s">
        <v>41</v>
      </c>
      <c r="L317" s="20">
        <v>53</v>
      </c>
      <c r="M317" s="26" t="s">
        <v>40</v>
      </c>
      <c r="N317">
        <v>72</v>
      </c>
    </row>
    <row r="318" spans="1:14">
      <c r="A318" s="24" t="e">
        <f t="shared" si="29"/>
        <v>#REF!</v>
      </c>
      <c r="B318" s="66" t="s">
        <v>8</v>
      </c>
      <c r="C318" s="66" t="s">
        <v>535</v>
      </c>
      <c r="D318" s="66" t="s">
        <v>534</v>
      </c>
      <c r="E318" s="21">
        <f t="shared" ca="1" si="24"/>
        <v>40951</v>
      </c>
      <c r="F318" s="6">
        <f>DATE(81,4,25)</f>
        <v>29701</v>
      </c>
      <c r="G318" s="7">
        <f t="shared" ca="1" si="25"/>
        <v>31</v>
      </c>
      <c r="H318" s="7">
        <f t="shared" ca="1" si="26"/>
        <v>-2</v>
      </c>
      <c r="I318" s="8">
        <f t="shared" ca="1" si="27"/>
        <v>-13</v>
      </c>
      <c r="J318" s="9">
        <f t="shared" ca="1" si="28"/>
        <v>30</v>
      </c>
      <c r="K318" s="7" t="s">
        <v>41</v>
      </c>
      <c r="L318" s="10">
        <v>53</v>
      </c>
      <c r="M318" s="24" t="s">
        <v>40</v>
      </c>
      <c r="N318">
        <v>73</v>
      </c>
    </row>
    <row r="319" spans="1:14">
      <c r="A319" s="25" t="e">
        <f t="shared" si="29"/>
        <v>#REF!</v>
      </c>
      <c r="B319" s="67" t="s">
        <v>8</v>
      </c>
      <c r="C319" s="67" t="s">
        <v>536</v>
      </c>
      <c r="D319" s="67" t="s">
        <v>77</v>
      </c>
      <c r="E319" s="22">
        <f t="shared" ca="1" si="24"/>
        <v>40951</v>
      </c>
      <c r="F319" s="32"/>
      <c r="G319" s="12">
        <f t="shared" ca="1" si="25"/>
        <v>112</v>
      </c>
      <c r="H319" s="12">
        <f t="shared" ca="1" si="26"/>
        <v>1</v>
      </c>
      <c r="I319" s="13">
        <f t="shared" ca="1" si="27"/>
        <v>12</v>
      </c>
      <c r="J319" s="14">
        <f t="shared" ca="1" si="28"/>
        <v>112</v>
      </c>
      <c r="K319" s="12" t="s">
        <v>41</v>
      </c>
      <c r="L319" s="15">
        <v>53</v>
      </c>
      <c r="M319" s="25" t="s">
        <v>44</v>
      </c>
      <c r="N319">
        <v>73</v>
      </c>
    </row>
    <row r="320" spans="1:14">
      <c r="A320" s="25" t="e">
        <f t="shared" si="29"/>
        <v>#REF!</v>
      </c>
      <c r="B320" s="67" t="s">
        <v>8</v>
      </c>
      <c r="C320" s="67" t="s">
        <v>102</v>
      </c>
      <c r="D320" s="67" t="s">
        <v>537</v>
      </c>
      <c r="E320" s="22">
        <f t="shared" ca="1" si="24"/>
        <v>40951</v>
      </c>
      <c r="F320" s="11">
        <f>DATE(56,8,15)</f>
        <v>20682</v>
      </c>
      <c r="G320" s="12">
        <f t="shared" ca="1" si="25"/>
        <v>56</v>
      </c>
      <c r="H320" s="12">
        <f t="shared" ca="1" si="26"/>
        <v>-6</v>
      </c>
      <c r="I320" s="13">
        <f t="shared" ca="1" si="27"/>
        <v>-3</v>
      </c>
      <c r="J320" s="14">
        <f t="shared" ca="1" si="28"/>
        <v>55</v>
      </c>
      <c r="K320" s="12" t="s">
        <v>41</v>
      </c>
      <c r="L320" s="15">
        <v>53</v>
      </c>
      <c r="M320" s="25" t="s">
        <v>40</v>
      </c>
      <c r="N320">
        <v>73</v>
      </c>
    </row>
    <row r="321" spans="1:14">
      <c r="A321" s="25" t="e">
        <f t="shared" si="29"/>
        <v>#REF!</v>
      </c>
      <c r="B321" s="67" t="s">
        <v>8</v>
      </c>
      <c r="C321" s="67" t="s">
        <v>538</v>
      </c>
      <c r="D321" s="67" t="s">
        <v>198</v>
      </c>
      <c r="E321" s="22">
        <f t="shared" ref="E321:E384" ca="1" si="30">TODAY()</f>
        <v>40951</v>
      </c>
      <c r="F321" s="11">
        <f>DATE(28,5,7)</f>
        <v>10355</v>
      </c>
      <c r="G321" s="12">
        <f t="shared" ref="G321:G384" ca="1" si="31">YEAR(E321)-YEAR(F321)</f>
        <v>84</v>
      </c>
      <c r="H321" s="12">
        <f t="shared" ref="H321:H384" ca="1" si="32">MONTH(E321)-MONTH(F321)</f>
        <v>-3</v>
      </c>
      <c r="I321" s="13">
        <f t="shared" ref="I321:I384" ca="1" si="33">DAY(E321)-DAY(F321)</f>
        <v>5</v>
      </c>
      <c r="J321" s="14">
        <f t="shared" ref="J321:J384" ca="1" si="34">IF(H321&lt;0,G321-1,IF(H321&gt;0,G321,IF(I321&lt;0,G321-1,G321)))</f>
        <v>83</v>
      </c>
      <c r="K321" s="12" t="s">
        <v>41</v>
      </c>
      <c r="L321" s="15">
        <v>53</v>
      </c>
      <c r="M321" s="25" t="s">
        <v>40</v>
      </c>
      <c r="N321">
        <v>73</v>
      </c>
    </row>
    <row r="322" spans="1:14">
      <c r="A322" s="25" t="e">
        <f t="shared" ref="A322:A385" si="35">A321+1</f>
        <v>#REF!</v>
      </c>
      <c r="B322" s="67" t="s">
        <v>8</v>
      </c>
      <c r="C322" s="67" t="s">
        <v>474</v>
      </c>
      <c r="D322" s="67" t="s">
        <v>166</v>
      </c>
      <c r="E322" s="22">
        <f t="shared" ca="1" si="30"/>
        <v>40951</v>
      </c>
      <c r="F322" s="11">
        <f>DATE(76,12,14)</f>
        <v>28108</v>
      </c>
      <c r="G322" s="12">
        <f t="shared" ca="1" si="31"/>
        <v>36</v>
      </c>
      <c r="H322" s="12">
        <f t="shared" ca="1" si="32"/>
        <v>-10</v>
      </c>
      <c r="I322" s="13">
        <f t="shared" ca="1" si="33"/>
        <v>-2</v>
      </c>
      <c r="J322" s="14">
        <f t="shared" ca="1" si="34"/>
        <v>35</v>
      </c>
      <c r="K322" s="12" t="s">
        <v>41</v>
      </c>
      <c r="L322" s="15">
        <v>53</v>
      </c>
      <c r="M322" s="25" t="s">
        <v>40</v>
      </c>
      <c r="N322">
        <v>73</v>
      </c>
    </row>
    <row r="323" spans="1:14" ht="15.75" thickBot="1">
      <c r="A323" s="26" t="e">
        <f t="shared" si="35"/>
        <v>#REF!</v>
      </c>
      <c r="B323" s="68" t="s">
        <v>8</v>
      </c>
      <c r="C323" s="68" t="s">
        <v>542</v>
      </c>
      <c r="D323" s="68" t="s">
        <v>166</v>
      </c>
      <c r="E323" s="23">
        <f t="shared" ca="1" si="30"/>
        <v>40951</v>
      </c>
      <c r="F323" s="16">
        <f>DATE(2003,12,5)</f>
        <v>37960</v>
      </c>
      <c r="G323" s="17">
        <f t="shared" ca="1" si="31"/>
        <v>9</v>
      </c>
      <c r="H323" s="17">
        <f t="shared" ca="1" si="32"/>
        <v>-10</v>
      </c>
      <c r="I323" s="18">
        <f t="shared" ca="1" si="33"/>
        <v>7</v>
      </c>
      <c r="J323" s="19">
        <f t="shared" ca="1" si="34"/>
        <v>8</v>
      </c>
      <c r="K323" s="17" t="s">
        <v>41</v>
      </c>
      <c r="L323" s="20">
        <v>53</v>
      </c>
      <c r="M323" s="26" t="s">
        <v>44</v>
      </c>
      <c r="N323">
        <v>73</v>
      </c>
    </row>
    <row r="324" spans="1:14">
      <c r="A324" s="24" t="e">
        <f t="shared" si="35"/>
        <v>#REF!</v>
      </c>
      <c r="B324" s="66" t="s">
        <v>8</v>
      </c>
      <c r="C324" s="66" t="s">
        <v>175</v>
      </c>
      <c r="D324" s="66" t="s">
        <v>541</v>
      </c>
      <c r="E324" s="21">
        <f t="shared" ca="1" si="30"/>
        <v>40951</v>
      </c>
      <c r="F324" s="6">
        <f>DATE(74,12,18)</f>
        <v>27381</v>
      </c>
      <c r="G324" s="7">
        <f t="shared" ca="1" si="31"/>
        <v>38</v>
      </c>
      <c r="H324" s="7">
        <f t="shared" ca="1" si="32"/>
        <v>-10</v>
      </c>
      <c r="I324" s="8">
        <f t="shared" ca="1" si="33"/>
        <v>-6</v>
      </c>
      <c r="J324" s="9">
        <f t="shared" ca="1" si="34"/>
        <v>37</v>
      </c>
      <c r="K324" s="7" t="s">
        <v>41</v>
      </c>
      <c r="L324" s="10">
        <v>53</v>
      </c>
      <c r="M324" s="24" t="s">
        <v>40</v>
      </c>
      <c r="N324">
        <v>74</v>
      </c>
    </row>
    <row r="325" spans="1:14">
      <c r="A325" s="25" t="e">
        <f t="shared" si="35"/>
        <v>#REF!</v>
      </c>
      <c r="B325" s="67" t="s">
        <v>8</v>
      </c>
      <c r="C325" s="67" t="s">
        <v>175</v>
      </c>
      <c r="D325" s="67" t="s">
        <v>332</v>
      </c>
      <c r="E325" s="22">
        <f t="shared" ca="1" si="30"/>
        <v>40951</v>
      </c>
      <c r="F325" s="11">
        <f>DATE(64,2,12)</f>
        <v>23419</v>
      </c>
      <c r="G325" s="12">
        <f t="shared" ca="1" si="31"/>
        <v>48</v>
      </c>
      <c r="H325" s="12">
        <f t="shared" ca="1" si="32"/>
        <v>0</v>
      </c>
      <c r="I325" s="13">
        <f t="shared" ca="1" si="33"/>
        <v>0</v>
      </c>
      <c r="J325" s="14">
        <f t="shared" ca="1" si="34"/>
        <v>48</v>
      </c>
      <c r="K325" s="12" t="s">
        <v>41</v>
      </c>
      <c r="L325" s="15">
        <v>54</v>
      </c>
      <c r="M325" s="25" t="s">
        <v>40</v>
      </c>
      <c r="N325">
        <v>74</v>
      </c>
    </row>
    <row r="326" spans="1:14">
      <c r="A326" s="25" t="e">
        <f t="shared" si="35"/>
        <v>#REF!</v>
      </c>
      <c r="B326" s="67" t="s">
        <v>8</v>
      </c>
      <c r="C326" s="67" t="s">
        <v>544</v>
      </c>
      <c r="D326" s="67" t="s">
        <v>332</v>
      </c>
      <c r="E326" s="22">
        <f t="shared" ca="1" si="30"/>
        <v>40951</v>
      </c>
      <c r="F326" s="11">
        <f>DATE(90,6,19)</f>
        <v>33043</v>
      </c>
      <c r="G326" s="12">
        <f t="shared" ca="1" si="31"/>
        <v>22</v>
      </c>
      <c r="H326" s="12">
        <f t="shared" ca="1" si="32"/>
        <v>-4</v>
      </c>
      <c r="I326" s="13">
        <f t="shared" ca="1" si="33"/>
        <v>-7</v>
      </c>
      <c r="J326" s="14">
        <f t="shared" ca="1" si="34"/>
        <v>21</v>
      </c>
      <c r="K326" s="12" t="s">
        <v>41</v>
      </c>
      <c r="L326" s="15">
        <v>54</v>
      </c>
      <c r="M326" s="25" t="s">
        <v>44</v>
      </c>
      <c r="N326">
        <v>74</v>
      </c>
    </row>
    <row r="327" spans="1:14">
      <c r="A327" s="25" t="e">
        <f t="shared" si="35"/>
        <v>#REF!</v>
      </c>
      <c r="B327" s="67" t="s">
        <v>8</v>
      </c>
      <c r="C327" s="67" t="s">
        <v>102</v>
      </c>
      <c r="D327" s="67" t="s">
        <v>545</v>
      </c>
      <c r="E327" s="22">
        <f t="shared" ca="1" si="30"/>
        <v>40951</v>
      </c>
      <c r="F327" s="32"/>
      <c r="G327" s="12">
        <f t="shared" ca="1" si="31"/>
        <v>112</v>
      </c>
      <c r="H327" s="12">
        <f t="shared" ca="1" si="32"/>
        <v>1</v>
      </c>
      <c r="I327" s="13">
        <f t="shared" ca="1" si="33"/>
        <v>12</v>
      </c>
      <c r="J327" s="14">
        <f t="shared" ca="1" si="34"/>
        <v>112</v>
      </c>
      <c r="K327" s="12" t="s">
        <v>41</v>
      </c>
      <c r="L327" s="15">
        <v>54</v>
      </c>
      <c r="M327" s="25" t="s">
        <v>40</v>
      </c>
      <c r="N327">
        <v>74</v>
      </c>
    </row>
    <row r="328" spans="1:14" ht="15.75" thickBot="1">
      <c r="A328" s="26" t="e">
        <f t="shared" si="35"/>
        <v>#REF!</v>
      </c>
      <c r="B328" s="68" t="s">
        <v>8</v>
      </c>
      <c r="C328" s="68" t="s">
        <v>547</v>
      </c>
      <c r="D328" s="68" t="s">
        <v>545</v>
      </c>
      <c r="E328" s="23">
        <f t="shared" ca="1" si="30"/>
        <v>40951</v>
      </c>
      <c r="F328" s="16">
        <f>DATE(89,12,4)</f>
        <v>32846</v>
      </c>
      <c r="G328" s="17">
        <f t="shared" ca="1" si="31"/>
        <v>23</v>
      </c>
      <c r="H328" s="17">
        <f t="shared" ca="1" si="32"/>
        <v>-10</v>
      </c>
      <c r="I328" s="18">
        <f t="shared" ca="1" si="33"/>
        <v>8</v>
      </c>
      <c r="J328" s="19">
        <f t="shared" ca="1" si="34"/>
        <v>22</v>
      </c>
      <c r="K328" s="17" t="s">
        <v>41</v>
      </c>
      <c r="L328" s="20">
        <v>54</v>
      </c>
      <c r="M328" s="26" t="s">
        <v>44</v>
      </c>
      <c r="N328">
        <v>74</v>
      </c>
    </row>
    <row r="329" spans="1:14">
      <c r="A329" s="24" t="e">
        <f t="shared" si="35"/>
        <v>#REF!</v>
      </c>
      <c r="B329" s="66" t="s">
        <v>8</v>
      </c>
      <c r="C329" s="66" t="s">
        <v>548</v>
      </c>
      <c r="D329" s="66" t="s">
        <v>60</v>
      </c>
      <c r="E329" s="21">
        <f t="shared" ca="1" si="30"/>
        <v>40951</v>
      </c>
      <c r="F329" s="45"/>
      <c r="G329" s="7">
        <f t="shared" ca="1" si="31"/>
        <v>112</v>
      </c>
      <c r="H329" s="7">
        <f t="shared" ca="1" si="32"/>
        <v>1</v>
      </c>
      <c r="I329" s="8">
        <f t="shared" ca="1" si="33"/>
        <v>12</v>
      </c>
      <c r="J329" s="9">
        <f t="shared" ca="1" si="34"/>
        <v>112</v>
      </c>
      <c r="K329" s="7" t="s">
        <v>41</v>
      </c>
      <c r="L329" s="10">
        <v>54</v>
      </c>
      <c r="M329" s="24" t="s">
        <v>40</v>
      </c>
      <c r="N329">
        <v>75</v>
      </c>
    </row>
    <row r="330" spans="1:14">
      <c r="A330" s="25" t="e">
        <f t="shared" si="35"/>
        <v>#REF!</v>
      </c>
      <c r="B330" s="67" t="s">
        <v>8</v>
      </c>
      <c r="C330" s="67" t="s">
        <v>430</v>
      </c>
      <c r="D330" s="67" t="s">
        <v>93</v>
      </c>
      <c r="E330" s="22">
        <f t="shared" ca="1" si="30"/>
        <v>40951</v>
      </c>
      <c r="F330" s="11">
        <f>DATE(63,7,1)</f>
        <v>23193</v>
      </c>
      <c r="G330" s="12">
        <f t="shared" ca="1" si="31"/>
        <v>49</v>
      </c>
      <c r="H330" s="12">
        <f t="shared" ca="1" si="32"/>
        <v>-5</v>
      </c>
      <c r="I330" s="13">
        <f t="shared" ca="1" si="33"/>
        <v>11</v>
      </c>
      <c r="J330" s="14">
        <f t="shared" ca="1" si="34"/>
        <v>48</v>
      </c>
      <c r="K330" s="12" t="s">
        <v>41</v>
      </c>
      <c r="L330" s="15">
        <v>54</v>
      </c>
      <c r="M330" s="25" t="s">
        <v>40</v>
      </c>
      <c r="N330">
        <v>75</v>
      </c>
    </row>
    <row r="331" spans="1:14">
      <c r="A331" s="25" t="e">
        <f t="shared" si="35"/>
        <v>#REF!</v>
      </c>
      <c r="B331" s="67" t="s">
        <v>8</v>
      </c>
      <c r="C331" s="67" t="s">
        <v>549</v>
      </c>
      <c r="D331" s="67" t="s">
        <v>93</v>
      </c>
      <c r="E331" s="22">
        <f t="shared" ca="1" si="30"/>
        <v>40951</v>
      </c>
      <c r="F331" s="11">
        <f>DATE(86,11,21)</f>
        <v>31737</v>
      </c>
      <c r="G331" s="12">
        <f t="shared" ca="1" si="31"/>
        <v>26</v>
      </c>
      <c r="H331" s="12">
        <f t="shared" ca="1" si="32"/>
        <v>-9</v>
      </c>
      <c r="I331" s="13">
        <f t="shared" ca="1" si="33"/>
        <v>-9</v>
      </c>
      <c r="J331" s="14">
        <f t="shared" ca="1" si="34"/>
        <v>25</v>
      </c>
      <c r="K331" s="12" t="s">
        <v>41</v>
      </c>
      <c r="L331" s="15">
        <v>54</v>
      </c>
      <c r="M331" s="25" t="s">
        <v>44</v>
      </c>
      <c r="N331">
        <v>75</v>
      </c>
    </row>
    <row r="332" spans="1:14" ht="15.75" thickBot="1">
      <c r="A332" s="26" t="e">
        <f t="shared" si="35"/>
        <v>#REF!</v>
      </c>
      <c r="B332" s="68" t="s">
        <v>8</v>
      </c>
      <c r="C332" s="68" t="s">
        <v>552</v>
      </c>
      <c r="D332" s="68" t="s">
        <v>550</v>
      </c>
      <c r="E332" s="23">
        <f t="shared" ca="1" si="30"/>
        <v>40951</v>
      </c>
      <c r="F332" s="16">
        <f>DATE(55,4,28)</f>
        <v>20207</v>
      </c>
      <c r="G332" s="17">
        <f t="shared" ca="1" si="31"/>
        <v>57</v>
      </c>
      <c r="H332" s="17">
        <f t="shared" ca="1" si="32"/>
        <v>-2</v>
      </c>
      <c r="I332" s="18">
        <f t="shared" ca="1" si="33"/>
        <v>-16</v>
      </c>
      <c r="J332" s="19">
        <f t="shared" ca="1" si="34"/>
        <v>56</v>
      </c>
      <c r="K332" s="17" t="s">
        <v>41</v>
      </c>
      <c r="L332" s="20">
        <v>55</v>
      </c>
      <c r="M332" s="26" t="s">
        <v>40</v>
      </c>
      <c r="N332">
        <v>75</v>
      </c>
    </row>
    <row r="333" spans="1:14">
      <c r="A333" s="24" t="e">
        <f t="shared" si="35"/>
        <v>#REF!</v>
      </c>
      <c r="B333" s="66" t="s">
        <v>8</v>
      </c>
      <c r="C333" s="66" t="s">
        <v>553</v>
      </c>
      <c r="D333" s="66" t="s">
        <v>550</v>
      </c>
      <c r="E333" s="21">
        <f t="shared" ca="1" si="30"/>
        <v>40951</v>
      </c>
      <c r="F333" s="6">
        <f>DATE(84,2,2)</f>
        <v>30714</v>
      </c>
      <c r="G333" s="7">
        <f t="shared" ca="1" si="31"/>
        <v>28</v>
      </c>
      <c r="H333" s="7">
        <f t="shared" ca="1" si="32"/>
        <v>0</v>
      </c>
      <c r="I333" s="8">
        <f t="shared" ca="1" si="33"/>
        <v>10</v>
      </c>
      <c r="J333" s="9">
        <f t="shared" ca="1" si="34"/>
        <v>28</v>
      </c>
      <c r="K333" s="7" t="s">
        <v>41</v>
      </c>
      <c r="L333" s="10">
        <v>55</v>
      </c>
      <c r="M333" s="24" t="s">
        <v>44</v>
      </c>
      <c r="N333">
        <v>76</v>
      </c>
    </row>
    <row r="334" spans="1:14">
      <c r="A334" s="25" t="e">
        <f t="shared" si="35"/>
        <v>#REF!</v>
      </c>
      <c r="B334" s="67" t="s">
        <v>8</v>
      </c>
      <c r="C334" s="67" t="s">
        <v>554</v>
      </c>
      <c r="D334" s="67" t="s">
        <v>550</v>
      </c>
      <c r="E334" s="22">
        <f t="shared" ca="1" si="30"/>
        <v>40951</v>
      </c>
      <c r="F334" s="11">
        <f>DATE(88,12,31)</f>
        <v>32508</v>
      </c>
      <c r="G334" s="12">
        <f t="shared" ca="1" si="31"/>
        <v>24</v>
      </c>
      <c r="H334" s="12">
        <f t="shared" ca="1" si="32"/>
        <v>-10</v>
      </c>
      <c r="I334" s="13">
        <f t="shared" ca="1" si="33"/>
        <v>-19</v>
      </c>
      <c r="J334" s="14">
        <f t="shared" ca="1" si="34"/>
        <v>23</v>
      </c>
      <c r="K334" s="12" t="s">
        <v>41</v>
      </c>
      <c r="L334" s="15">
        <v>55</v>
      </c>
      <c r="M334" s="25" t="s">
        <v>44</v>
      </c>
      <c r="N334">
        <v>76</v>
      </c>
    </row>
    <row r="335" spans="1:14">
      <c r="A335" s="25" t="e">
        <f t="shared" si="35"/>
        <v>#REF!</v>
      </c>
      <c r="B335" s="67" t="s">
        <v>8</v>
      </c>
      <c r="C335" s="67" t="s">
        <v>555</v>
      </c>
      <c r="D335" s="67" t="s">
        <v>550</v>
      </c>
      <c r="E335" s="22">
        <f t="shared" ca="1" si="30"/>
        <v>40951</v>
      </c>
      <c r="F335" s="11">
        <f>DATE(93,10,18)</f>
        <v>34260</v>
      </c>
      <c r="G335" s="12">
        <f t="shared" ca="1" si="31"/>
        <v>19</v>
      </c>
      <c r="H335" s="12">
        <f t="shared" ca="1" si="32"/>
        <v>-8</v>
      </c>
      <c r="I335" s="13">
        <f t="shared" ca="1" si="33"/>
        <v>-6</v>
      </c>
      <c r="J335" s="14">
        <f t="shared" ca="1" si="34"/>
        <v>18</v>
      </c>
      <c r="K335" s="12" t="s">
        <v>41</v>
      </c>
      <c r="L335" s="15">
        <v>55</v>
      </c>
      <c r="M335" s="25" t="s">
        <v>44</v>
      </c>
      <c r="N335">
        <v>76</v>
      </c>
    </row>
    <row r="336" spans="1:14" ht="15.75" thickBot="1">
      <c r="A336" s="26" t="e">
        <f t="shared" si="35"/>
        <v>#REF!</v>
      </c>
      <c r="B336" s="68" t="s">
        <v>8</v>
      </c>
      <c r="C336" s="68" t="s">
        <v>124</v>
      </c>
      <c r="D336" s="68" t="s">
        <v>439</v>
      </c>
      <c r="E336" s="23">
        <f t="shared" ca="1" si="30"/>
        <v>40951</v>
      </c>
      <c r="F336" s="16">
        <f>DATE(64,7,27)</f>
        <v>23585</v>
      </c>
      <c r="G336" s="17">
        <f t="shared" ca="1" si="31"/>
        <v>48</v>
      </c>
      <c r="H336" s="17">
        <f t="shared" ca="1" si="32"/>
        <v>-5</v>
      </c>
      <c r="I336" s="18">
        <f t="shared" ca="1" si="33"/>
        <v>-15</v>
      </c>
      <c r="J336" s="19">
        <f t="shared" ca="1" si="34"/>
        <v>47</v>
      </c>
      <c r="K336" s="17" t="s">
        <v>41</v>
      </c>
      <c r="L336" s="20">
        <v>55</v>
      </c>
      <c r="M336" s="26" t="s">
        <v>40</v>
      </c>
      <c r="N336">
        <v>76</v>
      </c>
    </row>
    <row r="337" spans="1:14">
      <c r="A337" s="24" t="e">
        <f t="shared" si="35"/>
        <v>#REF!</v>
      </c>
      <c r="B337" s="66" t="s">
        <v>8</v>
      </c>
      <c r="C337" s="66" t="s">
        <v>557</v>
      </c>
      <c r="D337" s="66" t="s">
        <v>439</v>
      </c>
      <c r="E337" s="21">
        <f t="shared" ca="1" si="30"/>
        <v>40951</v>
      </c>
      <c r="F337" s="6">
        <f>DATE(87,3,1)</f>
        <v>31837</v>
      </c>
      <c r="G337" s="7">
        <f t="shared" ca="1" si="31"/>
        <v>25</v>
      </c>
      <c r="H337" s="7">
        <f t="shared" ca="1" si="32"/>
        <v>-1</v>
      </c>
      <c r="I337" s="8">
        <f t="shared" ca="1" si="33"/>
        <v>11</v>
      </c>
      <c r="J337" s="9">
        <f t="shared" ca="1" si="34"/>
        <v>24</v>
      </c>
      <c r="K337" s="7" t="s">
        <v>41</v>
      </c>
      <c r="L337" s="10">
        <v>55</v>
      </c>
      <c r="M337" s="24" t="s">
        <v>44</v>
      </c>
      <c r="N337">
        <v>77</v>
      </c>
    </row>
    <row r="338" spans="1:14">
      <c r="A338" s="25" t="e">
        <f t="shared" si="35"/>
        <v>#REF!</v>
      </c>
      <c r="B338" s="67" t="s">
        <v>8</v>
      </c>
      <c r="C338" s="67" t="s">
        <v>558</v>
      </c>
      <c r="D338" s="67" t="s">
        <v>439</v>
      </c>
      <c r="E338" s="22">
        <f t="shared" ca="1" si="30"/>
        <v>40951</v>
      </c>
      <c r="F338" s="11">
        <f>DATE(90,5,8)</f>
        <v>33001</v>
      </c>
      <c r="G338" s="12">
        <f t="shared" ca="1" si="31"/>
        <v>22</v>
      </c>
      <c r="H338" s="12">
        <f t="shared" ca="1" si="32"/>
        <v>-3</v>
      </c>
      <c r="I338" s="13">
        <f t="shared" ca="1" si="33"/>
        <v>4</v>
      </c>
      <c r="J338" s="14">
        <f t="shared" ca="1" si="34"/>
        <v>21</v>
      </c>
      <c r="K338" s="12" t="s">
        <v>41</v>
      </c>
      <c r="L338" s="15">
        <v>55</v>
      </c>
      <c r="M338" s="25" t="s">
        <v>44</v>
      </c>
      <c r="N338">
        <v>77</v>
      </c>
    </row>
    <row r="339" spans="1:14">
      <c r="A339" s="25" t="e">
        <f t="shared" si="35"/>
        <v>#REF!</v>
      </c>
      <c r="B339" s="67" t="s">
        <v>8</v>
      </c>
      <c r="C339" s="67" t="s">
        <v>81</v>
      </c>
      <c r="D339" s="67" t="s">
        <v>560</v>
      </c>
      <c r="E339" s="22">
        <f t="shared" ca="1" si="30"/>
        <v>40951</v>
      </c>
      <c r="F339" s="11">
        <f>DATE(59,11,26)</f>
        <v>21880</v>
      </c>
      <c r="G339" s="12">
        <f t="shared" ca="1" si="31"/>
        <v>53</v>
      </c>
      <c r="H339" s="12">
        <f t="shared" ca="1" si="32"/>
        <v>-9</v>
      </c>
      <c r="I339" s="13">
        <f t="shared" ca="1" si="33"/>
        <v>-14</v>
      </c>
      <c r="J339" s="14">
        <f t="shared" ca="1" si="34"/>
        <v>52</v>
      </c>
      <c r="K339" s="12" t="s">
        <v>41</v>
      </c>
      <c r="L339" s="15">
        <v>55</v>
      </c>
      <c r="M339" s="25" t="s">
        <v>40</v>
      </c>
      <c r="N339">
        <v>77</v>
      </c>
    </row>
    <row r="340" spans="1:14">
      <c r="A340" s="25" t="e">
        <f t="shared" si="35"/>
        <v>#REF!</v>
      </c>
      <c r="B340" s="67" t="s">
        <v>8</v>
      </c>
      <c r="C340" s="67" t="s">
        <v>563</v>
      </c>
      <c r="D340" s="67" t="s">
        <v>561</v>
      </c>
      <c r="E340" s="22">
        <f t="shared" ca="1" si="30"/>
        <v>40951</v>
      </c>
      <c r="F340" s="32"/>
      <c r="G340" s="12">
        <f t="shared" ca="1" si="31"/>
        <v>112</v>
      </c>
      <c r="H340" s="12">
        <f t="shared" ca="1" si="32"/>
        <v>1</v>
      </c>
      <c r="I340" s="13">
        <f t="shared" ca="1" si="33"/>
        <v>12</v>
      </c>
      <c r="J340" s="14">
        <f t="shared" ca="1" si="34"/>
        <v>112</v>
      </c>
      <c r="K340" s="12" t="s">
        <v>41</v>
      </c>
      <c r="L340" s="15">
        <v>55</v>
      </c>
      <c r="M340" s="25" t="s">
        <v>40</v>
      </c>
      <c r="N340">
        <v>77</v>
      </c>
    </row>
    <row r="341" spans="1:14">
      <c r="A341" s="25" t="e">
        <f t="shared" si="35"/>
        <v>#REF!</v>
      </c>
      <c r="B341" s="67" t="s">
        <v>8</v>
      </c>
      <c r="C341" s="67" t="s">
        <v>565</v>
      </c>
      <c r="D341" s="67" t="s">
        <v>444</v>
      </c>
      <c r="E341" s="22">
        <f t="shared" ca="1" si="30"/>
        <v>40951</v>
      </c>
      <c r="F341" s="11">
        <f>DATE(79,9,8)</f>
        <v>29106</v>
      </c>
      <c r="G341" s="12">
        <f t="shared" ca="1" si="31"/>
        <v>33</v>
      </c>
      <c r="H341" s="12">
        <f t="shared" ca="1" si="32"/>
        <v>-7</v>
      </c>
      <c r="I341" s="13">
        <f t="shared" ca="1" si="33"/>
        <v>4</v>
      </c>
      <c r="J341" s="14">
        <f t="shared" ca="1" si="34"/>
        <v>32</v>
      </c>
      <c r="K341" s="12" t="s">
        <v>41</v>
      </c>
      <c r="L341" s="15">
        <v>56</v>
      </c>
      <c r="M341" s="25" t="s">
        <v>40</v>
      </c>
      <c r="N341">
        <v>77</v>
      </c>
    </row>
    <row r="342" spans="1:14" ht="15.75" thickBot="1">
      <c r="A342" s="26" t="e">
        <f t="shared" si="35"/>
        <v>#REF!</v>
      </c>
      <c r="B342" s="68" t="s">
        <v>8</v>
      </c>
      <c r="C342" s="68" t="s">
        <v>567</v>
      </c>
      <c r="D342" s="68" t="s">
        <v>444</v>
      </c>
      <c r="E342" s="23">
        <f t="shared" ca="1" si="30"/>
        <v>40951</v>
      </c>
      <c r="F342" s="16">
        <f>DATE(2004,10,14)</f>
        <v>38274</v>
      </c>
      <c r="G342" s="17">
        <f t="shared" ca="1" si="31"/>
        <v>8</v>
      </c>
      <c r="H342" s="17">
        <f t="shared" ca="1" si="32"/>
        <v>-8</v>
      </c>
      <c r="I342" s="18">
        <f t="shared" ca="1" si="33"/>
        <v>-2</v>
      </c>
      <c r="J342" s="19">
        <f t="shared" ca="1" si="34"/>
        <v>7</v>
      </c>
      <c r="K342" s="17" t="s">
        <v>41</v>
      </c>
      <c r="L342" s="20">
        <v>56</v>
      </c>
      <c r="M342" s="26" t="s">
        <v>44</v>
      </c>
      <c r="N342">
        <v>77</v>
      </c>
    </row>
    <row r="343" spans="1:14">
      <c r="A343" s="24" t="e">
        <f t="shared" si="35"/>
        <v>#REF!</v>
      </c>
      <c r="B343" s="66" t="s">
        <v>8</v>
      </c>
      <c r="C343" s="66" t="s">
        <v>62</v>
      </c>
      <c r="D343" s="66" t="s">
        <v>568</v>
      </c>
      <c r="E343" s="21">
        <f t="shared" ca="1" si="30"/>
        <v>40951</v>
      </c>
      <c r="F343" s="6">
        <f>DATE(66,6,22)</f>
        <v>24280</v>
      </c>
      <c r="G343" s="7">
        <f t="shared" ca="1" si="31"/>
        <v>46</v>
      </c>
      <c r="H343" s="7">
        <f t="shared" ca="1" si="32"/>
        <v>-4</v>
      </c>
      <c r="I343" s="8">
        <f t="shared" ca="1" si="33"/>
        <v>-10</v>
      </c>
      <c r="J343" s="9">
        <f t="shared" ca="1" si="34"/>
        <v>45</v>
      </c>
      <c r="K343" s="7" t="s">
        <v>41</v>
      </c>
      <c r="L343" s="10">
        <v>56</v>
      </c>
      <c r="M343" s="24" t="s">
        <v>40</v>
      </c>
      <c r="N343">
        <v>78</v>
      </c>
    </row>
    <row r="344" spans="1:14">
      <c r="A344" s="25" t="e">
        <f t="shared" si="35"/>
        <v>#REF!</v>
      </c>
      <c r="B344" s="67" t="s">
        <v>8</v>
      </c>
      <c r="C344" s="67" t="s">
        <v>570</v>
      </c>
      <c r="D344" s="67" t="s">
        <v>341</v>
      </c>
      <c r="E344" s="22">
        <f t="shared" ca="1" si="30"/>
        <v>40951</v>
      </c>
      <c r="F344" s="11">
        <f>DATE(65,10,18)</f>
        <v>24033</v>
      </c>
      <c r="G344" s="12">
        <f t="shared" ca="1" si="31"/>
        <v>47</v>
      </c>
      <c r="H344" s="12">
        <f t="shared" ca="1" si="32"/>
        <v>-8</v>
      </c>
      <c r="I344" s="13">
        <f t="shared" ca="1" si="33"/>
        <v>-6</v>
      </c>
      <c r="J344" s="14">
        <f t="shared" ca="1" si="34"/>
        <v>46</v>
      </c>
      <c r="K344" s="12" t="s">
        <v>41</v>
      </c>
      <c r="L344" s="15">
        <v>56</v>
      </c>
      <c r="M344" s="25" t="s">
        <v>40</v>
      </c>
      <c r="N344">
        <v>78</v>
      </c>
    </row>
    <row r="345" spans="1:14">
      <c r="A345" s="25" t="e">
        <f t="shared" si="35"/>
        <v>#REF!</v>
      </c>
      <c r="B345" s="67" t="s">
        <v>8</v>
      </c>
      <c r="C345" s="67" t="s">
        <v>474</v>
      </c>
      <c r="D345" s="67" t="s">
        <v>341</v>
      </c>
      <c r="E345" s="22">
        <f t="shared" ca="1" si="30"/>
        <v>40951</v>
      </c>
      <c r="F345" s="11">
        <f>DATE(81,4,6)</f>
        <v>29682</v>
      </c>
      <c r="G345" s="12">
        <f t="shared" ca="1" si="31"/>
        <v>31</v>
      </c>
      <c r="H345" s="12">
        <f t="shared" ca="1" si="32"/>
        <v>-2</v>
      </c>
      <c r="I345" s="13">
        <f t="shared" ca="1" si="33"/>
        <v>6</v>
      </c>
      <c r="J345" s="14">
        <f t="shared" ca="1" si="34"/>
        <v>30</v>
      </c>
      <c r="K345" s="12" t="s">
        <v>41</v>
      </c>
      <c r="L345" s="15">
        <v>56</v>
      </c>
      <c r="M345" s="25" t="s">
        <v>44</v>
      </c>
      <c r="N345">
        <v>78</v>
      </c>
    </row>
    <row r="346" spans="1:14" ht="15.75" thickBot="1">
      <c r="A346" s="26" t="e">
        <f t="shared" si="35"/>
        <v>#REF!</v>
      </c>
      <c r="B346" s="68" t="s">
        <v>8</v>
      </c>
      <c r="C346" s="68" t="s">
        <v>574</v>
      </c>
      <c r="D346" s="68" t="s">
        <v>138</v>
      </c>
      <c r="E346" s="23">
        <f t="shared" ca="1" si="30"/>
        <v>40951</v>
      </c>
      <c r="F346" s="16">
        <f>DATE(61,11,4)</f>
        <v>22589</v>
      </c>
      <c r="G346" s="17">
        <f t="shared" ca="1" si="31"/>
        <v>51</v>
      </c>
      <c r="H346" s="17">
        <f t="shared" ca="1" si="32"/>
        <v>-9</v>
      </c>
      <c r="I346" s="18">
        <f t="shared" ca="1" si="33"/>
        <v>8</v>
      </c>
      <c r="J346" s="19">
        <f t="shared" ca="1" si="34"/>
        <v>50</v>
      </c>
      <c r="K346" s="17" t="s">
        <v>41</v>
      </c>
      <c r="L346" s="20">
        <v>57</v>
      </c>
      <c r="M346" s="26" t="s">
        <v>40</v>
      </c>
      <c r="N346">
        <v>78</v>
      </c>
    </row>
    <row r="347" spans="1:14">
      <c r="A347" s="24" t="e">
        <f t="shared" si="35"/>
        <v>#REF!</v>
      </c>
      <c r="B347" s="66" t="s">
        <v>8</v>
      </c>
      <c r="C347" s="66" t="s">
        <v>216</v>
      </c>
      <c r="D347" s="66" t="s">
        <v>396</v>
      </c>
      <c r="E347" s="21">
        <f t="shared" ca="1" si="30"/>
        <v>40951</v>
      </c>
      <c r="F347" s="6">
        <f>DATE(69,7,3)</f>
        <v>25387</v>
      </c>
      <c r="G347" s="7">
        <f t="shared" ca="1" si="31"/>
        <v>43</v>
      </c>
      <c r="H347" s="7">
        <f t="shared" ca="1" si="32"/>
        <v>-5</v>
      </c>
      <c r="I347" s="8">
        <f t="shared" ca="1" si="33"/>
        <v>9</v>
      </c>
      <c r="J347" s="9">
        <f t="shared" ca="1" si="34"/>
        <v>42</v>
      </c>
      <c r="K347" s="7" t="s">
        <v>41</v>
      </c>
      <c r="L347" s="10">
        <v>57</v>
      </c>
      <c r="M347" s="24" t="s">
        <v>40</v>
      </c>
      <c r="N347">
        <v>79</v>
      </c>
    </row>
    <row r="348" spans="1:14">
      <c r="A348" s="25" t="e">
        <f t="shared" si="35"/>
        <v>#REF!</v>
      </c>
      <c r="B348" s="67" t="s">
        <v>8</v>
      </c>
      <c r="C348" s="67" t="s">
        <v>211</v>
      </c>
      <c r="D348" s="67" t="s">
        <v>396</v>
      </c>
      <c r="E348" s="22">
        <f t="shared" ca="1" si="30"/>
        <v>40951</v>
      </c>
      <c r="F348" s="11">
        <f>DATE(96,9,2)</f>
        <v>35310</v>
      </c>
      <c r="G348" s="12">
        <f t="shared" ca="1" si="31"/>
        <v>16</v>
      </c>
      <c r="H348" s="12">
        <f t="shared" ca="1" si="32"/>
        <v>-7</v>
      </c>
      <c r="I348" s="13">
        <f t="shared" ca="1" si="33"/>
        <v>10</v>
      </c>
      <c r="J348" s="14">
        <f t="shared" ca="1" si="34"/>
        <v>15</v>
      </c>
      <c r="K348" s="12" t="s">
        <v>41</v>
      </c>
      <c r="L348" s="15">
        <v>57</v>
      </c>
      <c r="M348" s="25" t="s">
        <v>44</v>
      </c>
      <c r="N348">
        <v>79</v>
      </c>
    </row>
    <row r="349" spans="1:14" ht="15.75" thickBot="1">
      <c r="A349" s="26" t="e">
        <f t="shared" si="35"/>
        <v>#REF!</v>
      </c>
      <c r="B349" s="67" t="s">
        <v>8</v>
      </c>
      <c r="C349" s="68" t="s">
        <v>575</v>
      </c>
      <c r="D349" s="68" t="s">
        <v>396</v>
      </c>
      <c r="E349" s="23">
        <f t="shared" ca="1" si="30"/>
        <v>40951</v>
      </c>
      <c r="F349" s="16">
        <f>DATE(2000,3,2)</f>
        <v>36587</v>
      </c>
      <c r="G349" s="17">
        <f t="shared" ca="1" si="31"/>
        <v>12</v>
      </c>
      <c r="H349" s="17">
        <f t="shared" ca="1" si="32"/>
        <v>-1</v>
      </c>
      <c r="I349" s="18">
        <f t="shared" ca="1" si="33"/>
        <v>10</v>
      </c>
      <c r="J349" s="19">
        <f t="shared" ca="1" si="34"/>
        <v>11</v>
      </c>
      <c r="K349" s="17" t="s">
        <v>41</v>
      </c>
      <c r="L349" s="20">
        <v>57</v>
      </c>
      <c r="M349" s="26" t="s">
        <v>44</v>
      </c>
      <c r="N349">
        <v>79</v>
      </c>
    </row>
    <row r="350" spans="1:14">
      <c r="A350" s="24" t="e">
        <f t="shared" si="35"/>
        <v>#REF!</v>
      </c>
      <c r="B350" s="66" t="s">
        <v>8</v>
      </c>
      <c r="C350" s="66" t="s">
        <v>576</v>
      </c>
      <c r="D350" s="66" t="s">
        <v>522</v>
      </c>
      <c r="E350" s="21">
        <f t="shared" ca="1" si="30"/>
        <v>40951</v>
      </c>
      <c r="F350" s="45"/>
      <c r="G350" s="7">
        <f t="shared" ca="1" si="31"/>
        <v>112</v>
      </c>
      <c r="H350" s="7">
        <f t="shared" ca="1" si="32"/>
        <v>1</v>
      </c>
      <c r="I350" s="8">
        <f t="shared" ca="1" si="33"/>
        <v>12</v>
      </c>
      <c r="J350" s="9">
        <f t="shared" ca="1" si="34"/>
        <v>112</v>
      </c>
      <c r="K350" s="7" t="s">
        <v>41</v>
      </c>
      <c r="L350" s="10">
        <v>57</v>
      </c>
      <c r="M350" s="24" t="s">
        <v>40</v>
      </c>
      <c r="N350">
        <v>80</v>
      </c>
    </row>
    <row r="351" spans="1:14">
      <c r="A351" s="25" t="e">
        <f t="shared" si="35"/>
        <v>#REF!</v>
      </c>
      <c r="B351" s="67" t="s">
        <v>8</v>
      </c>
      <c r="C351" s="67" t="s">
        <v>578</v>
      </c>
      <c r="D351" s="67" t="s">
        <v>577</v>
      </c>
      <c r="E351" s="22">
        <f t="shared" ca="1" si="30"/>
        <v>40951</v>
      </c>
      <c r="F351" s="11">
        <f>DATE(52,4,6)</f>
        <v>19090</v>
      </c>
      <c r="G351" s="12">
        <f t="shared" ca="1" si="31"/>
        <v>60</v>
      </c>
      <c r="H351" s="12">
        <f t="shared" ca="1" si="32"/>
        <v>-2</v>
      </c>
      <c r="I351" s="13">
        <f t="shared" ca="1" si="33"/>
        <v>6</v>
      </c>
      <c r="J351" s="14">
        <f t="shared" ca="1" si="34"/>
        <v>59</v>
      </c>
      <c r="K351" s="12" t="s">
        <v>41</v>
      </c>
      <c r="L351" s="15">
        <v>58</v>
      </c>
      <c r="M351" s="25" t="s">
        <v>40</v>
      </c>
      <c r="N351">
        <v>80</v>
      </c>
    </row>
    <row r="352" spans="1:14" ht="15.75" thickBot="1">
      <c r="A352" s="26" t="e">
        <f t="shared" si="35"/>
        <v>#REF!</v>
      </c>
      <c r="B352" s="67" t="s">
        <v>8</v>
      </c>
      <c r="C352" s="68" t="s">
        <v>579</v>
      </c>
      <c r="D352" s="68" t="s">
        <v>581</v>
      </c>
      <c r="E352" s="23">
        <f t="shared" ca="1" si="30"/>
        <v>40951</v>
      </c>
      <c r="F352" s="16">
        <f>DATE(76,9,29)</f>
        <v>28032</v>
      </c>
      <c r="G352" s="17">
        <f t="shared" ca="1" si="31"/>
        <v>36</v>
      </c>
      <c r="H352" s="17">
        <f t="shared" ca="1" si="32"/>
        <v>-7</v>
      </c>
      <c r="I352" s="18">
        <f t="shared" ca="1" si="33"/>
        <v>-17</v>
      </c>
      <c r="J352" s="19">
        <f t="shared" ca="1" si="34"/>
        <v>35</v>
      </c>
      <c r="K352" s="17" t="s">
        <v>41</v>
      </c>
      <c r="L352" s="20">
        <v>58</v>
      </c>
      <c r="M352" s="26" t="s">
        <v>40</v>
      </c>
      <c r="N352">
        <v>80</v>
      </c>
    </row>
    <row r="353" spans="1:14">
      <c r="A353" s="24" t="e">
        <f t="shared" si="35"/>
        <v>#REF!</v>
      </c>
      <c r="B353" s="66" t="s">
        <v>8</v>
      </c>
      <c r="C353" s="66" t="s">
        <v>156</v>
      </c>
      <c r="D353" s="66" t="s">
        <v>581</v>
      </c>
      <c r="E353" s="21">
        <f t="shared" ca="1" si="30"/>
        <v>40951</v>
      </c>
      <c r="F353" s="6">
        <f>DATE(2000,6,8)</f>
        <v>36685</v>
      </c>
      <c r="G353" s="7">
        <f t="shared" ca="1" si="31"/>
        <v>12</v>
      </c>
      <c r="H353" s="7">
        <f t="shared" ca="1" si="32"/>
        <v>-4</v>
      </c>
      <c r="I353" s="8">
        <f t="shared" ca="1" si="33"/>
        <v>4</v>
      </c>
      <c r="J353" s="9">
        <f t="shared" ca="1" si="34"/>
        <v>11</v>
      </c>
      <c r="K353" s="7" t="s">
        <v>41</v>
      </c>
      <c r="L353" s="10">
        <v>58</v>
      </c>
      <c r="M353" s="24" t="s">
        <v>44</v>
      </c>
      <c r="N353">
        <v>81</v>
      </c>
    </row>
    <row r="354" spans="1:14">
      <c r="A354" s="25" t="e">
        <f t="shared" si="35"/>
        <v>#REF!</v>
      </c>
      <c r="B354" s="67" t="s">
        <v>8</v>
      </c>
      <c r="C354" s="67" t="s">
        <v>580</v>
      </c>
      <c r="D354" s="67" t="s">
        <v>581</v>
      </c>
      <c r="E354" s="22">
        <f t="shared" ca="1" si="30"/>
        <v>40951</v>
      </c>
      <c r="F354" s="11">
        <f>DATE(2005,10,18)</f>
        <v>38643</v>
      </c>
      <c r="G354" s="12">
        <f t="shared" ca="1" si="31"/>
        <v>7</v>
      </c>
      <c r="H354" s="12">
        <f t="shared" ca="1" si="32"/>
        <v>-8</v>
      </c>
      <c r="I354" s="13">
        <f t="shared" ca="1" si="33"/>
        <v>-6</v>
      </c>
      <c r="J354" s="14">
        <f t="shared" ca="1" si="34"/>
        <v>6</v>
      </c>
      <c r="K354" s="12" t="s">
        <v>41</v>
      </c>
      <c r="L354" s="15">
        <v>58</v>
      </c>
      <c r="M354" s="25" t="s">
        <v>44</v>
      </c>
      <c r="N354">
        <v>81</v>
      </c>
    </row>
    <row r="355" spans="1:14">
      <c r="A355" s="25" t="e">
        <f t="shared" si="35"/>
        <v>#REF!</v>
      </c>
      <c r="B355" s="67" t="s">
        <v>8</v>
      </c>
      <c r="C355" s="67" t="s">
        <v>583</v>
      </c>
      <c r="D355" s="67" t="s">
        <v>582</v>
      </c>
      <c r="E355" s="22">
        <f t="shared" ca="1" si="30"/>
        <v>40951</v>
      </c>
      <c r="F355" s="11">
        <f>DATE(75,8,18)</f>
        <v>27624</v>
      </c>
      <c r="G355" s="12">
        <f t="shared" ca="1" si="31"/>
        <v>37</v>
      </c>
      <c r="H355" s="12">
        <f t="shared" ca="1" si="32"/>
        <v>-6</v>
      </c>
      <c r="I355" s="13">
        <f t="shared" ca="1" si="33"/>
        <v>-6</v>
      </c>
      <c r="J355" s="14">
        <f t="shared" ca="1" si="34"/>
        <v>36</v>
      </c>
      <c r="K355" s="12" t="s">
        <v>41</v>
      </c>
      <c r="L355" s="15">
        <v>58</v>
      </c>
      <c r="M355" s="25" t="s">
        <v>40</v>
      </c>
      <c r="N355">
        <v>81</v>
      </c>
    </row>
    <row r="356" spans="1:14">
      <c r="A356" s="25" t="e">
        <f t="shared" si="35"/>
        <v>#REF!</v>
      </c>
      <c r="B356" s="67" t="s">
        <v>8</v>
      </c>
      <c r="C356" s="67" t="s">
        <v>587</v>
      </c>
      <c r="D356" s="67" t="s">
        <v>585</v>
      </c>
      <c r="E356" s="22">
        <f t="shared" ca="1" si="30"/>
        <v>40951</v>
      </c>
      <c r="F356" s="11">
        <f>DATE(45,11,8)</f>
        <v>16749</v>
      </c>
      <c r="G356" s="12">
        <f t="shared" ca="1" si="31"/>
        <v>67</v>
      </c>
      <c r="H356" s="12">
        <f t="shared" ca="1" si="32"/>
        <v>-9</v>
      </c>
      <c r="I356" s="13">
        <f t="shared" ca="1" si="33"/>
        <v>4</v>
      </c>
      <c r="J356" s="14">
        <f t="shared" ca="1" si="34"/>
        <v>66</v>
      </c>
      <c r="K356" s="12" t="s">
        <v>41</v>
      </c>
      <c r="L356" s="15">
        <v>58</v>
      </c>
      <c r="M356" s="25" t="s">
        <v>40</v>
      </c>
      <c r="N356">
        <v>81</v>
      </c>
    </row>
    <row r="357" spans="1:14">
      <c r="A357" s="25" t="e">
        <f t="shared" si="35"/>
        <v>#REF!</v>
      </c>
      <c r="B357" s="67" t="s">
        <v>8</v>
      </c>
      <c r="C357" s="67" t="s">
        <v>155</v>
      </c>
      <c r="D357" s="67" t="s">
        <v>588</v>
      </c>
      <c r="E357" s="22">
        <f t="shared" ca="1" si="30"/>
        <v>40951</v>
      </c>
      <c r="F357" s="11">
        <f>DATE(68,12,28)</f>
        <v>25200</v>
      </c>
      <c r="G357" s="12">
        <f t="shared" ca="1" si="31"/>
        <v>44</v>
      </c>
      <c r="H357" s="12">
        <f t="shared" ca="1" si="32"/>
        <v>-10</v>
      </c>
      <c r="I357" s="13">
        <f t="shared" ca="1" si="33"/>
        <v>-16</v>
      </c>
      <c r="J357" s="14">
        <f t="shared" ca="1" si="34"/>
        <v>43</v>
      </c>
      <c r="K357" s="12" t="s">
        <v>41</v>
      </c>
      <c r="L357" s="15">
        <v>58</v>
      </c>
      <c r="M357" s="25" t="s">
        <v>40</v>
      </c>
      <c r="N357">
        <v>81</v>
      </c>
    </row>
    <row r="358" spans="1:14" ht="15.75" thickBot="1">
      <c r="A358" s="26" t="e">
        <f t="shared" si="35"/>
        <v>#REF!</v>
      </c>
      <c r="B358" s="67" t="s">
        <v>8</v>
      </c>
      <c r="C358" s="68" t="s">
        <v>590</v>
      </c>
      <c r="D358" s="68" t="s">
        <v>588</v>
      </c>
      <c r="E358" s="23">
        <f t="shared" ca="1" si="30"/>
        <v>40951</v>
      </c>
      <c r="F358" s="16">
        <f>DATE(95,10,25)</f>
        <v>34997</v>
      </c>
      <c r="G358" s="17">
        <f t="shared" ca="1" si="31"/>
        <v>17</v>
      </c>
      <c r="H358" s="17">
        <f t="shared" ca="1" si="32"/>
        <v>-8</v>
      </c>
      <c r="I358" s="18">
        <f t="shared" ca="1" si="33"/>
        <v>-13</v>
      </c>
      <c r="J358" s="19">
        <f t="shared" ca="1" si="34"/>
        <v>16</v>
      </c>
      <c r="K358" s="17" t="s">
        <v>41</v>
      </c>
      <c r="L358" s="20">
        <v>58</v>
      </c>
      <c r="M358" s="26" t="s">
        <v>44</v>
      </c>
      <c r="N358">
        <v>81</v>
      </c>
    </row>
    <row r="359" spans="1:14">
      <c r="A359" s="24" t="e">
        <f t="shared" si="35"/>
        <v>#REF!</v>
      </c>
      <c r="B359" s="66" t="s">
        <v>8</v>
      </c>
      <c r="C359" s="66" t="s">
        <v>216</v>
      </c>
      <c r="D359" s="66" t="s">
        <v>423</v>
      </c>
      <c r="E359" s="21">
        <f t="shared" ca="1" si="30"/>
        <v>40951</v>
      </c>
      <c r="F359" s="6">
        <f>DATE(53,5,15)</f>
        <v>19494</v>
      </c>
      <c r="G359" s="7">
        <f t="shared" ca="1" si="31"/>
        <v>59</v>
      </c>
      <c r="H359" s="7">
        <f t="shared" ca="1" si="32"/>
        <v>-3</v>
      </c>
      <c r="I359" s="8">
        <f t="shared" ca="1" si="33"/>
        <v>-3</v>
      </c>
      <c r="J359" s="9">
        <f t="shared" ca="1" si="34"/>
        <v>58</v>
      </c>
      <c r="K359" s="7" t="s">
        <v>41</v>
      </c>
      <c r="L359" s="10">
        <v>59</v>
      </c>
      <c r="M359" s="24" t="s">
        <v>40</v>
      </c>
      <c r="N359">
        <v>82</v>
      </c>
    </row>
    <row r="360" spans="1:14">
      <c r="A360" s="25" t="e">
        <f t="shared" si="35"/>
        <v>#REF!</v>
      </c>
      <c r="B360" s="67" t="s">
        <v>8</v>
      </c>
      <c r="C360" s="67" t="s">
        <v>288</v>
      </c>
      <c r="D360" s="67" t="s">
        <v>592</v>
      </c>
      <c r="E360" s="22">
        <f t="shared" ca="1" si="30"/>
        <v>40951</v>
      </c>
      <c r="F360" s="11">
        <f>DATE(72,3,16)</f>
        <v>26374</v>
      </c>
      <c r="G360" s="12">
        <f t="shared" ca="1" si="31"/>
        <v>40</v>
      </c>
      <c r="H360" s="12">
        <f t="shared" ca="1" si="32"/>
        <v>-1</v>
      </c>
      <c r="I360" s="13">
        <f t="shared" ca="1" si="33"/>
        <v>-4</v>
      </c>
      <c r="J360" s="14">
        <f t="shared" ca="1" si="34"/>
        <v>39</v>
      </c>
      <c r="K360" s="12" t="s">
        <v>41</v>
      </c>
      <c r="L360" s="15">
        <v>59</v>
      </c>
      <c r="M360" s="25" t="s">
        <v>40</v>
      </c>
      <c r="N360">
        <v>82</v>
      </c>
    </row>
    <row r="361" spans="1:14">
      <c r="A361" s="25" t="e">
        <f t="shared" si="35"/>
        <v>#REF!</v>
      </c>
      <c r="B361" s="67" t="s">
        <v>8</v>
      </c>
      <c r="C361" s="67" t="s">
        <v>590</v>
      </c>
      <c r="D361" s="67" t="s">
        <v>592</v>
      </c>
      <c r="E361" s="22">
        <f t="shared" ca="1" si="30"/>
        <v>40951</v>
      </c>
      <c r="F361" s="11">
        <f>DATE(2000,2,28)</f>
        <v>36584</v>
      </c>
      <c r="G361" s="12">
        <f t="shared" ca="1" si="31"/>
        <v>12</v>
      </c>
      <c r="H361" s="12">
        <f t="shared" ca="1" si="32"/>
        <v>0</v>
      </c>
      <c r="I361" s="13">
        <f t="shared" ca="1" si="33"/>
        <v>-16</v>
      </c>
      <c r="J361" s="14">
        <f t="shared" ca="1" si="34"/>
        <v>11</v>
      </c>
      <c r="K361" s="12" t="s">
        <v>41</v>
      </c>
      <c r="L361" s="15">
        <v>59</v>
      </c>
      <c r="M361" s="25" t="s">
        <v>44</v>
      </c>
      <c r="N361">
        <v>82</v>
      </c>
    </row>
    <row r="362" spans="1:14">
      <c r="A362" s="25" t="e">
        <f t="shared" si="35"/>
        <v>#REF!</v>
      </c>
      <c r="B362" s="67" t="s">
        <v>8</v>
      </c>
      <c r="C362" s="67" t="s">
        <v>596</v>
      </c>
      <c r="D362" s="67" t="s">
        <v>595</v>
      </c>
      <c r="E362" s="22">
        <f t="shared" ca="1" si="30"/>
        <v>40951</v>
      </c>
      <c r="F362" s="11">
        <f>DATE(47,7,17)</f>
        <v>17365</v>
      </c>
      <c r="G362" s="12">
        <f t="shared" ca="1" si="31"/>
        <v>65</v>
      </c>
      <c r="H362" s="12">
        <f t="shared" ca="1" si="32"/>
        <v>-5</v>
      </c>
      <c r="I362" s="13">
        <f t="shared" ca="1" si="33"/>
        <v>-5</v>
      </c>
      <c r="J362" s="14">
        <f t="shared" ca="1" si="34"/>
        <v>64</v>
      </c>
      <c r="K362" s="12" t="s">
        <v>41</v>
      </c>
      <c r="L362" s="15">
        <v>59</v>
      </c>
      <c r="M362" s="25" t="s">
        <v>40</v>
      </c>
      <c r="N362">
        <v>82</v>
      </c>
    </row>
    <row r="363" spans="1:14">
      <c r="A363" s="25" t="e">
        <f t="shared" si="35"/>
        <v>#REF!</v>
      </c>
      <c r="B363" s="67" t="s">
        <v>8</v>
      </c>
      <c r="C363" s="67" t="s">
        <v>406</v>
      </c>
      <c r="D363" s="67" t="s">
        <v>597</v>
      </c>
      <c r="E363" s="22">
        <f t="shared" ca="1" si="30"/>
        <v>40951</v>
      </c>
      <c r="F363" s="11">
        <f>DATE(78,9,28)</f>
        <v>28761</v>
      </c>
      <c r="G363" s="12">
        <f t="shared" ca="1" si="31"/>
        <v>34</v>
      </c>
      <c r="H363" s="12">
        <f t="shared" ca="1" si="32"/>
        <v>-7</v>
      </c>
      <c r="I363" s="13">
        <f t="shared" ca="1" si="33"/>
        <v>-16</v>
      </c>
      <c r="J363" s="14">
        <f t="shared" ca="1" si="34"/>
        <v>33</v>
      </c>
      <c r="K363" s="12" t="s">
        <v>41</v>
      </c>
      <c r="L363" s="15">
        <v>59</v>
      </c>
      <c r="M363" s="25" t="s">
        <v>40</v>
      </c>
      <c r="N363">
        <v>82</v>
      </c>
    </row>
    <row r="364" spans="1:14">
      <c r="A364" s="25" t="e">
        <f t="shared" si="35"/>
        <v>#REF!</v>
      </c>
      <c r="B364" s="67" t="s">
        <v>8</v>
      </c>
      <c r="C364" s="67" t="s">
        <v>598</v>
      </c>
      <c r="D364" s="67" t="s">
        <v>49</v>
      </c>
      <c r="E364" s="22">
        <f t="shared" ca="1" si="30"/>
        <v>40951</v>
      </c>
      <c r="F364" s="11">
        <f>DATE(58,1,7)</f>
        <v>21192</v>
      </c>
      <c r="G364" s="12">
        <f t="shared" ca="1" si="31"/>
        <v>54</v>
      </c>
      <c r="H364" s="12">
        <f t="shared" ca="1" si="32"/>
        <v>1</v>
      </c>
      <c r="I364" s="13">
        <f t="shared" ca="1" si="33"/>
        <v>5</v>
      </c>
      <c r="J364" s="14">
        <f t="shared" ca="1" si="34"/>
        <v>54</v>
      </c>
      <c r="K364" s="12" t="s">
        <v>41</v>
      </c>
      <c r="L364" s="15">
        <v>59</v>
      </c>
      <c r="M364" s="25" t="s">
        <v>40</v>
      </c>
      <c r="N364">
        <v>82</v>
      </c>
    </row>
    <row r="365" spans="1:14">
      <c r="A365" s="25" t="e">
        <f t="shared" si="35"/>
        <v>#REF!</v>
      </c>
      <c r="B365" s="67" t="s">
        <v>8</v>
      </c>
      <c r="C365" s="67" t="s">
        <v>218</v>
      </c>
      <c r="D365" s="67" t="s">
        <v>463</v>
      </c>
      <c r="E365" s="22">
        <f t="shared" ca="1" si="30"/>
        <v>40951</v>
      </c>
      <c r="F365" s="11">
        <f>DATE(47,1,25)</f>
        <v>17192</v>
      </c>
      <c r="G365" s="12">
        <f t="shared" ca="1" si="31"/>
        <v>65</v>
      </c>
      <c r="H365" s="12">
        <f t="shared" ca="1" si="32"/>
        <v>1</v>
      </c>
      <c r="I365" s="13">
        <f t="shared" ca="1" si="33"/>
        <v>-13</v>
      </c>
      <c r="J365" s="14">
        <f t="shared" ca="1" si="34"/>
        <v>65</v>
      </c>
      <c r="K365" s="12" t="s">
        <v>41</v>
      </c>
      <c r="L365" s="15">
        <v>60</v>
      </c>
      <c r="M365" s="25" t="s">
        <v>40</v>
      </c>
      <c r="N365">
        <v>82</v>
      </c>
    </row>
    <row r="366" spans="1:14">
      <c r="A366" s="25" t="e">
        <f t="shared" si="35"/>
        <v>#REF!</v>
      </c>
      <c r="B366" s="67" t="s">
        <v>8</v>
      </c>
      <c r="C366" s="67" t="s">
        <v>400</v>
      </c>
      <c r="D366" s="67" t="s">
        <v>601</v>
      </c>
      <c r="E366" s="22">
        <f t="shared" ca="1" si="30"/>
        <v>40951</v>
      </c>
      <c r="F366" s="11">
        <f>DATE(30,11,30)</f>
        <v>11292</v>
      </c>
      <c r="G366" s="12">
        <f t="shared" ca="1" si="31"/>
        <v>82</v>
      </c>
      <c r="H366" s="12">
        <f t="shared" ca="1" si="32"/>
        <v>-9</v>
      </c>
      <c r="I366" s="13">
        <f t="shared" ca="1" si="33"/>
        <v>-18</v>
      </c>
      <c r="J366" s="14">
        <f t="shared" ca="1" si="34"/>
        <v>81</v>
      </c>
      <c r="K366" s="12" t="s">
        <v>41</v>
      </c>
      <c r="L366" s="15">
        <v>60</v>
      </c>
      <c r="M366" s="25" t="s">
        <v>40</v>
      </c>
      <c r="N366">
        <v>82</v>
      </c>
    </row>
    <row r="367" spans="1:14">
      <c r="A367" s="25" t="e">
        <f t="shared" si="35"/>
        <v>#REF!</v>
      </c>
      <c r="B367" s="67" t="s">
        <v>8</v>
      </c>
      <c r="C367" s="67" t="s">
        <v>400</v>
      </c>
      <c r="D367" s="67" t="s">
        <v>602</v>
      </c>
      <c r="E367" s="22">
        <f t="shared" ca="1" si="30"/>
        <v>40951</v>
      </c>
      <c r="F367" s="11">
        <f>DATE(39,10,20)</f>
        <v>14538</v>
      </c>
      <c r="G367" s="12">
        <f t="shared" ca="1" si="31"/>
        <v>73</v>
      </c>
      <c r="H367" s="12">
        <f t="shared" ca="1" si="32"/>
        <v>-8</v>
      </c>
      <c r="I367" s="13">
        <f t="shared" ca="1" si="33"/>
        <v>-8</v>
      </c>
      <c r="J367" s="14">
        <f t="shared" ca="1" si="34"/>
        <v>72</v>
      </c>
      <c r="K367" s="12" t="s">
        <v>41</v>
      </c>
      <c r="L367" s="15">
        <v>60</v>
      </c>
      <c r="M367" s="25" t="s">
        <v>40</v>
      </c>
      <c r="N367">
        <v>82</v>
      </c>
    </row>
    <row r="368" spans="1:14" ht="15.75" thickBot="1">
      <c r="A368" s="26" t="e">
        <f t="shared" si="35"/>
        <v>#REF!</v>
      </c>
      <c r="B368" s="67" t="s">
        <v>8</v>
      </c>
      <c r="C368" s="68" t="s">
        <v>603</v>
      </c>
      <c r="D368" s="68" t="s">
        <v>367</v>
      </c>
      <c r="E368" s="23">
        <f t="shared" ca="1" si="30"/>
        <v>40951</v>
      </c>
      <c r="F368" s="16">
        <f>DATE(68,5,2)</f>
        <v>24960</v>
      </c>
      <c r="G368" s="17">
        <f t="shared" ca="1" si="31"/>
        <v>44</v>
      </c>
      <c r="H368" s="17">
        <f t="shared" ca="1" si="32"/>
        <v>-3</v>
      </c>
      <c r="I368" s="18">
        <f t="shared" ca="1" si="33"/>
        <v>10</v>
      </c>
      <c r="J368" s="19">
        <f t="shared" ca="1" si="34"/>
        <v>43</v>
      </c>
      <c r="K368" s="17" t="s">
        <v>41</v>
      </c>
      <c r="L368" s="20">
        <v>60</v>
      </c>
      <c r="M368" s="26" t="s">
        <v>40</v>
      </c>
      <c r="N368">
        <v>82</v>
      </c>
    </row>
    <row r="369" spans="1:14">
      <c r="A369" s="24" t="e">
        <f t="shared" si="35"/>
        <v>#REF!</v>
      </c>
      <c r="B369" s="66" t="s">
        <v>8</v>
      </c>
      <c r="C369" s="66" t="s">
        <v>607</v>
      </c>
      <c r="D369" s="66" t="s">
        <v>367</v>
      </c>
      <c r="E369" s="21">
        <f t="shared" ca="1" si="30"/>
        <v>40951</v>
      </c>
      <c r="F369" s="45"/>
      <c r="G369" s="7">
        <f t="shared" ca="1" si="31"/>
        <v>112</v>
      </c>
      <c r="H369" s="7">
        <f t="shared" ca="1" si="32"/>
        <v>1</v>
      </c>
      <c r="I369" s="8">
        <f t="shared" ca="1" si="33"/>
        <v>12</v>
      </c>
      <c r="J369" s="9">
        <f t="shared" ca="1" si="34"/>
        <v>112</v>
      </c>
      <c r="K369" s="7" t="s">
        <v>41</v>
      </c>
      <c r="L369" s="10">
        <v>60</v>
      </c>
      <c r="M369" s="24" t="s">
        <v>40</v>
      </c>
      <c r="N369">
        <v>83</v>
      </c>
    </row>
    <row r="370" spans="1:14">
      <c r="A370" s="25" t="e">
        <f t="shared" si="35"/>
        <v>#REF!</v>
      </c>
      <c r="B370" s="67" t="s">
        <v>8</v>
      </c>
      <c r="C370" s="67" t="s">
        <v>609</v>
      </c>
      <c r="D370" s="67" t="s">
        <v>235</v>
      </c>
      <c r="E370" s="22">
        <f t="shared" ca="1" si="30"/>
        <v>40951</v>
      </c>
      <c r="F370" s="11">
        <f>DATE(54,5,19)</f>
        <v>19863</v>
      </c>
      <c r="G370" s="12">
        <f t="shared" ca="1" si="31"/>
        <v>58</v>
      </c>
      <c r="H370" s="12">
        <f t="shared" ca="1" si="32"/>
        <v>-3</v>
      </c>
      <c r="I370" s="13">
        <f t="shared" ca="1" si="33"/>
        <v>-7</v>
      </c>
      <c r="J370" s="14">
        <f t="shared" ca="1" si="34"/>
        <v>57</v>
      </c>
      <c r="K370" s="12" t="s">
        <v>41</v>
      </c>
      <c r="L370" s="15">
        <v>61</v>
      </c>
      <c r="M370" s="25" t="s">
        <v>40</v>
      </c>
      <c r="N370">
        <v>83</v>
      </c>
    </row>
    <row r="371" spans="1:14">
      <c r="A371" s="25" t="e">
        <f t="shared" si="35"/>
        <v>#REF!</v>
      </c>
      <c r="B371" s="67" t="s">
        <v>8</v>
      </c>
      <c r="C371" s="67" t="s">
        <v>611</v>
      </c>
      <c r="D371" s="67" t="s">
        <v>610</v>
      </c>
      <c r="E371" s="22">
        <f t="shared" ca="1" si="30"/>
        <v>40951</v>
      </c>
      <c r="F371" s="11">
        <f>DATE(62,12,10)</f>
        <v>22990</v>
      </c>
      <c r="G371" s="12">
        <f t="shared" ca="1" si="31"/>
        <v>50</v>
      </c>
      <c r="H371" s="12">
        <f t="shared" ca="1" si="32"/>
        <v>-10</v>
      </c>
      <c r="I371" s="13">
        <f t="shared" ca="1" si="33"/>
        <v>2</v>
      </c>
      <c r="J371" s="14">
        <f t="shared" ca="1" si="34"/>
        <v>49</v>
      </c>
      <c r="K371" s="12" t="s">
        <v>41</v>
      </c>
      <c r="L371" s="15">
        <v>61</v>
      </c>
      <c r="M371" s="25" t="s">
        <v>40</v>
      </c>
      <c r="N371">
        <v>83</v>
      </c>
    </row>
    <row r="372" spans="1:14" ht="15.75" thickBot="1">
      <c r="A372" s="26" t="e">
        <f t="shared" si="35"/>
        <v>#REF!</v>
      </c>
      <c r="B372" s="67" t="s">
        <v>8</v>
      </c>
      <c r="C372" s="68" t="s">
        <v>613</v>
      </c>
      <c r="D372" s="68" t="s">
        <v>610</v>
      </c>
      <c r="E372" s="23">
        <f t="shared" ca="1" si="30"/>
        <v>40951</v>
      </c>
      <c r="F372" s="16">
        <f>DATE(89,9,29)</f>
        <v>32780</v>
      </c>
      <c r="G372" s="17">
        <f t="shared" ca="1" si="31"/>
        <v>23</v>
      </c>
      <c r="H372" s="17">
        <f t="shared" ca="1" si="32"/>
        <v>-7</v>
      </c>
      <c r="I372" s="18">
        <f t="shared" ca="1" si="33"/>
        <v>-17</v>
      </c>
      <c r="J372" s="19">
        <f t="shared" ca="1" si="34"/>
        <v>22</v>
      </c>
      <c r="K372" s="17" t="s">
        <v>41</v>
      </c>
      <c r="L372" s="20">
        <v>61</v>
      </c>
      <c r="M372" s="26" t="s">
        <v>44</v>
      </c>
      <c r="N372">
        <v>83</v>
      </c>
    </row>
    <row r="373" spans="1:14">
      <c r="A373" s="24" t="e">
        <f t="shared" si="35"/>
        <v>#REF!</v>
      </c>
      <c r="B373" s="66" t="s">
        <v>8</v>
      </c>
      <c r="C373" s="66" t="s">
        <v>614</v>
      </c>
      <c r="D373" s="66" t="s">
        <v>157</v>
      </c>
      <c r="E373" s="21">
        <f t="shared" ca="1" si="30"/>
        <v>40951</v>
      </c>
      <c r="F373" s="6">
        <f>DATE(65,7,7)</f>
        <v>23930</v>
      </c>
      <c r="G373" s="7">
        <f t="shared" ca="1" si="31"/>
        <v>47</v>
      </c>
      <c r="H373" s="7">
        <f t="shared" ca="1" si="32"/>
        <v>-5</v>
      </c>
      <c r="I373" s="8">
        <f t="shared" ca="1" si="33"/>
        <v>5</v>
      </c>
      <c r="J373" s="9">
        <f t="shared" ca="1" si="34"/>
        <v>46</v>
      </c>
      <c r="K373" s="7" t="s">
        <v>41</v>
      </c>
      <c r="L373" s="10">
        <v>61</v>
      </c>
      <c r="M373" s="24" t="s">
        <v>40</v>
      </c>
      <c r="N373">
        <v>84</v>
      </c>
    </row>
    <row r="374" spans="1:14">
      <c r="A374" s="25" t="e">
        <f t="shared" si="35"/>
        <v>#REF!</v>
      </c>
      <c r="B374" s="67" t="s">
        <v>8</v>
      </c>
      <c r="C374" s="67" t="s">
        <v>615</v>
      </c>
      <c r="D374" s="67" t="s">
        <v>198</v>
      </c>
      <c r="E374" s="22">
        <f t="shared" ca="1" si="30"/>
        <v>40951</v>
      </c>
      <c r="F374" s="11">
        <f>DATE(56,9,5)</f>
        <v>20703</v>
      </c>
      <c r="G374" s="12">
        <f t="shared" ca="1" si="31"/>
        <v>56</v>
      </c>
      <c r="H374" s="12">
        <f t="shared" ca="1" si="32"/>
        <v>-7</v>
      </c>
      <c r="I374" s="13">
        <f t="shared" ca="1" si="33"/>
        <v>7</v>
      </c>
      <c r="J374" s="14">
        <f t="shared" ca="1" si="34"/>
        <v>55</v>
      </c>
      <c r="K374" s="12" t="s">
        <v>41</v>
      </c>
      <c r="L374" s="15">
        <v>61</v>
      </c>
      <c r="M374" s="25" t="s">
        <v>44</v>
      </c>
      <c r="N374">
        <v>84</v>
      </c>
    </row>
    <row r="375" spans="1:14" ht="15.75" thickBot="1">
      <c r="A375" s="26" t="e">
        <f t="shared" si="35"/>
        <v>#REF!</v>
      </c>
      <c r="B375" s="67" t="s">
        <v>8</v>
      </c>
      <c r="C375" s="68" t="s">
        <v>616</v>
      </c>
      <c r="D375" s="68" t="s">
        <v>157</v>
      </c>
      <c r="E375" s="23">
        <f t="shared" ca="1" si="30"/>
        <v>40951</v>
      </c>
      <c r="F375" s="16">
        <f>DATE(85,11,4)</f>
        <v>31355</v>
      </c>
      <c r="G375" s="17">
        <f t="shared" ca="1" si="31"/>
        <v>27</v>
      </c>
      <c r="H375" s="17">
        <f t="shared" ca="1" si="32"/>
        <v>-9</v>
      </c>
      <c r="I375" s="18">
        <f t="shared" ca="1" si="33"/>
        <v>8</v>
      </c>
      <c r="J375" s="19">
        <f t="shared" ca="1" si="34"/>
        <v>26</v>
      </c>
      <c r="K375" s="17" t="s">
        <v>41</v>
      </c>
      <c r="L375" s="20">
        <v>61</v>
      </c>
      <c r="M375" s="26" t="s">
        <v>44</v>
      </c>
      <c r="N375">
        <v>84</v>
      </c>
    </row>
    <row r="376" spans="1:14">
      <c r="A376" s="24" t="e">
        <f t="shared" si="35"/>
        <v>#REF!</v>
      </c>
      <c r="B376" s="66" t="s">
        <v>8</v>
      </c>
      <c r="C376" s="66" t="s">
        <v>615</v>
      </c>
      <c r="D376" s="66" t="s">
        <v>77</v>
      </c>
      <c r="E376" s="21">
        <f t="shared" ca="1" si="30"/>
        <v>40951</v>
      </c>
      <c r="F376" s="6">
        <f>DATE(22,6,25)</f>
        <v>8212</v>
      </c>
      <c r="G376" s="7">
        <f t="shared" ca="1" si="31"/>
        <v>90</v>
      </c>
      <c r="H376" s="7">
        <f t="shared" ca="1" si="32"/>
        <v>-4</v>
      </c>
      <c r="I376" s="8">
        <f t="shared" ca="1" si="33"/>
        <v>-13</v>
      </c>
      <c r="J376" s="9">
        <f t="shared" ca="1" si="34"/>
        <v>89</v>
      </c>
      <c r="K376" s="7" t="s">
        <v>41</v>
      </c>
      <c r="L376" s="10">
        <v>62</v>
      </c>
      <c r="M376" s="24" t="s">
        <v>40</v>
      </c>
      <c r="N376">
        <v>85</v>
      </c>
    </row>
    <row r="377" spans="1:14">
      <c r="A377" s="25" t="e">
        <f t="shared" si="35"/>
        <v>#REF!</v>
      </c>
      <c r="B377" s="67" t="s">
        <v>8</v>
      </c>
      <c r="C377" s="67" t="s">
        <v>57</v>
      </c>
      <c r="D377" s="67" t="s">
        <v>617</v>
      </c>
      <c r="E377" s="22">
        <f t="shared" ca="1" si="30"/>
        <v>40951</v>
      </c>
      <c r="F377" s="11">
        <f>DATE(48,4,1)</f>
        <v>17624</v>
      </c>
      <c r="G377" s="12">
        <f t="shared" ca="1" si="31"/>
        <v>64</v>
      </c>
      <c r="H377" s="12">
        <f t="shared" ca="1" si="32"/>
        <v>-2</v>
      </c>
      <c r="I377" s="13">
        <f t="shared" ca="1" si="33"/>
        <v>11</v>
      </c>
      <c r="J377" s="14">
        <f t="shared" ca="1" si="34"/>
        <v>63</v>
      </c>
      <c r="K377" s="12" t="s">
        <v>41</v>
      </c>
      <c r="L377" s="15">
        <v>62</v>
      </c>
      <c r="M377" s="25" t="s">
        <v>40</v>
      </c>
      <c r="N377">
        <v>85</v>
      </c>
    </row>
    <row r="378" spans="1:14">
      <c r="A378" s="25" t="e">
        <f t="shared" si="35"/>
        <v>#REF!</v>
      </c>
      <c r="B378" s="67" t="s">
        <v>8</v>
      </c>
      <c r="C378" s="67" t="s">
        <v>619</v>
      </c>
      <c r="D378" s="67" t="s">
        <v>618</v>
      </c>
      <c r="E378" s="22">
        <f t="shared" ca="1" si="30"/>
        <v>40951</v>
      </c>
      <c r="F378" s="11">
        <f>DATE(81,7,18)</f>
        <v>29785</v>
      </c>
      <c r="G378" s="12">
        <f t="shared" ca="1" si="31"/>
        <v>31</v>
      </c>
      <c r="H378" s="12">
        <f t="shared" ca="1" si="32"/>
        <v>-5</v>
      </c>
      <c r="I378" s="13">
        <f t="shared" ca="1" si="33"/>
        <v>-6</v>
      </c>
      <c r="J378" s="14">
        <f t="shared" ca="1" si="34"/>
        <v>30</v>
      </c>
      <c r="K378" s="12" t="s">
        <v>41</v>
      </c>
      <c r="L378" s="15">
        <v>62</v>
      </c>
      <c r="M378" s="25" t="s">
        <v>40</v>
      </c>
      <c r="N378">
        <v>85</v>
      </c>
    </row>
    <row r="379" spans="1:14" ht="15.75" thickBot="1">
      <c r="A379" s="26" t="e">
        <f t="shared" si="35"/>
        <v>#REF!</v>
      </c>
      <c r="B379" s="67" t="s">
        <v>8</v>
      </c>
      <c r="C379" s="68" t="s">
        <v>620</v>
      </c>
      <c r="D379" s="68" t="s">
        <v>65</v>
      </c>
      <c r="E379" s="23">
        <f t="shared" ca="1" si="30"/>
        <v>40951</v>
      </c>
      <c r="F379" s="33"/>
      <c r="G379" s="17">
        <f t="shared" ca="1" si="31"/>
        <v>112</v>
      </c>
      <c r="H379" s="17">
        <f t="shared" ca="1" si="32"/>
        <v>1</v>
      </c>
      <c r="I379" s="18">
        <f t="shared" ca="1" si="33"/>
        <v>12</v>
      </c>
      <c r="J379" s="19">
        <f t="shared" ca="1" si="34"/>
        <v>112</v>
      </c>
      <c r="K379" s="17" t="s">
        <v>41</v>
      </c>
      <c r="L379" s="20">
        <v>62</v>
      </c>
      <c r="M379" s="26" t="s">
        <v>40</v>
      </c>
      <c r="N379">
        <v>85</v>
      </c>
    </row>
    <row r="380" spans="1:14">
      <c r="A380" s="24" t="e">
        <f t="shared" si="35"/>
        <v>#REF!</v>
      </c>
      <c r="B380" s="66" t="s">
        <v>8</v>
      </c>
      <c r="C380" s="66" t="s">
        <v>621</v>
      </c>
      <c r="D380" s="66" t="s">
        <v>65</v>
      </c>
      <c r="E380" s="21">
        <f t="shared" ca="1" si="30"/>
        <v>40951</v>
      </c>
      <c r="F380" s="45"/>
      <c r="G380" s="7">
        <f t="shared" ca="1" si="31"/>
        <v>112</v>
      </c>
      <c r="H380" s="7">
        <f t="shared" ca="1" si="32"/>
        <v>1</v>
      </c>
      <c r="I380" s="8">
        <f t="shared" ca="1" si="33"/>
        <v>12</v>
      </c>
      <c r="J380" s="9">
        <f t="shared" ca="1" si="34"/>
        <v>112</v>
      </c>
      <c r="K380" s="7" t="s">
        <v>41</v>
      </c>
      <c r="L380" s="10">
        <v>62</v>
      </c>
      <c r="M380" s="24" t="s">
        <v>44</v>
      </c>
      <c r="N380">
        <v>86</v>
      </c>
    </row>
    <row r="381" spans="1:14">
      <c r="A381" s="25" t="e">
        <f t="shared" si="35"/>
        <v>#REF!</v>
      </c>
      <c r="B381" s="67" t="s">
        <v>8</v>
      </c>
      <c r="C381" s="67" t="s">
        <v>622</v>
      </c>
      <c r="D381" s="67" t="s">
        <v>65</v>
      </c>
      <c r="E381" s="22">
        <f t="shared" ca="1" si="30"/>
        <v>40951</v>
      </c>
      <c r="F381" s="32"/>
      <c r="G381" s="12">
        <f t="shared" ca="1" si="31"/>
        <v>112</v>
      </c>
      <c r="H381" s="12">
        <f t="shared" ca="1" si="32"/>
        <v>1</v>
      </c>
      <c r="I381" s="13">
        <f t="shared" ca="1" si="33"/>
        <v>12</v>
      </c>
      <c r="J381" s="14">
        <f t="shared" ca="1" si="34"/>
        <v>112</v>
      </c>
      <c r="K381" s="12" t="s">
        <v>41</v>
      </c>
      <c r="L381" s="15">
        <v>62</v>
      </c>
      <c r="M381" s="25" t="s">
        <v>44</v>
      </c>
      <c r="N381">
        <v>86</v>
      </c>
    </row>
    <row r="382" spans="1:14">
      <c r="A382" s="25" t="e">
        <f t="shared" si="35"/>
        <v>#REF!</v>
      </c>
      <c r="B382" s="67" t="s">
        <v>8</v>
      </c>
      <c r="C382" s="67" t="s">
        <v>74</v>
      </c>
      <c r="D382" s="67"/>
      <c r="E382" s="22">
        <f t="shared" ca="1" si="30"/>
        <v>40951</v>
      </c>
      <c r="F382" s="11">
        <f>DATE(81,6,29)</f>
        <v>29766</v>
      </c>
      <c r="G382" s="12">
        <f t="shared" ca="1" si="31"/>
        <v>31</v>
      </c>
      <c r="H382" s="12">
        <f t="shared" ca="1" si="32"/>
        <v>-4</v>
      </c>
      <c r="I382" s="13">
        <f t="shared" ca="1" si="33"/>
        <v>-17</v>
      </c>
      <c r="J382" s="14">
        <f t="shared" ca="1" si="34"/>
        <v>30</v>
      </c>
      <c r="K382" s="12" t="s">
        <v>41</v>
      </c>
      <c r="L382" s="15">
        <v>62</v>
      </c>
      <c r="M382" s="25" t="s">
        <v>44</v>
      </c>
      <c r="N382">
        <v>86</v>
      </c>
    </row>
    <row r="383" spans="1:14" ht="15.75" thickBot="1">
      <c r="A383" s="26" t="e">
        <f t="shared" si="35"/>
        <v>#REF!</v>
      </c>
      <c r="B383" s="67" t="s">
        <v>8</v>
      </c>
      <c r="C383" s="68" t="s">
        <v>625</v>
      </c>
      <c r="D383" s="68" t="s">
        <v>623</v>
      </c>
      <c r="E383" s="23">
        <f t="shared" ca="1" si="30"/>
        <v>40951</v>
      </c>
      <c r="F383" s="16">
        <f>DATE(42,10,23)</f>
        <v>15637</v>
      </c>
      <c r="G383" s="17">
        <f t="shared" ca="1" si="31"/>
        <v>70</v>
      </c>
      <c r="H383" s="17">
        <f t="shared" ca="1" si="32"/>
        <v>-8</v>
      </c>
      <c r="I383" s="18">
        <f t="shared" ca="1" si="33"/>
        <v>-11</v>
      </c>
      <c r="J383" s="19">
        <f t="shared" ca="1" si="34"/>
        <v>69</v>
      </c>
      <c r="K383" s="17" t="s">
        <v>41</v>
      </c>
      <c r="L383" s="20">
        <v>62</v>
      </c>
      <c r="M383" s="26" t="s">
        <v>40</v>
      </c>
      <c r="N383">
        <v>86</v>
      </c>
    </row>
    <row r="384" spans="1:14">
      <c r="A384" s="24" t="e">
        <f t="shared" si="35"/>
        <v>#REF!</v>
      </c>
      <c r="B384" s="66" t="s">
        <v>8</v>
      </c>
      <c r="C384" s="66" t="s">
        <v>626</v>
      </c>
      <c r="D384" s="66" t="s">
        <v>623</v>
      </c>
      <c r="E384" s="21">
        <f t="shared" ca="1" si="30"/>
        <v>40951</v>
      </c>
      <c r="F384" s="6">
        <f>DATE(43,6,13)</f>
        <v>15870</v>
      </c>
      <c r="G384" s="7">
        <f t="shared" ca="1" si="31"/>
        <v>69</v>
      </c>
      <c r="H384" s="7">
        <f t="shared" ca="1" si="32"/>
        <v>-4</v>
      </c>
      <c r="I384" s="8">
        <f t="shared" ca="1" si="33"/>
        <v>-1</v>
      </c>
      <c r="J384" s="9">
        <f t="shared" ca="1" si="34"/>
        <v>68</v>
      </c>
      <c r="K384" s="7" t="s">
        <v>41</v>
      </c>
      <c r="L384" s="10">
        <v>62</v>
      </c>
      <c r="M384" s="24" t="s">
        <v>40</v>
      </c>
      <c r="N384">
        <v>87</v>
      </c>
    </row>
    <row r="385" spans="1:14">
      <c r="A385" s="25" t="e">
        <f t="shared" si="35"/>
        <v>#REF!</v>
      </c>
      <c r="B385" s="67" t="s">
        <v>8</v>
      </c>
      <c r="C385" s="67" t="s">
        <v>628</v>
      </c>
      <c r="D385" s="67" t="s">
        <v>627</v>
      </c>
      <c r="E385" s="22">
        <f t="shared" ref="E385:E448" ca="1" si="36">TODAY()</f>
        <v>40951</v>
      </c>
      <c r="F385" s="11">
        <f>DATE(81,3,10)</f>
        <v>29655</v>
      </c>
      <c r="G385" s="12">
        <f t="shared" ref="G385:G448" ca="1" si="37">YEAR(E385)-YEAR(F385)</f>
        <v>31</v>
      </c>
      <c r="H385" s="12">
        <f t="shared" ref="H385:H448" ca="1" si="38">MONTH(E385)-MONTH(F385)</f>
        <v>-1</v>
      </c>
      <c r="I385" s="13">
        <f t="shared" ref="I385:I448" ca="1" si="39">DAY(E385)-DAY(F385)</f>
        <v>2</v>
      </c>
      <c r="J385" s="14">
        <f t="shared" ref="J385:J448" ca="1" si="40">IF(H385&lt;0,G385-1,IF(H385&gt;0,G385,IF(I385&lt;0,G385-1,G385)))</f>
        <v>30</v>
      </c>
      <c r="K385" s="12" t="s">
        <v>41</v>
      </c>
      <c r="L385" s="15">
        <v>62</v>
      </c>
      <c r="M385" s="25" t="s">
        <v>40</v>
      </c>
      <c r="N385">
        <v>87</v>
      </c>
    </row>
    <row r="386" spans="1:14">
      <c r="A386" s="25" t="e">
        <f t="shared" ref="A386:A444" si="41">A385+1</f>
        <v>#REF!</v>
      </c>
      <c r="B386" s="67" t="s">
        <v>8</v>
      </c>
      <c r="C386" s="67" t="s">
        <v>188</v>
      </c>
      <c r="D386" s="67" t="s">
        <v>90</v>
      </c>
      <c r="E386" s="22">
        <f t="shared" ca="1" si="36"/>
        <v>40951</v>
      </c>
      <c r="F386" s="11">
        <f>DATE(54,9,20)</f>
        <v>19987</v>
      </c>
      <c r="G386" s="12">
        <f t="shared" ca="1" si="37"/>
        <v>58</v>
      </c>
      <c r="H386" s="12">
        <f t="shared" ca="1" si="38"/>
        <v>-7</v>
      </c>
      <c r="I386" s="13">
        <f t="shared" ca="1" si="39"/>
        <v>-8</v>
      </c>
      <c r="J386" s="14">
        <f t="shared" ca="1" si="40"/>
        <v>57</v>
      </c>
      <c r="K386" s="12" t="s">
        <v>41</v>
      </c>
      <c r="L386" s="15">
        <v>63</v>
      </c>
      <c r="M386" s="25" t="s">
        <v>40</v>
      </c>
      <c r="N386">
        <v>87</v>
      </c>
    </row>
    <row r="387" spans="1:14">
      <c r="A387" s="25" t="e">
        <f t="shared" si="41"/>
        <v>#REF!</v>
      </c>
      <c r="B387" s="67" t="s">
        <v>8</v>
      </c>
      <c r="C387" s="67" t="s">
        <v>629</v>
      </c>
      <c r="D387" s="67" t="s">
        <v>372</v>
      </c>
      <c r="E387" s="22">
        <f t="shared" ca="1" si="36"/>
        <v>40951</v>
      </c>
      <c r="F387" s="11">
        <f>DATE(32,9,1)</f>
        <v>11933</v>
      </c>
      <c r="G387" s="12">
        <f t="shared" ca="1" si="37"/>
        <v>80</v>
      </c>
      <c r="H387" s="12">
        <f t="shared" ca="1" si="38"/>
        <v>-7</v>
      </c>
      <c r="I387" s="13">
        <f t="shared" ca="1" si="39"/>
        <v>11</v>
      </c>
      <c r="J387" s="14">
        <f t="shared" ca="1" si="40"/>
        <v>79</v>
      </c>
      <c r="K387" s="12" t="s">
        <v>41</v>
      </c>
      <c r="L387" s="15">
        <v>63</v>
      </c>
      <c r="M387" s="25" t="s">
        <v>40</v>
      </c>
      <c r="N387">
        <v>87</v>
      </c>
    </row>
    <row r="388" spans="1:14">
      <c r="A388" s="25" t="e">
        <f t="shared" si="41"/>
        <v>#REF!</v>
      </c>
      <c r="B388" s="67" t="s">
        <v>8</v>
      </c>
      <c r="C388" s="67" t="s">
        <v>631</v>
      </c>
      <c r="D388" s="67" t="s">
        <v>630</v>
      </c>
      <c r="E388" s="22">
        <f t="shared" ca="1" si="36"/>
        <v>40951</v>
      </c>
      <c r="F388" s="11">
        <f>DATE(80,9,29)</f>
        <v>29493</v>
      </c>
      <c r="G388" s="12">
        <f t="shared" ca="1" si="37"/>
        <v>32</v>
      </c>
      <c r="H388" s="12">
        <f t="shared" ca="1" si="38"/>
        <v>-7</v>
      </c>
      <c r="I388" s="13">
        <f t="shared" ca="1" si="39"/>
        <v>-17</v>
      </c>
      <c r="J388" s="14">
        <f t="shared" ca="1" si="40"/>
        <v>31</v>
      </c>
      <c r="K388" s="12" t="s">
        <v>41</v>
      </c>
      <c r="L388" s="15">
        <v>63</v>
      </c>
      <c r="M388" s="25" t="s">
        <v>40</v>
      </c>
      <c r="N388">
        <v>87</v>
      </c>
    </row>
    <row r="389" spans="1:14" ht="15.75" thickBot="1">
      <c r="A389" s="26" t="e">
        <f t="shared" si="41"/>
        <v>#REF!</v>
      </c>
      <c r="B389" s="67" t="s">
        <v>8</v>
      </c>
      <c r="C389" s="68" t="s">
        <v>632</v>
      </c>
      <c r="D389" s="68" t="s">
        <v>90</v>
      </c>
      <c r="E389" s="23">
        <f t="shared" ca="1" si="36"/>
        <v>40951</v>
      </c>
      <c r="F389" s="16">
        <f>DATE(87,5,18)</f>
        <v>31915</v>
      </c>
      <c r="G389" s="17">
        <f t="shared" ca="1" si="37"/>
        <v>25</v>
      </c>
      <c r="H389" s="17">
        <f t="shared" ca="1" si="38"/>
        <v>-3</v>
      </c>
      <c r="I389" s="18">
        <f t="shared" ca="1" si="39"/>
        <v>-6</v>
      </c>
      <c r="J389" s="19">
        <f t="shared" ca="1" si="40"/>
        <v>24</v>
      </c>
      <c r="K389" s="17" t="s">
        <v>41</v>
      </c>
      <c r="L389" s="20">
        <v>63</v>
      </c>
      <c r="M389" s="26" t="s">
        <v>44</v>
      </c>
      <c r="N389">
        <v>87</v>
      </c>
    </row>
    <row r="390" spans="1:14">
      <c r="A390" s="24" t="e">
        <f t="shared" si="41"/>
        <v>#REF!</v>
      </c>
      <c r="B390" s="66" t="s">
        <v>8</v>
      </c>
      <c r="C390" s="66" t="s">
        <v>633</v>
      </c>
      <c r="D390" s="66" t="s">
        <v>630</v>
      </c>
      <c r="E390" s="21">
        <f t="shared" ca="1" si="36"/>
        <v>40951</v>
      </c>
      <c r="F390" s="6">
        <f>DATE(2005,10,7)</f>
        <v>38632</v>
      </c>
      <c r="G390" s="7">
        <f t="shared" ca="1" si="37"/>
        <v>7</v>
      </c>
      <c r="H390" s="7">
        <f t="shared" ca="1" si="38"/>
        <v>-8</v>
      </c>
      <c r="I390" s="8">
        <f t="shared" ca="1" si="39"/>
        <v>5</v>
      </c>
      <c r="J390" s="9">
        <f t="shared" ca="1" si="40"/>
        <v>6</v>
      </c>
      <c r="K390" s="7" t="s">
        <v>41</v>
      </c>
      <c r="L390" s="10">
        <v>63</v>
      </c>
      <c r="M390" s="24" t="s">
        <v>44</v>
      </c>
      <c r="N390">
        <v>88</v>
      </c>
    </row>
    <row r="391" spans="1:14">
      <c r="A391" s="25" t="e">
        <f t="shared" si="41"/>
        <v>#REF!</v>
      </c>
      <c r="B391" s="67" t="s">
        <v>8</v>
      </c>
      <c r="C391" s="67" t="s">
        <v>570</v>
      </c>
      <c r="D391" s="67" t="s">
        <v>90</v>
      </c>
      <c r="E391" s="22">
        <f t="shared" ca="1" si="36"/>
        <v>40951</v>
      </c>
      <c r="F391" s="11">
        <f>DATE(59,10,27)</f>
        <v>21850</v>
      </c>
      <c r="G391" s="12">
        <f t="shared" ca="1" si="37"/>
        <v>53</v>
      </c>
      <c r="H391" s="12">
        <f t="shared" ca="1" si="38"/>
        <v>-8</v>
      </c>
      <c r="I391" s="13">
        <f t="shared" ca="1" si="39"/>
        <v>-15</v>
      </c>
      <c r="J391" s="14">
        <f t="shared" ca="1" si="40"/>
        <v>52</v>
      </c>
      <c r="K391" s="12" t="s">
        <v>41</v>
      </c>
      <c r="L391" s="15">
        <v>63</v>
      </c>
      <c r="M391" s="25" t="s">
        <v>40</v>
      </c>
      <c r="N391">
        <v>88</v>
      </c>
    </row>
    <row r="392" spans="1:14">
      <c r="A392" s="25" t="e">
        <f t="shared" si="41"/>
        <v>#REF!</v>
      </c>
      <c r="B392" s="67" t="s">
        <v>8</v>
      </c>
      <c r="C392" s="67" t="s">
        <v>635</v>
      </c>
      <c r="D392" s="67" t="s">
        <v>90</v>
      </c>
      <c r="E392" s="22">
        <f t="shared" ca="1" si="36"/>
        <v>40951</v>
      </c>
      <c r="F392" s="11">
        <f>DATE(83,8,28)</f>
        <v>30556</v>
      </c>
      <c r="G392" s="12">
        <f t="shared" ca="1" si="37"/>
        <v>29</v>
      </c>
      <c r="H392" s="12">
        <f t="shared" ca="1" si="38"/>
        <v>-6</v>
      </c>
      <c r="I392" s="13">
        <f t="shared" ca="1" si="39"/>
        <v>-16</v>
      </c>
      <c r="J392" s="14">
        <f t="shared" ca="1" si="40"/>
        <v>28</v>
      </c>
      <c r="K392" s="12" t="s">
        <v>41</v>
      </c>
      <c r="L392" s="15">
        <v>63</v>
      </c>
      <c r="M392" s="25" t="s">
        <v>44</v>
      </c>
      <c r="N392">
        <v>88</v>
      </c>
    </row>
    <row r="393" spans="1:14">
      <c r="A393" s="25" t="e">
        <f t="shared" si="41"/>
        <v>#REF!</v>
      </c>
      <c r="B393" s="67" t="s">
        <v>8</v>
      </c>
      <c r="C393" s="67" t="s">
        <v>290</v>
      </c>
      <c r="D393" s="67" t="s">
        <v>90</v>
      </c>
      <c r="E393" s="22">
        <f t="shared" ca="1" si="36"/>
        <v>40951</v>
      </c>
      <c r="F393" s="11">
        <f>DATE(86,3,13)</f>
        <v>31484</v>
      </c>
      <c r="G393" s="12">
        <f t="shared" ca="1" si="37"/>
        <v>26</v>
      </c>
      <c r="H393" s="12">
        <f t="shared" ca="1" si="38"/>
        <v>-1</v>
      </c>
      <c r="I393" s="13">
        <f t="shared" ca="1" si="39"/>
        <v>-1</v>
      </c>
      <c r="J393" s="14">
        <f t="shared" ca="1" si="40"/>
        <v>25</v>
      </c>
      <c r="K393" s="12" t="s">
        <v>41</v>
      </c>
      <c r="L393" s="15">
        <v>63</v>
      </c>
      <c r="M393" s="25" t="s">
        <v>44</v>
      </c>
      <c r="N393">
        <v>88</v>
      </c>
    </row>
    <row r="394" spans="1:14" ht="15.75" thickBot="1">
      <c r="A394" s="26" t="e">
        <f t="shared" si="41"/>
        <v>#REF!</v>
      </c>
      <c r="B394" s="67" t="s">
        <v>8</v>
      </c>
      <c r="C394" s="68" t="s">
        <v>636</v>
      </c>
      <c r="D394" s="68" t="s">
        <v>90</v>
      </c>
      <c r="E394" s="23">
        <f t="shared" ca="1" si="36"/>
        <v>40951</v>
      </c>
      <c r="F394" s="16">
        <f>DATE(90,11,18)</f>
        <v>33195</v>
      </c>
      <c r="G394" s="17">
        <f t="shared" ca="1" si="37"/>
        <v>22</v>
      </c>
      <c r="H394" s="17">
        <f t="shared" ca="1" si="38"/>
        <v>-9</v>
      </c>
      <c r="I394" s="18">
        <f t="shared" ca="1" si="39"/>
        <v>-6</v>
      </c>
      <c r="J394" s="19">
        <f t="shared" ca="1" si="40"/>
        <v>21</v>
      </c>
      <c r="K394" s="17" t="s">
        <v>41</v>
      </c>
      <c r="L394" s="20">
        <v>63</v>
      </c>
      <c r="M394" s="26" t="s">
        <v>44</v>
      </c>
      <c r="N394">
        <v>88</v>
      </c>
    </row>
    <row r="395" spans="1:14">
      <c r="A395" s="24" t="e">
        <f t="shared" si="41"/>
        <v>#REF!</v>
      </c>
      <c r="B395" s="66" t="s">
        <v>8</v>
      </c>
      <c r="C395" s="66" t="s">
        <v>359</v>
      </c>
      <c r="D395" s="66" t="s">
        <v>637</v>
      </c>
      <c r="E395" s="21">
        <f t="shared" ca="1" si="36"/>
        <v>40951</v>
      </c>
      <c r="F395" s="45"/>
      <c r="G395" s="7">
        <f t="shared" ca="1" si="37"/>
        <v>112</v>
      </c>
      <c r="H395" s="7">
        <f t="shared" ca="1" si="38"/>
        <v>1</v>
      </c>
      <c r="I395" s="8">
        <f t="shared" ca="1" si="39"/>
        <v>12</v>
      </c>
      <c r="J395" s="9">
        <f t="shared" ca="1" si="40"/>
        <v>112</v>
      </c>
      <c r="K395" s="7" t="s">
        <v>41</v>
      </c>
      <c r="L395" s="10">
        <v>63</v>
      </c>
      <c r="M395" s="24" t="s">
        <v>40</v>
      </c>
      <c r="N395">
        <v>89</v>
      </c>
    </row>
    <row r="396" spans="1:14">
      <c r="A396" s="25" t="e">
        <f t="shared" si="41"/>
        <v>#REF!</v>
      </c>
      <c r="B396" s="67" t="s">
        <v>8</v>
      </c>
      <c r="C396" s="67" t="s">
        <v>462</v>
      </c>
      <c r="D396" s="67" t="s">
        <v>637</v>
      </c>
      <c r="E396" s="22">
        <f t="shared" ca="1" si="36"/>
        <v>40951</v>
      </c>
      <c r="F396" s="32"/>
      <c r="G396" s="12">
        <f t="shared" ca="1" si="37"/>
        <v>112</v>
      </c>
      <c r="H396" s="12">
        <f t="shared" ca="1" si="38"/>
        <v>1</v>
      </c>
      <c r="I396" s="13">
        <f t="shared" ca="1" si="39"/>
        <v>12</v>
      </c>
      <c r="J396" s="14">
        <f t="shared" ca="1" si="40"/>
        <v>112</v>
      </c>
      <c r="K396" s="12" t="s">
        <v>41</v>
      </c>
      <c r="L396" s="15">
        <v>63</v>
      </c>
      <c r="M396" s="25" t="s">
        <v>44</v>
      </c>
      <c r="N396">
        <v>89</v>
      </c>
    </row>
    <row r="397" spans="1:14" ht="15.75" thickBot="1">
      <c r="A397" s="26" t="e">
        <f t="shared" si="41"/>
        <v>#REF!</v>
      </c>
      <c r="B397" s="67" t="s">
        <v>8</v>
      </c>
      <c r="C397" s="68" t="s">
        <v>368</v>
      </c>
      <c r="D397" s="68" t="s">
        <v>93</v>
      </c>
      <c r="E397" s="23">
        <f t="shared" ca="1" si="36"/>
        <v>40951</v>
      </c>
      <c r="F397" s="33"/>
      <c r="G397" s="17">
        <f t="shared" ca="1" si="37"/>
        <v>112</v>
      </c>
      <c r="H397" s="17">
        <f t="shared" ca="1" si="38"/>
        <v>1</v>
      </c>
      <c r="I397" s="18">
        <f t="shared" ca="1" si="39"/>
        <v>12</v>
      </c>
      <c r="J397" s="19">
        <f t="shared" ca="1" si="40"/>
        <v>112</v>
      </c>
      <c r="K397" s="17" t="s">
        <v>41</v>
      </c>
      <c r="L397" s="20">
        <v>63</v>
      </c>
      <c r="M397" s="26" t="s">
        <v>40</v>
      </c>
      <c r="N397">
        <v>89</v>
      </c>
    </row>
    <row r="398" spans="1:14">
      <c r="A398" s="24" t="e">
        <f t="shared" si="41"/>
        <v>#REF!</v>
      </c>
      <c r="B398" s="66" t="s">
        <v>8</v>
      </c>
      <c r="C398" s="66" t="s">
        <v>638</v>
      </c>
      <c r="D398" s="66" t="s">
        <v>93</v>
      </c>
      <c r="E398" s="21">
        <f t="shared" ca="1" si="36"/>
        <v>40951</v>
      </c>
      <c r="F398" s="45"/>
      <c r="G398" s="7">
        <f t="shared" ca="1" si="37"/>
        <v>112</v>
      </c>
      <c r="H398" s="7">
        <f t="shared" ca="1" si="38"/>
        <v>1</v>
      </c>
      <c r="I398" s="8">
        <f t="shared" ca="1" si="39"/>
        <v>12</v>
      </c>
      <c r="J398" s="9">
        <f t="shared" ca="1" si="40"/>
        <v>112</v>
      </c>
      <c r="K398" s="7" t="s">
        <v>41</v>
      </c>
      <c r="L398" s="10">
        <v>63</v>
      </c>
      <c r="M398" s="24" t="s">
        <v>44</v>
      </c>
      <c r="N398">
        <v>90</v>
      </c>
    </row>
    <row r="399" spans="1:14" ht="15.75" thickBot="1">
      <c r="A399" s="26" t="e">
        <f t="shared" si="41"/>
        <v>#REF!</v>
      </c>
      <c r="B399" s="67" t="s">
        <v>8</v>
      </c>
      <c r="C399" s="68" t="s">
        <v>639</v>
      </c>
      <c r="D399" s="68" t="s">
        <v>237</v>
      </c>
      <c r="E399" s="23">
        <f t="shared" ca="1" si="36"/>
        <v>40951</v>
      </c>
      <c r="F399" s="16">
        <f>DATE(52,10,19)</f>
        <v>19286</v>
      </c>
      <c r="G399" s="17">
        <f t="shared" ca="1" si="37"/>
        <v>60</v>
      </c>
      <c r="H399" s="17">
        <f t="shared" ca="1" si="38"/>
        <v>-8</v>
      </c>
      <c r="I399" s="18">
        <f t="shared" ca="1" si="39"/>
        <v>-7</v>
      </c>
      <c r="J399" s="19">
        <f t="shared" ca="1" si="40"/>
        <v>59</v>
      </c>
      <c r="K399" s="17" t="s">
        <v>41</v>
      </c>
      <c r="L399" s="20">
        <v>64</v>
      </c>
      <c r="M399" s="26" t="s">
        <v>40</v>
      </c>
      <c r="N399">
        <v>90</v>
      </c>
    </row>
    <row r="400" spans="1:14">
      <c r="A400" s="24" t="e">
        <f t="shared" si="41"/>
        <v>#REF!</v>
      </c>
      <c r="B400" s="66" t="s">
        <v>8</v>
      </c>
      <c r="C400" s="66" t="s">
        <v>442</v>
      </c>
      <c r="D400" s="66" t="s">
        <v>237</v>
      </c>
      <c r="E400" s="21">
        <f t="shared" ca="1" si="36"/>
        <v>40951</v>
      </c>
      <c r="F400" s="6">
        <f>DATE(94,3,25)</f>
        <v>34418</v>
      </c>
      <c r="G400" s="7">
        <f t="shared" ca="1" si="37"/>
        <v>18</v>
      </c>
      <c r="H400" s="7">
        <f t="shared" ca="1" si="38"/>
        <v>-1</v>
      </c>
      <c r="I400" s="8">
        <f t="shared" ca="1" si="39"/>
        <v>-13</v>
      </c>
      <c r="J400" s="9">
        <f t="shared" ca="1" si="40"/>
        <v>17</v>
      </c>
      <c r="K400" s="7" t="s">
        <v>41</v>
      </c>
      <c r="L400" s="10">
        <v>64</v>
      </c>
      <c r="M400" s="24" t="s">
        <v>44</v>
      </c>
      <c r="N400">
        <v>91</v>
      </c>
    </row>
    <row r="401" spans="1:14">
      <c r="A401" s="25" t="e">
        <f t="shared" si="41"/>
        <v>#REF!</v>
      </c>
      <c r="B401" s="67" t="s">
        <v>8</v>
      </c>
      <c r="C401" s="67" t="s">
        <v>583</v>
      </c>
      <c r="D401" s="67" t="s">
        <v>641</v>
      </c>
      <c r="E401" s="22">
        <f t="shared" ca="1" si="36"/>
        <v>40951</v>
      </c>
      <c r="F401" s="11">
        <f>DATE(80,2,19)</f>
        <v>29270</v>
      </c>
      <c r="G401" s="12">
        <f t="shared" ca="1" si="37"/>
        <v>32</v>
      </c>
      <c r="H401" s="12">
        <f t="shared" ca="1" si="38"/>
        <v>0</v>
      </c>
      <c r="I401" s="13">
        <f t="shared" ca="1" si="39"/>
        <v>-7</v>
      </c>
      <c r="J401" s="14">
        <f t="shared" ca="1" si="40"/>
        <v>31</v>
      </c>
      <c r="K401" s="12" t="s">
        <v>41</v>
      </c>
      <c r="L401" s="15">
        <v>64</v>
      </c>
      <c r="M401" s="25" t="s">
        <v>40</v>
      </c>
      <c r="N401">
        <v>91</v>
      </c>
    </row>
    <row r="402" spans="1:14">
      <c r="A402" s="25" t="e">
        <f t="shared" si="41"/>
        <v>#REF!</v>
      </c>
      <c r="B402" s="67" t="s">
        <v>8</v>
      </c>
      <c r="C402" s="67" t="s">
        <v>113</v>
      </c>
      <c r="D402" s="67" t="s">
        <v>274</v>
      </c>
      <c r="E402" s="22">
        <f t="shared" ca="1" si="36"/>
        <v>40951</v>
      </c>
      <c r="F402" s="11">
        <f>DATE(61,9,28)</f>
        <v>22552</v>
      </c>
      <c r="G402" s="12">
        <f t="shared" ca="1" si="37"/>
        <v>51</v>
      </c>
      <c r="H402" s="12">
        <f t="shared" ca="1" si="38"/>
        <v>-7</v>
      </c>
      <c r="I402" s="13">
        <f t="shared" ca="1" si="39"/>
        <v>-16</v>
      </c>
      <c r="J402" s="14">
        <f t="shared" ca="1" si="40"/>
        <v>50</v>
      </c>
      <c r="K402" s="12" t="s">
        <v>41</v>
      </c>
      <c r="L402" s="15">
        <v>64</v>
      </c>
      <c r="M402" s="25" t="s">
        <v>40</v>
      </c>
      <c r="N402">
        <v>91</v>
      </c>
    </row>
    <row r="403" spans="1:14">
      <c r="A403" s="25" t="e">
        <f t="shared" si="41"/>
        <v>#REF!</v>
      </c>
      <c r="B403" s="67" t="s">
        <v>8</v>
      </c>
      <c r="C403" s="67" t="s">
        <v>643</v>
      </c>
      <c r="D403" s="67" t="s">
        <v>274</v>
      </c>
      <c r="E403" s="22">
        <f t="shared" ca="1" si="36"/>
        <v>40951</v>
      </c>
      <c r="F403" s="11">
        <f>DATE(87,2,9)</f>
        <v>31817</v>
      </c>
      <c r="G403" s="12">
        <f t="shared" ca="1" si="37"/>
        <v>25</v>
      </c>
      <c r="H403" s="12">
        <f t="shared" ca="1" si="38"/>
        <v>0</v>
      </c>
      <c r="I403" s="13">
        <f t="shared" ca="1" si="39"/>
        <v>3</v>
      </c>
      <c r="J403" s="14">
        <f t="shared" ca="1" si="40"/>
        <v>25</v>
      </c>
      <c r="K403" s="12" t="s">
        <v>41</v>
      </c>
      <c r="L403" s="15">
        <v>64</v>
      </c>
      <c r="M403" s="25" t="s">
        <v>44</v>
      </c>
      <c r="N403">
        <v>91</v>
      </c>
    </row>
    <row r="404" spans="1:14" ht="15.75" thickBot="1">
      <c r="A404" s="26" t="e">
        <f t="shared" si="41"/>
        <v>#REF!</v>
      </c>
      <c r="B404" s="67" t="s">
        <v>8</v>
      </c>
      <c r="C404" s="68" t="s">
        <v>350</v>
      </c>
      <c r="D404" s="68" t="s">
        <v>274</v>
      </c>
      <c r="E404" s="23">
        <f t="shared" ca="1" si="36"/>
        <v>40951</v>
      </c>
      <c r="F404" s="16">
        <f>DATE(94,7,20)</f>
        <v>34535</v>
      </c>
      <c r="G404" s="17">
        <f t="shared" ca="1" si="37"/>
        <v>18</v>
      </c>
      <c r="H404" s="17">
        <f t="shared" ca="1" si="38"/>
        <v>-5</v>
      </c>
      <c r="I404" s="18">
        <f t="shared" ca="1" si="39"/>
        <v>-8</v>
      </c>
      <c r="J404" s="19">
        <f t="shared" ca="1" si="40"/>
        <v>17</v>
      </c>
      <c r="K404" s="17" t="s">
        <v>41</v>
      </c>
      <c r="L404" s="20">
        <v>64</v>
      </c>
      <c r="M404" s="26" t="s">
        <v>44</v>
      </c>
      <c r="N404">
        <v>91</v>
      </c>
    </row>
    <row r="405" spans="1:14">
      <c r="A405" s="24" t="e">
        <f t="shared" si="41"/>
        <v>#REF!</v>
      </c>
      <c r="B405" s="66" t="s">
        <v>8</v>
      </c>
      <c r="C405" s="66" t="s">
        <v>261</v>
      </c>
      <c r="D405" s="66" t="s">
        <v>646</v>
      </c>
      <c r="E405" s="21">
        <f t="shared" ca="1" si="36"/>
        <v>40951</v>
      </c>
      <c r="F405" s="45"/>
      <c r="G405" s="7">
        <f t="shared" ca="1" si="37"/>
        <v>112</v>
      </c>
      <c r="H405" s="7">
        <f t="shared" ca="1" si="38"/>
        <v>1</v>
      </c>
      <c r="I405" s="8">
        <f t="shared" ca="1" si="39"/>
        <v>12</v>
      </c>
      <c r="J405" s="9">
        <f t="shared" ca="1" si="40"/>
        <v>112</v>
      </c>
      <c r="K405" s="7" t="s">
        <v>41</v>
      </c>
      <c r="L405" s="10">
        <v>65</v>
      </c>
      <c r="M405" s="24" t="s">
        <v>40</v>
      </c>
      <c r="N405">
        <v>92</v>
      </c>
    </row>
    <row r="406" spans="1:14">
      <c r="A406" s="25" t="e">
        <f t="shared" si="41"/>
        <v>#REF!</v>
      </c>
      <c r="B406" s="67" t="s">
        <v>8</v>
      </c>
      <c r="C406" s="67" t="s">
        <v>647</v>
      </c>
      <c r="D406" s="67" t="s">
        <v>645</v>
      </c>
      <c r="E406" s="22">
        <f t="shared" ca="1" si="36"/>
        <v>40951</v>
      </c>
      <c r="F406" s="32"/>
      <c r="G406" s="12">
        <f t="shared" ca="1" si="37"/>
        <v>112</v>
      </c>
      <c r="H406" s="12">
        <f t="shared" ca="1" si="38"/>
        <v>1</v>
      </c>
      <c r="I406" s="13">
        <f t="shared" ca="1" si="39"/>
        <v>12</v>
      </c>
      <c r="J406" s="14">
        <f t="shared" ca="1" si="40"/>
        <v>112</v>
      </c>
      <c r="K406" s="12" t="s">
        <v>41</v>
      </c>
      <c r="L406" s="15">
        <v>65</v>
      </c>
      <c r="M406" s="25" t="s">
        <v>40</v>
      </c>
      <c r="N406">
        <v>92</v>
      </c>
    </row>
    <row r="407" spans="1:14">
      <c r="A407" s="25" t="e">
        <f t="shared" si="41"/>
        <v>#REF!</v>
      </c>
      <c r="B407" s="67" t="s">
        <v>8</v>
      </c>
      <c r="C407" s="67" t="s">
        <v>649</v>
      </c>
      <c r="D407" s="67" t="s">
        <v>648</v>
      </c>
      <c r="E407" s="22">
        <f t="shared" ca="1" si="36"/>
        <v>40951</v>
      </c>
      <c r="F407" s="11">
        <f>DATE(54,1,21)</f>
        <v>19745</v>
      </c>
      <c r="G407" s="12">
        <f t="shared" ca="1" si="37"/>
        <v>58</v>
      </c>
      <c r="H407" s="12">
        <f t="shared" ca="1" si="38"/>
        <v>1</v>
      </c>
      <c r="I407" s="13">
        <f t="shared" ca="1" si="39"/>
        <v>-9</v>
      </c>
      <c r="J407" s="14">
        <f t="shared" ca="1" si="40"/>
        <v>58</v>
      </c>
      <c r="K407" s="12" t="s">
        <v>41</v>
      </c>
      <c r="L407" s="15">
        <v>65</v>
      </c>
      <c r="M407" s="25" t="s">
        <v>40</v>
      </c>
      <c r="N407">
        <v>92</v>
      </c>
    </row>
    <row r="408" spans="1:14" ht="15.75" thickBot="1">
      <c r="A408" s="26" t="e">
        <f t="shared" si="41"/>
        <v>#REF!</v>
      </c>
      <c r="B408" s="67" t="s">
        <v>8</v>
      </c>
      <c r="C408" s="68" t="s">
        <v>650</v>
      </c>
      <c r="D408" s="68" t="s">
        <v>648</v>
      </c>
      <c r="E408" s="23">
        <f t="shared" ca="1" si="36"/>
        <v>40951</v>
      </c>
      <c r="F408" s="33"/>
      <c r="G408" s="17">
        <f t="shared" ca="1" si="37"/>
        <v>112</v>
      </c>
      <c r="H408" s="17">
        <f t="shared" ca="1" si="38"/>
        <v>1</v>
      </c>
      <c r="I408" s="18">
        <f t="shared" ca="1" si="39"/>
        <v>12</v>
      </c>
      <c r="J408" s="19">
        <f t="shared" ca="1" si="40"/>
        <v>112</v>
      </c>
      <c r="K408" s="17" t="s">
        <v>41</v>
      </c>
      <c r="L408" s="20">
        <v>65</v>
      </c>
      <c r="M408" s="26" t="s">
        <v>40</v>
      </c>
      <c r="N408">
        <v>92</v>
      </c>
    </row>
    <row r="409" spans="1:14">
      <c r="A409" s="24" t="e">
        <f t="shared" si="41"/>
        <v>#REF!</v>
      </c>
      <c r="B409" s="66" t="s">
        <v>8</v>
      </c>
      <c r="C409" s="66" t="s">
        <v>565</v>
      </c>
      <c r="D409" s="66" t="s">
        <v>651</v>
      </c>
      <c r="E409" s="21">
        <f t="shared" ca="1" si="36"/>
        <v>40951</v>
      </c>
      <c r="F409" s="45"/>
      <c r="G409" s="7">
        <f t="shared" ca="1" si="37"/>
        <v>112</v>
      </c>
      <c r="H409" s="7">
        <f t="shared" ca="1" si="38"/>
        <v>1</v>
      </c>
      <c r="I409" s="8">
        <f t="shared" ca="1" si="39"/>
        <v>12</v>
      </c>
      <c r="J409" s="9">
        <f t="shared" ca="1" si="40"/>
        <v>112</v>
      </c>
      <c r="K409" s="7" t="s">
        <v>41</v>
      </c>
      <c r="L409" s="10">
        <v>65</v>
      </c>
      <c r="M409" s="24" t="s">
        <v>40</v>
      </c>
      <c r="N409">
        <v>93</v>
      </c>
    </row>
    <row r="410" spans="1:14">
      <c r="A410" s="25" t="e">
        <f t="shared" si="41"/>
        <v>#REF!</v>
      </c>
      <c r="B410" s="67" t="s">
        <v>8</v>
      </c>
      <c r="C410" s="67" t="s">
        <v>75</v>
      </c>
      <c r="D410" s="67" t="s">
        <v>651</v>
      </c>
      <c r="E410" s="22">
        <f t="shared" ca="1" si="36"/>
        <v>40951</v>
      </c>
      <c r="F410" s="32"/>
      <c r="G410" s="12">
        <f t="shared" ca="1" si="37"/>
        <v>112</v>
      </c>
      <c r="H410" s="12">
        <f t="shared" ca="1" si="38"/>
        <v>1</v>
      </c>
      <c r="I410" s="13">
        <f t="shared" ca="1" si="39"/>
        <v>12</v>
      </c>
      <c r="J410" s="14">
        <f t="shared" ca="1" si="40"/>
        <v>112</v>
      </c>
      <c r="K410" s="12" t="s">
        <v>41</v>
      </c>
      <c r="L410" s="15">
        <v>65</v>
      </c>
      <c r="M410" s="25" t="s">
        <v>44</v>
      </c>
      <c r="N410">
        <v>93</v>
      </c>
    </row>
    <row r="411" spans="1:14">
      <c r="A411" s="25" t="e">
        <f t="shared" si="41"/>
        <v>#REF!</v>
      </c>
      <c r="B411" s="67" t="s">
        <v>8</v>
      </c>
      <c r="C411" s="67" t="s">
        <v>430</v>
      </c>
      <c r="D411" s="67" t="s">
        <v>648</v>
      </c>
      <c r="E411" s="22">
        <f t="shared" ca="1" si="36"/>
        <v>40951</v>
      </c>
      <c r="F411" s="32"/>
      <c r="G411" s="12">
        <f t="shared" ca="1" si="37"/>
        <v>112</v>
      </c>
      <c r="H411" s="12">
        <f t="shared" ca="1" si="38"/>
        <v>1</v>
      </c>
      <c r="I411" s="13">
        <f t="shared" ca="1" si="39"/>
        <v>12</v>
      </c>
      <c r="J411" s="14">
        <f t="shared" ca="1" si="40"/>
        <v>112</v>
      </c>
      <c r="K411" s="12" t="s">
        <v>41</v>
      </c>
      <c r="L411" s="15">
        <v>65</v>
      </c>
      <c r="M411" s="25" t="s">
        <v>44</v>
      </c>
      <c r="N411">
        <v>93</v>
      </c>
    </row>
    <row r="412" spans="1:14" ht="15.75" thickBot="1">
      <c r="A412" s="26" t="e">
        <f t="shared" si="41"/>
        <v>#REF!</v>
      </c>
      <c r="B412" s="67" t="s">
        <v>8</v>
      </c>
      <c r="C412" s="68" t="s">
        <v>115</v>
      </c>
      <c r="D412" s="68" t="s">
        <v>648</v>
      </c>
      <c r="E412" s="23">
        <f t="shared" ca="1" si="36"/>
        <v>40951</v>
      </c>
      <c r="F412" s="16">
        <f>DATE(57,6,16)</f>
        <v>20987</v>
      </c>
      <c r="G412" s="17">
        <f t="shared" ca="1" si="37"/>
        <v>55</v>
      </c>
      <c r="H412" s="17">
        <f t="shared" ca="1" si="38"/>
        <v>-4</v>
      </c>
      <c r="I412" s="18">
        <f t="shared" ca="1" si="39"/>
        <v>-4</v>
      </c>
      <c r="J412" s="19">
        <f t="shared" ca="1" si="40"/>
        <v>54</v>
      </c>
      <c r="K412" s="17" t="s">
        <v>41</v>
      </c>
      <c r="L412" s="20">
        <v>66</v>
      </c>
      <c r="M412" s="26" t="s">
        <v>40</v>
      </c>
      <c r="N412">
        <v>93</v>
      </c>
    </row>
    <row r="413" spans="1:14">
      <c r="A413" s="24" t="e">
        <f t="shared" si="41"/>
        <v>#REF!</v>
      </c>
      <c r="B413" s="66" t="s">
        <v>8</v>
      </c>
      <c r="C413" s="66" t="s">
        <v>653</v>
      </c>
      <c r="D413" s="66" t="s">
        <v>648</v>
      </c>
      <c r="E413" s="21">
        <f t="shared" ca="1" si="36"/>
        <v>40951</v>
      </c>
      <c r="F413" s="6">
        <f>DATE(90,7,24)</f>
        <v>33078</v>
      </c>
      <c r="G413" s="7">
        <f t="shared" ca="1" si="37"/>
        <v>22</v>
      </c>
      <c r="H413" s="7">
        <f t="shared" ca="1" si="38"/>
        <v>-5</v>
      </c>
      <c r="I413" s="8">
        <f t="shared" ca="1" si="39"/>
        <v>-12</v>
      </c>
      <c r="J413" s="9">
        <f t="shared" ca="1" si="40"/>
        <v>21</v>
      </c>
      <c r="K413" s="7" t="s">
        <v>41</v>
      </c>
      <c r="L413" s="10">
        <v>66</v>
      </c>
      <c r="M413" s="24" t="s">
        <v>44</v>
      </c>
      <c r="N413">
        <v>94</v>
      </c>
    </row>
    <row r="414" spans="1:14" ht="15.75" thickBot="1">
      <c r="A414" s="26" t="e">
        <f t="shared" si="41"/>
        <v>#REF!</v>
      </c>
      <c r="B414" s="67" t="s">
        <v>8</v>
      </c>
      <c r="C414" s="68" t="s">
        <v>252</v>
      </c>
      <c r="D414" s="68" t="s">
        <v>509</v>
      </c>
      <c r="E414" s="23">
        <f t="shared" ca="1" si="36"/>
        <v>40951</v>
      </c>
      <c r="F414" s="16">
        <f>DATE(59,10,18)</f>
        <v>21841</v>
      </c>
      <c r="G414" s="17">
        <f t="shared" ca="1" si="37"/>
        <v>53</v>
      </c>
      <c r="H414" s="17">
        <f t="shared" ca="1" si="38"/>
        <v>-8</v>
      </c>
      <c r="I414" s="18">
        <f t="shared" ca="1" si="39"/>
        <v>-6</v>
      </c>
      <c r="J414" s="19">
        <f t="shared" ca="1" si="40"/>
        <v>52</v>
      </c>
      <c r="K414" s="17" t="s">
        <v>41</v>
      </c>
      <c r="L414" s="20">
        <v>66</v>
      </c>
      <c r="M414" s="26" t="s">
        <v>40</v>
      </c>
      <c r="N414">
        <v>94</v>
      </c>
    </row>
    <row r="415" spans="1:14">
      <c r="A415" s="24" t="e">
        <f t="shared" si="41"/>
        <v>#REF!</v>
      </c>
      <c r="B415" s="66" t="s">
        <v>8</v>
      </c>
      <c r="C415" s="66" t="s">
        <v>105</v>
      </c>
      <c r="D415" s="66" t="s">
        <v>509</v>
      </c>
      <c r="E415" s="21">
        <f t="shared" ca="1" si="36"/>
        <v>40951</v>
      </c>
      <c r="F415" s="6">
        <f>DATE(87,4,28)</f>
        <v>31895</v>
      </c>
      <c r="G415" s="7">
        <f t="shared" ca="1" si="37"/>
        <v>25</v>
      </c>
      <c r="H415" s="7">
        <f t="shared" ca="1" si="38"/>
        <v>-2</v>
      </c>
      <c r="I415" s="8">
        <f t="shared" ca="1" si="39"/>
        <v>-16</v>
      </c>
      <c r="J415" s="9">
        <f t="shared" ca="1" si="40"/>
        <v>24</v>
      </c>
      <c r="K415" s="7" t="s">
        <v>41</v>
      </c>
      <c r="L415" s="10">
        <v>66</v>
      </c>
      <c r="M415" s="24" t="s">
        <v>44</v>
      </c>
      <c r="N415">
        <v>95</v>
      </c>
    </row>
    <row r="416" spans="1:14" ht="15.75" thickBot="1">
      <c r="A416" s="26" t="e">
        <f t="shared" si="41"/>
        <v>#REF!</v>
      </c>
      <c r="B416" s="67" t="s">
        <v>8</v>
      </c>
      <c r="C416" s="68" t="s">
        <v>100</v>
      </c>
      <c r="D416" s="68" t="s">
        <v>509</v>
      </c>
      <c r="E416" s="23">
        <f t="shared" ca="1" si="36"/>
        <v>40951</v>
      </c>
      <c r="F416" s="16">
        <f>DATE(88,9,22)</f>
        <v>32408</v>
      </c>
      <c r="G416" s="17">
        <f t="shared" ca="1" si="37"/>
        <v>24</v>
      </c>
      <c r="H416" s="17">
        <f t="shared" ca="1" si="38"/>
        <v>-7</v>
      </c>
      <c r="I416" s="18">
        <f t="shared" ca="1" si="39"/>
        <v>-10</v>
      </c>
      <c r="J416" s="19">
        <f t="shared" ca="1" si="40"/>
        <v>23</v>
      </c>
      <c r="K416" s="17" t="s">
        <v>41</v>
      </c>
      <c r="L416" s="20">
        <v>66</v>
      </c>
      <c r="M416" s="26" t="s">
        <v>44</v>
      </c>
      <c r="N416">
        <v>95</v>
      </c>
    </row>
    <row r="417" spans="1:14">
      <c r="A417" s="24" t="e">
        <f t="shared" si="41"/>
        <v>#REF!</v>
      </c>
      <c r="B417" s="66" t="s">
        <v>8</v>
      </c>
      <c r="C417" s="66" t="s">
        <v>538</v>
      </c>
      <c r="D417" s="66" t="s">
        <v>198</v>
      </c>
      <c r="E417" s="21">
        <f t="shared" ca="1" si="36"/>
        <v>40951</v>
      </c>
      <c r="F417" s="45"/>
      <c r="G417" s="7">
        <f t="shared" ca="1" si="37"/>
        <v>112</v>
      </c>
      <c r="H417" s="7">
        <f t="shared" ca="1" si="38"/>
        <v>1</v>
      </c>
      <c r="I417" s="8">
        <f t="shared" ca="1" si="39"/>
        <v>12</v>
      </c>
      <c r="J417" s="9">
        <f t="shared" ca="1" si="40"/>
        <v>112</v>
      </c>
      <c r="K417" s="7" t="s">
        <v>41</v>
      </c>
      <c r="L417" s="10">
        <v>66</v>
      </c>
      <c r="M417" s="24" t="s">
        <v>40</v>
      </c>
      <c r="N417">
        <v>96</v>
      </c>
    </row>
    <row r="418" spans="1:14">
      <c r="A418" s="25" t="e">
        <f t="shared" si="41"/>
        <v>#REF!</v>
      </c>
      <c r="B418" s="67" t="s">
        <v>8</v>
      </c>
      <c r="C418" s="67" t="s">
        <v>634</v>
      </c>
      <c r="D418" s="67" t="s">
        <v>198</v>
      </c>
      <c r="E418" s="22">
        <f t="shared" ca="1" si="36"/>
        <v>40951</v>
      </c>
      <c r="F418" s="11">
        <f>DATE(52,6,24)</f>
        <v>19169</v>
      </c>
      <c r="G418" s="12">
        <f t="shared" ca="1" si="37"/>
        <v>60</v>
      </c>
      <c r="H418" s="12">
        <f t="shared" ca="1" si="38"/>
        <v>-4</v>
      </c>
      <c r="I418" s="13">
        <f t="shared" ca="1" si="39"/>
        <v>-12</v>
      </c>
      <c r="J418" s="14">
        <f t="shared" ca="1" si="40"/>
        <v>59</v>
      </c>
      <c r="K418" s="12" t="s">
        <v>41</v>
      </c>
      <c r="L418" s="15">
        <v>66</v>
      </c>
      <c r="M418" s="25" t="s">
        <v>44</v>
      </c>
      <c r="N418">
        <v>96</v>
      </c>
    </row>
    <row r="419" spans="1:14">
      <c r="A419" s="25" t="e">
        <f t="shared" si="41"/>
        <v>#REF!</v>
      </c>
      <c r="B419" s="67" t="s">
        <v>8</v>
      </c>
      <c r="C419" s="67" t="s">
        <v>503</v>
      </c>
      <c r="D419" s="67" t="s">
        <v>391</v>
      </c>
      <c r="E419" s="22">
        <f t="shared" ca="1" si="36"/>
        <v>40951</v>
      </c>
      <c r="F419" s="32"/>
      <c r="G419" s="12">
        <f t="shared" ca="1" si="37"/>
        <v>112</v>
      </c>
      <c r="H419" s="12">
        <f t="shared" ca="1" si="38"/>
        <v>1</v>
      </c>
      <c r="I419" s="13">
        <f t="shared" ca="1" si="39"/>
        <v>12</v>
      </c>
      <c r="J419" s="14">
        <f t="shared" ca="1" si="40"/>
        <v>112</v>
      </c>
      <c r="K419" s="12" t="s">
        <v>41</v>
      </c>
      <c r="L419" s="15">
        <v>67</v>
      </c>
      <c r="M419" s="25" t="s">
        <v>40</v>
      </c>
      <c r="N419">
        <v>96</v>
      </c>
    </row>
    <row r="420" spans="1:14" ht="15.75" thickBot="1">
      <c r="A420" s="26" t="e">
        <f t="shared" si="41"/>
        <v>#REF!</v>
      </c>
      <c r="B420" s="67" t="s">
        <v>8</v>
      </c>
      <c r="C420" s="68" t="s">
        <v>622</v>
      </c>
      <c r="D420" s="68" t="s">
        <v>164</v>
      </c>
      <c r="E420" s="23">
        <f t="shared" ca="1" si="36"/>
        <v>40951</v>
      </c>
      <c r="F420" s="16">
        <f>DATE(68,9,13)</f>
        <v>25094</v>
      </c>
      <c r="G420" s="17">
        <f t="shared" ca="1" si="37"/>
        <v>44</v>
      </c>
      <c r="H420" s="17">
        <f t="shared" ca="1" si="38"/>
        <v>-7</v>
      </c>
      <c r="I420" s="18">
        <f t="shared" ca="1" si="39"/>
        <v>-1</v>
      </c>
      <c r="J420" s="19">
        <f t="shared" ca="1" si="40"/>
        <v>43</v>
      </c>
      <c r="K420" s="17" t="s">
        <v>41</v>
      </c>
      <c r="L420" s="20">
        <v>67</v>
      </c>
      <c r="M420" s="26" t="s">
        <v>40</v>
      </c>
      <c r="N420">
        <v>96</v>
      </c>
    </row>
    <row r="421" spans="1:14">
      <c r="A421" s="24" t="e">
        <f t="shared" si="41"/>
        <v>#REF!</v>
      </c>
      <c r="B421" s="66" t="s">
        <v>8</v>
      </c>
      <c r="C421" s="66" t="s">
        <v>422</v>
      </c>
      <c r="D421" s="66" t="s">
        <v>164</v>
      </c>
      <c r="E421" s="21">
        <f t="shared" ca="1" si="36"/>
        <v>40951</v>
      </c>
      <c r="F421" s="6">
        <f>DATE(89,7,19)</f>
        <v>32708</v>
      </c>
      <c r="G421" s="7">
        <f t="shared" ca="1" si="37"/>
        <v>23</v>
      </c>
      <c r="H421" s="7">
        <f t="shared" ca="1" si="38"/>
        <v>-5</v>
      </c>
      <c r="I421" s="8">
        <f t="shared" ca="1" si="39"/>
        <v>-7</v>
      </c>
      <c r="J421" s="9">
        <f t="shared" ca="1" si="40"/>
        <v>22</v>
      </c>
      <c r="K421" s="7" t="s">
        <v>41</v>
      </c>
      <c r="L421" s="10">
        <v>67</v>
      </c>
      <c r="M421" s="24" t="s">
        <v>44</v>
      </c>
      <c r="N421">
        <v>97</v>
      </c>
    </row>
    <row r="422" spans="1:14">
      <c r="A422" s="25" t="e">
        <f t="shared" si="41"/>
        <v>#REF!</v>
      </c>
      <c r="B422" s="67" t="s">
        <v>8</v>
      </c>
      <c r="C422" s="67" t="s">
        <v>655</v>
      </c>
      <c r="D422" s="67" t="s">
        <v>396</v>
      </c>
      <c r="E422" s="22">
        <f t="shared" ca="1" si="36"/>
        <v>40951</v>
      </c>
      <c r="F422" s="11">
        <f>DATE(73,1,11)</f>
        <v>26675</v>
      </c>
      <c r="G422" s="12">
        <f t="shared" ca="1" si="37"/>
        <v>39</v>
      </c>
      <c r="H422" s="12">
        <f t="shared" ca="1" si="38"/>
        <v>1</v>
      </c>
      <c r="I422" s="13">
        <f t="shared" ca="1" si="39"/>
        <v>1</v>
      </c>
      <c r="J422" s="14">
        <f t="shared" ca="1" si="40"/>
        <v>39</v>
      </c>
      <c r="K422" s="12" t="s">
        <v>41</v>
      </c>
      <c r="L422" s="15">
        <v>67</v>
      </c>
      <c r="M422" s="25" t="s">
        <v>40</v>
      </c>
      <c r="N422">
        <v>97</v>
      </c>
    </row>
    <row r="423" spans="1:14">
      <c r="A423" s="25" t="e">
        <f t="shared" si="41"/>
        <v>#REF!</v>
      </c>
      <c r="B423" s="67" t="s">
        <v>8</v>
      </c>
      <c r="C423" s="67" t="s">
        <v>656</v>
      </c>
      <c r="D423" s="67" t="s">
        <v>164</v>
      </c>
      <c r="E423" s="22">
        <f t="shared" ca="1" si="36"/>
        <v>40951</v>
      </c>
      <c r="F423" s="11">
        <f>DATE(72,12,20)</f>
        <v>26653</v>
      </c>
      <c r="G423" s="12">
        <f t="shared" ca="1" si="37"/>
        <v>40</v>
      </c>
      <c r="H423" s="12">
        <f t="shared" ca="1" si="38"/>
        <v>-10</v>
      </c>
      <c r="I423" s="13">
        <f t="shared" ca="1" si="39"/>
        <v>-8</v>
      </c>
      <c r="J423" s="14">
        <f t="shared" ca="1" si="40"/>
        <v>39</v>
      </c>
      <c r="K423" s="12" t="s">
        <v>41</v>
      </c>
      <c r="L423" s="15">
        <v>67</v>
      </c>
      <c r="M423" s="25" t="s">
        <v>40</v>
      </c>
      <c r="N423">
        <v>97</v>
      </c>
    </row>
    <row r="424" spans="1:14">
      <c r="A424" s="25" t="e">
        <f t="shared" si="41"/>
        <v>#REF!</v>
      </c>
      <c r="B424" s="67" t="s">
        <v>8</v>
      </c>
      <c r="C424" s="67" t="s">
        <v>657</v>
      </c>
      <c r="D424" s="67" t="s">
        <v>164</v>
      </c>
      <c r="E424" s="22">
        <f t="shared" ca="1" si="36"/>
        <v>40951</v>
      </c>
      <c r="F424" s="11">
        <f>DATE(2001,7,1)</f>
        <v>37073</v>
      </c>
      <c r="G424" s="12">
        <f t="shared" ca="1" si="37"/>
        <v>11</v>
      </c>
      <c r="H424" s="12">
        <f t="shared" ca="1" si="38"/>
        <v>-5</v>
      </c>
      <c r="I424" s="13">
        <f t="shared" ca="1" si="39"/>
        <v>11</v>
      </c>
      <c r="J424" s="14">
        <f t="shared" ca="1" si="40"/>
        <v>10</v>
      </c>
      <c r="K424" s="12" t="s">
        <v>41</v>
      </c>
      <c r="L424" s="15">
        <v>67</v>
      </c>
      <c r="M424" s="25" t="s">
        <v>44</v>
      </c>
      <c r="N424">
        <v>97</v>
      </c>
    </row>
    <row r="425" spans="1:14">
      <c r="A425" s="25" t="e">
        <f t="shared" si="41"/>
        <v>#REF!</v>
      </c>
      <c r="B425" s="67" t="s">
        <v>8</v>
      </c>
      <c r="C425" s="67" t="s">
        <v>658</v>
      </c>
      <c r="D425" s="67" t="s">
        <v>249</v>
      </c>
      <c r="E425" s="22">
        <f t="shared" ca="1" si="36"/>
        <v>40951</v>
      </c>
      <c r="F425" s="11">
        <f>DATE(69,5,11)</f>
        <v>25334</v>
      </c>
      <c r="G425" s="12">
        <f t="shared" ca="1" si="37"/>
        <v>43</v>
      </c>
      <c r="H425" s="12">
        <f t="shared" ca="1" si="38"/>
        <v>-3</v>
      </c>
      <c r="I425" s="13">
        <f t="shared" ca="1" si="39"/>
        <v>1</v>
      </c>
      <c r="J425" s="14">
        <f t="shared" ca="1" si="40"/>
        <v>42</v>
      </c>
      <c r="K425" s="12" t="s">
        <v>41</v>
      </c>
      <c r="L425" s="15">
        <v>68</v>
      </c>
      <c r="M425" s="25" t="s">
        <v>40</v>
      </c>
      <c r="N425">
        <v>97</v>
      </c>
    </row>
    <row r="426" spans="1:14" ht="15.75" thickBot="1">
      <c r="A426" s="26" t="e">
        <f t="shared" si="41"/>
        <v>#REF!</v>
      </c>
      <c r="B426" s="67" t="s">
        <v>8</v>
      </c>
      <c r="C426" s="68" t="s">
        <v>660</v>
      </c>
      <c r="D426" s="68" t="s">
        <v>249</v>
      </c>
      <c r="E426" s="23">
        <f t="shared" ca="1" si="36"/>
        <v>40951</v>
      </c>
      <c r="F426" s="16">
        <f>DATE(99,8,27)</f>
        <v>36399</v>
      </c>
      <c r="G426" s="17">
        <f t="shared" ca="1" si="37"/>
        <v>13</v>
      </c>
      <c r="H426" s="17">
        <f t="shared" ca="1" si="38"/>
        <v>-6</v>
      </c>
      <c r="I426" s="18">
        <f t="shared" ca="1" si="39"/>
        <v>-15</v>
      </c>
      <c r="J426" s="19">
        <f t="shared" ca="1" si="40"/>
        <v>12</v>
      </c>
      <c r="K426" s="17" t="s">
        <v>41</v>
      </c>
      <c r="L426" s="20">
        <v>68</v>
      </c>
      <c r="M426" s="26" t="s">
        <v>44</v>
      </c>
      <c r="N426">
        <v>97</v>
      </c>
    </row>
    <row r="427" spans="1:14">
      <c r="A427" s="24" t="e">
        <f t="shared" si="41"/>
        <v>#REF!</v>
      </c>
      <c r="B427" s="66" t="s">
        <v>8</v>
      </c>
      <c r="C427" s="66" t="s">
        <v>626</v>
      </c>
      <c r="D427" s="66" t="s">
        <v>198</v>
      </c>
      <c r="E427" s="21">
        <f t="shared" ca="1" si="36"/>
        <v>40951</v>
      </c>
      <c r="F427" s="6">
        <f>DATE(41,8,31)</f>
        <v>15219</v>
      </c>
      <c r="G427" s="7">
        <f t="shared" ca="1" si="37"/>
        <v>71</v>
      </c>
      <c r="H427" s="7">
        <f t="shared" ca="1" si="38"/>
        <v>-6</v>
      </c>
      <c r="I427" s="8">
        <f t="shared" ca="1" si="39"/>
        <v>-19</v>
      </c>
      <c r="J427" s="9">
        <f t="shared" ca="1" si="40"/>
        <v>70</v>
      </c>
      <c r="K427" s="7" t="s">
        <v>41</v>
      </c>
      <c r="L427" s="10">
        <v>68</v>
      </c>
      <c r="M427" s="24" t="s">
        <v>40</v>
      </c>
      <c r="N427">
        <v>98</v>
      </c>
    </row>
    <row r="428" spans="1:14">
      <c r="A428" s="25" t="e">
        <f t="shared" si="41"/>
        <v>#REF!</v>
      </c>
      <c r="B428" s="67" t="s">
        <v>8</v>
      </c>
      <c r="C428" s="67" t="s">
        <v>662</v>
      </c>
      <c r="D428" s="67" t="s">
        <v>103</v>
      </c>
      <c r="E428" s="22">
        <f t="shared" ca="1" si="36"/>
        <v>40951</v>
      </c>
      <c r="F428" s="11">
        <f>DATE(53,11,14)</f>
        <v>19677</v>
      </c>
      <c r="G428" s="12">
        <f t="shared" ca="1" si="37"/>
        <v>59</v>
      </c>
      <c r="H428" s="12">
        <f t="shared" ca="1" si="38"/>
        <v>-9</v>
      </c>
      <c r="I428" s="13">
        <f t="shared" ca="1" si="39"/>
        <v>-2</v>
      </c>
      <c r="J428" s="14">
        <f t="shared" ca="1" si="40"/>
        <v>58</v>
      </c>
      <c r="K428" s="12" t="s">
        <v>41</v>
      </c>
      <c r="L428" s="15">
        <v>68</v>
      </c>
      <c r="M428" s="25" t="s">
        <v>40</v>
      </c>
      <c r="N428">
        <v>98</v>
      </c>
    </row>
    <row r="429" spans="1:14">
      <c r="A429" s="25" t="e">
        <f t="shared" si="41"/>
        <v>#REF!</v>
      </c>
      <c r="B429" s="67" t="s">
        <v>8</v>
      </c>
      <c r="C429" s="67" t="s">
        <v>344</v>
      </c>
      <c r="D429" s="67" t="s">
        <v>103</v>
      </c>
      <c r="E429" s="22">
        <f t="shared" ca="1" si="36"/>
        <v>40951</v>
      </c>
      <c r="F429" s="11">
        <f>DATE(79,8,9)</f>
        <v>29076</v>
      </c>
      <c r="G429" s="12">
        <f t="shared" ca="1" si="37"/>
        <v>33</v>
      </c>
      <c r="H429" s="12">
        <f t="shared" ca="1" si="38"/>
        <v>-6</v>
      </c>
      <c r="I429" s="13">
        <f t="shared" ca="1" si="39"/>
        <v>3</v>
      </c>
      <c r="J429" s="14">
        <f t="shared" ca="1" si="40"/>
        <v>32</v>
      </c>
      <c r="K429" s="12" t="s">
        <v>41</v>
      </c>
      <c r="L429" s="15">
        <v>68</v>
      </c>
      <c r="M429" s="25" t="s">
        <v>44</v>
      </c>
      <c r="N429">
        <v>98</v>
      </c>
    </row>
    <row r="430" spans="1:14">
      <c r="A430" s="25" t="e">
        <f t="shared" si="41"/>
        <v>#REF!</v>
      </c>
      <c r="B430" s="67" t="s">
        <v>8</v>
      </c>
      <c r="C430" s="67" t="s">
        <v>210</v>
      </c>
      <c r="D430" s="67" t="s">
        <v>663</v>
      </c>
      <c r="E430" s="22">
        <f t="shared" ca="1" si="36"/>
        <v>40951</v>
      </c>
      <c r="F430" s="32"/>
      <c r="G430" s="12">
        <f t="shared" ca="1" si="37"/>
        <v>112</v>
      </c>
      <c r="H430" s="12">
        <f t="shared" ca="1" si="38"/>
        <v>1</v>
      </c>
      <c r="I430" s="13">
        <f t="shared" ca="1" si="39"/>
        <v>12</v>
      </c>
      <c r="J430" s="14">
        <f t="shared" ca="1" si="40"/>
        <v>112</v>
      </c>
      <c r="K430" s="12" t="s">
        <v>41</v>
      </c>
      <c r="L430" s="15">
        <v>68</v>
      </c>
      <c r="M430" s="25" t="s">
        <v>40</v>
      </c>
      <c r="N430">
        <v>98</v>
      </c>
    </row>
    <row r="431" spans="1:14">
      <c r="A431" s="25" t="e">
        <f t="shared" si="41"/>
        <v>#REF!</v>
      </c>
      <c r="B431" s="67" t="s">
        <v>8</v>
      </c>
      <c r="C431" s="67" t="s">
        <v>160</v>
      </c>
      <c r="D431" s="67" t="s">
        <v>663</v>
      </c>
      <c r="E431" s="22">
        <f t="shared" ca="1" si="36"/>
        <v>40951</v>
      </c>
      <c r="F431" s="11">
        <f>DATE(82,11,16)</f>
        <v>30271</v>
      </c>
      <c r="G431" s="12">
        <f t="shared" ca="1" si="37"/>
        <v>30</v>
      </c>
      <c r="H431" s="12">
        <f t="shared" ca="1" si="38"/>
        <v>-9</v>
      </c>
      <c r="I431" s="13">
        <f t="shared" ca="1" si="39"/>
        <v>-4</v>
      </c>
      <c r="J431" s="14">
        <f t="shared" ca="1" si="40"/>
        <v>29</v>
      </c>
      <c r="K431" s="12" t="s">
        <v>41</v>
      </c>
      <c r="L431" s="15">
        <v>68</v>
      </c>
      <c r="M431" s="25" t="s">
        <v>40</v>
      </c>
      <c r="N431">
        <v>98</v>
      </c>
    </row>
    <row r="432" spans="1:14" ht="15.75" thickBot="1">
      <c r="A432" s="26" t="e">
        <f t="shared" si="41"/>
        <v>#REF!</v>
      </c>
      <c r="B432" s="67" t="s">
        <v>8</v>
      </c>
      <c r="C432" s="68" t="s">
        <v>400</v>
      </c>
      <c r="D432" s="68" t="s">
        <v>666</v>
      </c>
      <c r="E432" s="23">
        <f t="shared" ca="1" si="36"/>
        <v>40951</v>
      </c>
      <c r="F432" s="16">
        <f>DATE(56,7,24)</f>
        <v>20660</v>
      </c>
      <c r="G432" s="17">
        <f t="shared" ca="1" si="37"/>
        <v>56</v>
      </c>
      <c r="H432" s="17">
        <f t="shared" ca="1" si="38"/>
        <v>-5</v>
      </c>
      <c r="I432" s="18">
        <f t="shared" ca="1" si="39"/>
        <v>-12</v>
      </c>
      <c r="J432" s="19">
        <f t="shared" ca="1" si="40"/>
        <v>55</v>
      </c>
      <c r="K432" s="17" t="s">
        <v>41</v>
      </c>
      <c r="L432" s="20">
        <v>69</v>
      </c>
      <c r="M432" s="26" t="s">
        <v>40</v>
      </c>
      <c r="N432">
        <v>98</v>
      </c>
    </row>
    <row r="433" spans="1:14">
      <c r="A433" s="24" t="e">
        <f t="shared" si="41"/>
        <v>#REF!</v>
      </c>
      <c r="B433" s="66" t="s">
        <v>8</v>
      </c>
      <c r="C433" s="66" t="s">
        <v>538</v>
      </c>
      <c r="D433" s="66" t="s">
        <v>546</v>
      </c>
      <c r="E433" s="21">
        <f t="shared" ca="1" si="36"/>
        <v>40951</v>
      </c>
      <c r="F433" s="45"/>
      <c r="G433" s="7">
        <f t="shared" ca="1" si="37"/>
        <v>112</v>
      </c>
      <c r="H433" s="7">
        <f t="shared" ca="1" si="38"/>
        <v>1</v>
      </c>
      <c r="I433" s="8">
        <f t="shared" ca="1" si="39"/>
        <v>12</v>
      </c>
      <c r="J433" s="9">
        <f t="shared" ca="1" si="40"/>
        <v>112</v>
      </c>
      <c r="K433" s="7" t="s">
        <v>41</v>
      </c>
      <c r="L433" s="10">
        <v>69</v>
      </c>
      <c r="M433" s="24" t="s">
        <v>40</v>
      </c>
      <c r="N433">
        <v>99</v>
      </c>
    </row>
    <row r="434" spans="1:14">
      <c r="A434" s="25" t="e">
        <f t="shared" si="41"/>
        <v>#REF!</v>
      </c>
      <c r="B434" s="67" t="s">
        <v>8</v>
      </c>
      <c r="C434" s="67" t="s">
        <v>667</v>
      </c>
      <c r="D434" s="67" t="s">
        <v>112</v>
      </c>
      <c r="E434" s="22">
        <f t="shared" ca="1" si="36"/>
        <v>40951</v>
      </c>
      <c r="F434" s="11">
        <f>DATE(75,12,6)</f>
        <v>27734</v>
      </c>
      <c r="G434" s="12">
        <f t="shared" ca="1" si="37"/>
        <v>37</v>
      </c>
      <c r="H434" s="12">
        <f t="shared" ca="1" si="38"/>
        <v>-10</v>
      </c>
      <c r="I434" s="13">
        <f t="shared" ca="1" si="39"/>
        <v>6</v>
      </c>
      <c r="J434" s="14">
        <f t="shared" ca="1" si="40"/>
        <v>36</v>
      </c>
      <c r="K434" s="12" t="s">
        <v>41</v>
      </c>
      <c r="L434" s="15">
        <v>69</v>
      </c>
      <c r="M434" s="25" t="s">
        <v>40</v>
      </c>
      <c r="N434">
        <v>99</v>
      </c>
    </row>
    <row r="435" spans="1:14">
      <c r="A435" s="25" t="e">
        <f t="shared" si="41"/>
        <v>#REF!</v>
      </c>
      <c r="B435" s="67" t="s">
        <v>8</v>
      </c>
      <c r="C435" s="67" t="s">
        <v>668</v>
      </c>
      <c r="D435" s="67" t="s">
        <v>112</v>
      </c>
      <c r="E435" s="22">
        <f t="shared" ca="1" si="36"/>
        <v>40951</v>
      </c>
      <c r="F435" s="11">
        <f>DATE(2001,11,11)</f>
        <v>37206</v>
      </c>
      <c r="G435" s="12">
        <f t="shared" ca="1" si="37"/>
        <v>11</v>
      </c>
      <c r="H435" s="12">
        <f t="shared" ca="1" si="38"/>
        <v>-9</v>
      </c>
      <c r="I435" s="13">
        <f t="shared" ca="1" si="39"/>
        <v>1</v>
      </c>
      <c r="J435" s="14">
        <f t="shared" ca="1" si="40"/>
        <v>10</v>
      </c>
      <c r="K435" s="12" t="s">
        <v>41</v>
      </c>
      <c r="L435" s="15">
        <v>69</v>
      </c>
      <c r="M435" s="25" t="s">
        <v>44</v>
      </c>
      <c r="N435">
        <v>99</v>
      </c>
    </row>
    <row r="436" spans="1:14">
      <c r="A436" s="25" t="e">
        <f t="shared" si="41"/>
        <v>#REF!</v>
      </c>
      <c r="B436" s="67" t="s">
        <v>8</v>
      </c>
      <c r="C436" s="67" t="s">
        <v>632</v>
      </c>
      <c r="D436" s="67" t="s">
        <v>112</v>
      </c>
      <c r="E436" s="22">
        <f t="shared" ca="1" si="36"/>
        <v>40951</v>
      </c>
      <c r="F436" s="11">
        <f>DATE(2004,9,25)</f>
        <v>38255</v>
      </c>
      <c r="G436" s="12">
        <f t="shared" ca="1" si="37"/>
        <v>8</v>
      </c>
      <c r="H436" s="12">
        <f t="shared" ca="1" si="38"/>
        <v>-7</v>
      </c>
      <c r="I436" s="13">
        <f t="shared" ca="1" si="39"/>
        <v>-13</v>
      </c>
      <c r="J436" s="14">
        <f t="shared" ca="1" si="40"/>
        <v>7</v>
      </c>
      <c r="K436" s="12" t="s">
        <v>41</v>
      </c>
      <c r="L436" s="15">
        <v>69</v>
      </c>
      <c r="M436" s="25" t="s">
        <v>44</v>
      </c>
      <c r="N436">
        <v>99</v>
      </c>
    </row>
    <row r="437" spans="1:14" ht="15.75" thickBot="1">
      <c r="A437" s="26" t="e">
        <f t="shared" si="41"/>
        <v>#REF!</v>
      </c>
      <c r="B437" s="67" t="s">
        <v>8</v>
      </c>
      <c r="C437" s="68" t="s">
        <v>669</v>
      </c>
      <c r="D437" s="68" t="s">
        <v>592</v>
      </c>
      <c r="E437" s="23">
        <f t="shared" ca="1" si="36"/>
        <v>40951</v>
      </c>
      <c r="F437" s="16">
        <f>DATE(82,11,28)</f>
        <v>30283</v>
      </c>
      <c r="G437" s="17">
        <f t="shared" ca="1" si="37"/>
        <v>30</v>
      </c>
      <c r="H437" s="17">
        <f t="shared" ca="1" si="38"/>
        <v>-9</v>
      </c>
      <c r="I437" s="18">
        <f t="shared" ca="1" si="39"/>
        <v>-16</v>
      </c>
      <c r="J437" s="19">
        <f t="shared" ca="1" si="40"/>
        <v>29</v>
      </c>
      <c r="K437" s="17" t="s">
        <v>41</v>
      </c>
      <c r="L437" s="20">
        <v>69</v>
      </c>
      <c r="M437" s="26" t="s">
        <v>40</v>
      </c>
      <c r="N437">
        <v>99</v>
      </c>
    </row>
    <row r="438" spans="1:14">
      <c r="A438" s="24" t="e">
        <f t="shared" si="41"/>
        <v>#REF!</v>
      </c>
      <c r="B438" s="66" t="s">
        <v>8</v>
      </c>
      <c r="C438" s="66" t="s">
        <v>303</v>
      </c>
      <c r="D438" s="66" t="s">
        <v>592</v>
      </c>
      <c r="E438" s="21">
        <f t="shared" ca="1" si="36"/>
        <v>40951</v>
      </c>
      <c r="F438" s="6">
        <f>DATE(2003,11,12)</f>
        <v>37937</v>
      </c>
      <c r="G438" s="7">
        <f t="shared" ca="1" si="37"/>
        <v>9</v>
      </c>
      <c r="H438" s="7">
        <f t="shared" ca="1" si="38"/>
        <v>-9</v>
      </c>
      <c r="I438" s="8">
        <f t="shared" ca="1" si="39"/>
        <v>0</v>
      </c>
      <c r="J438" s="9">
        <f t="shared" ca="1" si="40"/>
        <v>8</v>
      </c>
      <c r="K438" s="7" t="s">
        <v>41</v>
      </c>
      <c r="L438" s="10">
        <v>69</v>
      </c>
      <c r="M438" s="24" t="s">
        <v>44</v>
      </c>
      <c r="N438">
        <v>100</v>
      </c>
    </row>
    <row r="439" spans="1:14">
      <c r="A439" s="25" t="e">
        <f t="shared" si="41"/>
        <v>#REF!</v>
      </c>
      <c r="B439" s="67" t="s">
        <v>8</v>
      </c>
      <c r="C439" s="67" t="s">
        <v>671</v>
      </c>
      <c r="D439" s="67" t="s">
        <v>266</v>
      </c>
      <c r="E439" s="22">
        <f t="shared" ca="1" si="36"/>
        <v>40951</v>
      </c>
      <c r="F439" s="11">
        <f>DATE(50,9,11)</f>
        <v>18517</v>
      </c>
      <c r="G439" s="12">
        <f t="shared" ca="1" si="37"/>
        <v>62</v>
      </c>
      <c r="H439" s="12">
        <f t="shared" ca="1" si="38"/>
        <v>-7</v>
      </c>
      <c r="I439" s="13">
        <f t="shared" ca="1" si="39"/>
        <v>1</v>
      </c>
      <c r="J439" s="14">
        <f t="shared" ca="1" si="40"/>
        <v>61</v>
      </c>
      <c r="K439" s="12" t="s">
        <v>41</v>
      </c>
      <c r="L439" s="15">
        <v>69</v>
      </c>
      <c r="M439" s="25" t="s">
        <v>40</v>
      </c>
      <c r="N439">
        <v>100</v>
      </c>
    </row>
    <row r="440" spans="1:14" ht="15.75" thickBot="1">
      <c r="A440" s="26" t="e">
        <f t="shared" si="41"/>
        <v>#REF!</v>
      </c>
      <c r="B440" s="67" t="s">
        <v>8</v>
      </c>
      <c r="C440" s="68" t="s">
        <v>673</v>
      </c>
      <c r="D440" s="68" t="s">
        <v>672</v>
      </c>
      <c r="E440" s="23">
        <f t="shared" ca="1" si="36"/>
        <v>40951</v>
      </c>
      <c r="F440" s="16">
        <f>DATE(80,9,13)</f>
        <v>29477</v>
      </c>
      <c r="G440" s="17">
        <f t="shared" ca="1" si="37"/>
        <v>32</v>
      </c>
      <c r="H440" s="17">
        <f t="shared" ca="1" si="38"/>
        <v>-7</v>
      </c>
      <c r="I440" s="18">
        <f t="shared" ca="1" si="39"/>
        <v>-1</v>
      </c>
      <c r="J440" s="19">
        <f t="shared" ca="1" si="40"/>
        <v>31</v>
      </c>
      <c r="K440" s="17" t="s">
        <v>41</v>
      </c>
      <c r="L440" s="20">
        <v>69</v>
      </c>
      <c r="M440" s="26" t="s">
        <v>40</v>
      </c>
      <c r="N440">
        <v>100</v>
      </c>
    </row>
    <row r="441" spans="1:14">
      <c r="A441" s="24" t="e">
        <f t="shared" si="41"/>
        <v>#REF!</v>
      </c>
      <c r="B441" s="66" t="s">
        <v>8</v>
      </c>
      <c r="C441" s="66" t="s">
        <v>125</v>
      </c>
      <c r="D441" s="66" t="s">
        <v>672</v>
      </c>
      <c r="E441" s="21">
        <f t="shared" ca="1" si="36"/>
        <v>40951</v>
      </c>
      <c r="F441" s="6">
        <f>DATE(2005,12,29)</f>
        <v>38715</v>
      </c>
      <c r="G441" s="7">
        <f t="shared" ca="1" si="37"/>
        <v>7</v>
      </c>
      <c r="H441" s="7">
        <f t="shared" ca="1" si="38"/>
        <v>-10</v>
      </c>
      <c r="I441" s="8">
        <f t="shared" ca="1" si="39"/>
        <v>-17</v>
      </c>
      <c r="J441" s="9">
        <f t="shared" ca="1" si="40"/>
        <v>6</v>
      </c>
      <c r="K441" s="7" t="s">
        <v>41</v>
      </c>
      <c r="L441" s="10">
        <v>69</v>
      </c>
      <c r="M441" s="24" t="s">
        <v>44</v>
      </c>
      <c r="N441">
        <v>101</v>
      </c>
    </row>
    <row r="442" spans="1:14">
      <c r="A442" s="25" t="e">
        <f t="shared" si="41"/>
        <v>#REF!</v>
      </c>
      <c r="B442" s="67" t="s">
        <v>8</v>
      </c>
      <c r="C442" s="67" t="s">
        <v>111</v>
      </c>
      <c r="D442" s="67" t="s">
        <v>674</v>
      </c>
      <c r="E442" s="22">
        <f t="shared" ca="1" si="36"/>
        <v>40951</v>
      </c>
      <c r="F442" s="11">
        <f>DATE(48,10,1)</f>
        <v>17807</v>
      </c>
      <c r="G442" s="12">
        <f t="shared" ca="1" si="37"/>
        <v>64</v>
      </c>
      <c r="H442" s="12">
        <f t="shared" ca="1" si="38"/>
        <v>-8</v>
      </c>
      <c r="I442" s="13">
        <f t="shared" ca="1" si="39"/>
        <v>11</v>
      </c>
      <c r="J442" s="14">
        <f t="shared" ca="1" si="40"/>
        <v>63</v>
      </c>
      <c r="K442" s="12" t="s">
        <v>41</v>
      </c>
      <c r="L442" s="15">
        <v>70</v>
      </c>
      <c r="M442" s="25" t="s">
        <v>40</v>
      </c>
      <c r="N442">
        <v>101</v>
      </c>
    </row>
    <row r="443" spans="1:14">
      <c r="A443" s="25" t="e">
        <f t="shared" si="41"/>
        <v>#REF!</v>
      </c>
      <c r="B443" s="67" t="s">
        <v>8</v>
      </c>
      <c r="C443" s="67" t="s">
        <v>165</v>
      </c>
      <c r="D443" s="67" t="s">
        <v>140</v>
      </c>
      <c r="E443" s="22">
        <f t="shared" ca="1" si="36"/>
        <v>40951</v>
      </c>
      <c r="F443" s="11">
        <f>DATE(76,12,10)</f>
        <v>28104</v>
      </c>
      <c r="G443" s="12">
        <f t="shared" ca="1" si="37"/>
        <v>36</v>
      </c>
      <c r="H443" s="12">
        <f t="shared" ca="1" si="38"/>
        <v>-10</v>
      </c>
      <c r="I443" s="13">
        <f t="shared" ca="1" si="39"/>
        <v>2</v>
      </c>
      <c r="J443" s="14">
        <f t="shared" ca="1" si="40"/>
        <v>35</v>
      </c>
      <c r="K443" s="12" t="s">
        <v>41</v>
      </c>
      <c r="L443" s="15">
        <v>70</v>
      </c>
      <c r="M443" s="25" t="s">
        <v>40</v>
      </c>
      <c r="N443">
        <v>101</v>
      </c>
    </row>
    <row r="444" spans="1:14">
      <c r="A444" s="25" t="e">
        <f t="shared" si="41"/>
        <v>#REF!</v>
      </c>
      <c r="B444" s="67" t="s">
        <v>8</v>
      </c>
      <c r="C444" s="67" t="s">
        <v>677</v>
      </c>
      <c r="D444" s="67" t="s">
        <v>676</v>
      </c>
      <c r="E444" s="22">
        <f t="shared" ca="1" si="36"/>
        <v>40951</v>
      </c>
      <c r="F444" s="11">
        <f>DATE(79,11,24)</f>
        <v>29183</v>
      </c>
      <c r="G444" s="12">
        <f t="shared" ca="1" si="37"/>
        <v>33</v>
      </c>
      <c r="H444" s="12">
        <f t="shared" ca="1" si="38"/>
        <v>-9</v>
      </c>
      <c r="I444" s="13">
        <f t="shared" ca="1" si="39"/>
        <v>-12</v>
      </c>
      <c r="J444" s="14">
        <f t="shared" ca="1" si="40"/>
        <v>32</v>
      </c>
      <c r="K444" s="12" t="s">
        <v>41</v>
      </c>
      <c r="L444" s="15">
        <v>70</v>
      </c>
      <c r="M444" s="25" t="s">
        <v>40</v>
      </c>
      <c r="N444">
        <v>101</v>
      </c>
    </row>
    <row r="445" spans="1:14" ht="15.75" thickBot="1">
      <c r="A445" s="26"/>
      <c r="B445" s="67" t="s">
        <v>8</v>
      </c>
      <c r="C445" s="68" t="s">
        <v>368</v>
      </c>
      <c r="D445" s="68" t="s">
        <v>674</v>
      </c>
      <c r="E445" s="57">
        <f t="shared" ca="1" si="36"/>
        <v>40951</v>
      </c>
      <c r="F445" s="48">
        <f>DATE(81,8,28)</f>
        <v>29826</v>
      </c>
      <c r="G445" s="58">
        <f t="shared" ca="1" si="37"/>
        <v>31</v>
      </c>
      <c r="H445" s="58">
        <f t="shared" ca="1" si="38"/>
        <v>-6</v>
      </c>
      <c r="I445" s="59">
        <f t="shared" ca="1" si="39"/>
        <v>-16</v>
      </c>
      <c r="J445" s="60">
        <f t="shared" ca="1" si="40"/>
        <v>30</v>
      </c>
      <c r="K445" s="58" t="s">
        <v>41</v>
      </c>
      <c r="L445" s="83">
        <v>70</v>
      </c>
      <c r="M445" s="63" t="s">
        <v>40</v>
      </c>
      <c r="N445">
        <v>101</v>
      </c>
    </row>
    <row r="446" spans="1:14">
      <c r="A446" s="24">
        <f t="shared" ref="A446:A509" si="42">A445+1</f>
        <v>1</v>
      </c>
      <c r="B446" s="66" t="s">
        <v>9</v>
      </c>
      <c r="C446" s="66" t="s">
        <v>667</v>
      </c>
      <c r="D446" s="66" t="s">
        <v>479</v>
      </c>
      <c r="E446" s="21">
        <f t="shared" ca="1" si="36"/>
        <v>40951</v>
      </c>
      <c r="F446" s="6">
        <f>DATE(53,5,8)</f>
        <v>19487</v>
      </c>
      <c r="G446" s="7">
        <f t="shared" ca="1" si="37"/>
        <v>59</v>
      </c>
      <c r="H446" s="7">
        <f t="shared" ca="1" si="38"/>
        <v>-3</v>
      </c>
      <c r="I446" s="8">
        <f t="shared" ca="1" si="39"/>
        <v>4</v>
      </c>
      <c r="J446" s="9">
        <f t="shared" ca="1" si="40"/>
        <v>58</v>
      </c>
      <c r="K446" s="7" t="s">
        <v>41</v>
      </c>
      <c r="L446" s="10">
        <v>71</v>
      </c>
      <c r="M446" s="24" t="s">
        <v>40</v>
      </c>
      <c r="N446">
        <v>102</v>
      </c>
    </row>
    <row r="447" spans="1:14">
      <c r="A447" s="25">
        <f t="shared" si="42"/>
        <v>2</v>
      </c>
      <c r="B447" s="67" t="s">
        <v>9</v>
      </c>
      <c r="C447" s="67" t="s">
        <v>680</v>
      </c>
      <c r="D447" s="67" t="s">
        <v>678</v>
      </c>
      <c r="E447" s="22">
        <f t="shared" ca="1" si="36"/>
        <v>40951</v>
      </c>
      <c r="F447" s="11">
        <f>DATE(59,6,18)</f>
        <v>21719</v>
      </c>
      <c r="G447" s="12">
        <f t="shared" ca="1" si="37"/>
        <v>53</v>
      </c>
      <c r="H447" s="12">
        <f t="shared" ca="1" si="38"/>
        <v>-4</v>
      </c>
      <c r="I447" s="13">
        <f t="shared" ca="1" si="39"/>
        <v>-6</v>
      </c>
      <c r="J447" s="14">
        <f t="shared" ca="1" si="40"/>
        <v>52</v>
      </c>
      <c r="K447" s="12" t="s">
        <v>41</v>
      </c>
      <c r="L447" s="15">
        <v>71</v>
      </c>
      <c r="M447" s="25" t="s">
        <v>40</v>
      </c>
      <c r="N447">
        <v>102</v>
      </c>
    </row>
    <row r="448" spans="1:14">
      <c r="A448" s="25">
        <f t="shared" si="42"/>
        <v>3</v>
      </c>
      <c r="B448" s="67" t="s">
        <v>9</v>
      </c>
      <c r="C448" s="67" t="s">
        <v>325</v>
      </c>
      <c r="D448" s="67" t="s">
        <v>277</v>
      </c>
      <c r="E448" s="22">
        <f t="shared" ca="1" si="36"/>
        <v>40951</v>
      </c>
      <c r="F448" s="11">
        <f>DATE(52,7,26)</f>
        <v>19201</v>
      </c>
      <c r="G448" s="12">
        <f t="shared" ca="1" si="37"/>
        <v>60</v>
      </c>
      <c r="H448" s="12">
        <f t="shared" ca="1" si="38"/>
        <v>-5</v>
      </c>
      <c r="I448" s="13">
        <f t="shared" ca="1" si="39"/>
        <v>-14</v>
      </c>
      <c r="J448" s="14">
        <f t="shared" ca="1" si="40"/>
        <v>59</v>
      </c>
      <c r="K448" s="12" t="s">
        <v>41</v>
      </c>
      <c r="L448" s="15">
        <v>71</v>
      </c>
      <c r="M448" s="25" t="s">
        <v>40</v>
      </c>
      <c r="N448">
        <v>102</v>
      </c>
    </row>
    <row r="449" spans="1:14">
      <c r="A449" s="25">
        <f t="shared" si="42"/>
        <v>4</v>
      </c>
      <c r="B449" s="67" t="s">
        <v>9</v>
      </c>
      <c r="C449" s="67" t="s">
        <v>684</v>
      </c>
      <c r="D449" s="67" t="s">
        <v>71</v>
      </c>
      <c r="E449" s="22">
        <f t="shared" ref="E449:E512" ca="1" si="43">TODAY()</f>
        <v>40951</v>
      </c>
      <c r="F449" s="11">
        <f>DATE(56,1,21)</f>
        <v>20475</v>
      </c>
      <c r="G449" s="12">
        <f t="shared" ref="G449:G512" ca="1" si="44">YEAR(E449)-YEAR(F449)</f>
        <v>56</v>
      </c>
      <c r="H449" s="12">
        <f t="shared" ref="H449:H512" ca="1" si="45">MONTH(E449)-MONTH(F449)</f>
        <v>1</v>
      </c>
      <c r="I449" s="13">
        <f t="shared" ref="I449:I512" ca="1" si="46">DAY(E449)-DAY(F449)</f>
        <v>-9</v>
      </c>
      <c r="J449" s="14">
        <f t="shared" ref="J449:J512" ca="1" si="47">IF(H449&lt;0,G449-1,IF(H449&gt;0,G449,IF(I449&lt;0,G449-1,G449)))</f>
        <v>56</v>
      </c>
      <c r="K449" s="12" t="s">
        <v>41</v>
      </c>
      <c r="L449" s="15">
        <v>71</v>
      </c>
      <c r="M449" s="25" t="s">
        <v>40</v>
      </c>
      <c r="N449">
        <v>102</v>
      </c>
    </row>
    <row r="450" spans="1:14" ht="15.75" thickBot="1">
      <c r="A450" s="26">
        <f t="shared" si="42"/>
        <v>5</v>
      </c>
      <c r="B450" s="67" t="s">
        <v>9</v>
      </c>
      <c r="C450" s="68" t="s">
        <v>654</v>
      </c>
      <c r="D450" s="68" t="s">
        <v>686</v>
      </c>
      <c r="E450" s="23">
        <f t="shared" ca="1" si="43"/>
        <v>40951</v>
      </c>
      <c r="F450" s="16">
        <f>DATE(63,4,25)</f>
        <v>23126</v>
      </c>
      <c r="G450" s="17">
        <f t="shared" ca="1" si="44"/>
        <v>49</v>
      </c>
      <c r="H450" s="17">
        <f t="shared" ca="1" si="45"/>
        <v>-2</v>
      </c>
      <c r="I450" s="18">
        <f t="shared" ca="1" si="46"/>
        <v>-13</v>
      </c>
      <c r="J450" s="19">
        <f t="shared" ca="1" si="47"/>
        <v>48</v>
      </c>
      <c r="K450" s="17" t="s">
        <v>41</v>
      </c>
      <c r="L450" s="20">
        <v>72</v>
      </c>
      <c r="M450" s="26" t="s">
        <v>40</v>
      </c>
      <c r="N450">
        <v>102</v>
      </c>
    </row>
    <row r="451" spans="1:14">
      <c r="A451" s="24">
        <f t="shared" si="42"/>
        <v>6</v>
      </c>
      <c r="B451" s="66" t="s">
        <v>9</v>
      </c>
      <c r="C451" s="66" t="s">
        <v>81</v>
      </c>
      <c r="D451" s="66" t="s">
        <v>96</v>
      </c>
      <c r="E451" s="21">
        <f t="shared" ca="1" si="43"/>
        <v>40951</v>
      </c>
      <c r="F451" s="6">
        <f>DATE(52,7,28)</f>
        <v>19203</v>
      </c>
      <c r="G451" s="7">
        <f t="shared" ca="1" si="44"/>
        <v>60</v>
      </c>
      <c r="H451" s="7">
        <f t="shared" ca="1" si="45"/>
        <v>-5</v>
      </c>
      <c r="I451" s="8">
        <f t="shared" ca="1" si="46"/>
        <v>-16</v>
      </c>
      <c r="J451" s="9">
        <f t="shared" ca="1" si="47"/>
        <v>59</v>
      </c>
      <c r="K451" s="7" t="s">
        <v>41</v>
      </c>
      <c r="L451" s="10">
        <v>72</v>
      </c>
      <c r="M451" s="24" t="s">
        <v>40</v>
      </c>
      <c r="N451">
        <v>103</v>
      </c>
    </row>
    <row r="452" spans="1:14">
      <c r="A452" s="25">
        <f t="shared" si="42"/>
        <v>7</v>
      </c>
      <c r="B452" s="67" t="s">
        <v>9</v>
      </c>
      <c r="C452" s="67" t="s">
        <v>689</v>
      </c>
      <c r="D452" s="67" t="s">
        <v>688</v>
      </c>
      <c r="E452" s="22">
        <f t="shared" ca="1" si="43"/>
        <v>40951</v>
      </c>
      <c r="F452" s="11">
        <f>DATE(83,12,12)</f>
        <v>30662</v>
      </c>
      <c r="G452" s="12">
        <f t="shared" ca="1" si="44"/>
        <v>29</v>
      </c>
      <c r="H452" s="12">
        <f t="shared" ca="1" si="45"/>
        <v>-10</v>
      </c>
      <c r="I452" s="13">
        <f t="shared" ca="1" si="46"/>
        <v>0</v>
      </c>
      <c r="J452" s="14">
        <f t="shared" ca="1" si="47"/>
        <v>28</v>
      </c>
      <c r="K452" s="12" t="s">
        <v>41</v>
      </c>
      <c r="L452" s="15">
        <v>72</v>
      </c>
      <c r="M452" s="25" t="s">
        <v>40</v>
      </c>
      <c r="N452">
        <v>103</v>
      </c>
    </row>
    <row r="453" spans="1:14">
      <c r="A453" s="25">
        <f t="shared" si="42"/>
        <v>8</v>
      </c>
      <c r="B453" s="67" t="s">
        <v>9</v>
      </c>
      <c r="C453" s="67" t="s">
        <v>690</v>
      </c>
      <c r="D453" s="67" t="s">
        <v>96</v>
      </c>
      <c r="E453" s="22">
        <f t="shared" ca="1" si="43"/>
        <v>40951</v>
      </c>
      <c r="F453" s="11">
        <f>DATE(82,11,22)</f>
        <v>30277</v>
      </c>
      <c r="G453" s="12">
        <f t="shared" ca="1" si="44"/>
        <v>30</v>
      </c>
      <c r="H453" s="12">
        <f t="shared" ca="1" si="45"/>
        <v>-9</v>
      </c>
      <c r="I453" s="13">
        <f t="shared" ca="1" si="46"/>
        <v>-10</v>
      </c>
      <c r="J453" s="14">
        <f t="shared" ca="1" si="47"/>
        <v>29</v>
      </c>
      <c r="K453" s="12" t="s">
        <v>41</v>
      </c>
      <c r="L453" s="15">
        <v>72</v>
      </c>
      <c r="M453" s="25" t="s">
        <v>44</v>
      </c>
      <c r="N453">
        <v>103</v>
      </c>
    </row>
    <row r="454" spans="1:14" ht="15.75" thickBot="1">
      <c r="A454" s="26">
        <f t="shared" si="42"/>
        <v>9</v>
      </c>
      <c r="B454" s="67" t="s">
        <v>9</v>
      </c>
      <c r="C454" s="68" t="s">
        <v>318</v>
      </c>
      <c r="D454" s="68" t="s">
        <v>142</v>
      </c>
      <c r="E454" s="23">
        <f t="shared" ca="1" si="43"/>
        <v>40951</v>
      </c>
      <c r="F454" s="16">
        <f>DATE(39,8,21)</f>
        <v>14478</v>
      </c>
      <c r="G454" s="17">
        <f t="shared" ca="1" si="44"/>
        <v>73</v>
      </c>
      <c r="H454" s="17">
        <f t="shared" ca="1" si="45"/>
        <v>-6</v>
      </c>
      <c r="I454" s="18">
        <f t="shared" ca="1" si="46"/>
        <v>-9</v>
      </c>
      <c r="J454" s="19">
        <f t="shared" ca="1" si="47"/>
        <v>72</v>
      </c>
      <c r="K454" s="17" t="s">
        <v>41</v>
      </c>
      <c r="L454" s="20">
        <v>73</v>
      </c>
      <c r="M454" s="26" t="s">
        <v>40</v>
      </c>
      <c r="N454">
        <v>103</v>
      </c>
    </row>
    <row r="455" spans="1:14">
      <c r="A455" s="24">
        <f t="shared" si="42"/>
        <v>10</v>
      </c>
      <c r="B455" s="66" t="s">
        <v>9</v>
      </c>
      <c r="C455" s="66" t="s">
        <v>632</v>
      </c>
      <c r="D455" s="66" t="s">
        <v>142</v>
      </c>
      <c r="E455" s="21">
        <f t="shared" ca="1" si="43"/>
        <v>40951</v>
      </c>
      <c r="F455" s="6">
        <f>DATE(65,8,10)</f>
        <v>23964</v>
      </c>
      <c r="G455" s="7">
        <f t="shared" ca="1" si="44"/>
        <v>47</v>
      </c>
      <c r="H455" s="7">
        <f t="shared" ca="1" si="45"/>
        <v>-6</v>
      </c>
      <c r="I455" s="8">
        <f t="shared" ca="1" si="46"/>
        <v>2</v>
      </c>
      <c r="J455" s="9">
        <f t="shared" ca="1" si="47"/>
        <v>46</v>
      </c>
      <c r="K455" s="7" t="s">
        <v>41</v>
      </c>
      <c r="L455" s="10">
        <v>73</v>
      </c>
      <c r="M455" s="24" t="s">
        <v>44</v>
      </c>
      <c r="N455">
        <v>104</v>
      </c>
    </row>
    <row r="456" spans="1:14">
      <c r="A456" s="25">
        <f t="shared" si="42"/>
        <v>11</v>
      </c>
      <c r="B456" s="67" t="s">
        <v>9</v>
      </c>
      <c r="C456" s="67" t="s">
        <v>694</v>
      </c>
      <c r="D456" s="67" t="s">
        <v>693</v>
      </c>
      <c r="E456" s="22">
        <f t="shared" ca="1" si="43"/>
        <v>40951</v>
      </c>
      <c r="F456" s="11">
        <f>DATE(64,12,10)</f>
        <v>23721</v>
      </c>
      <c r="G456" s="12">
        <f t="shared" ca="1" si="44"/>
        <v>48</v>
      </c>
      <c r="H456" s="12">
        <f t="shared" ca="1" si="45"/>
        <v>-10</v>
      </c>
      <c r="I456" s="13">
        <f t="shared" ca="1" si="46"/>
        <v>2</v>
      </c>
      <c r="J456" s="14">
        <f t="shared" ca="1" si="47"/>
        <v>47</v>
      </c>
      <c r="K456" s="12" t="s">
        <v>41</v>
      </c>
      <c r="L456" s="15">
        <v>73</v>
      </c>
      <c r="M456" s="25" t="s">
        <v>40</v>
      </c>
      <c r="N456">
        <v>104</v>
      </c>
    </row>
    <row r="457" spans="1:14">
      <c r="A457" s="25">
        <f t="shared" si="42"/>
        <v>12</v>
      </c>
      <c r="B457" s="67" t="s">
        <v>271</v>
      </c>
      <c r="C457" s="67" t="s">
        <v>402</v>
      </c>
      <c r="D457" s="67" t="s">
        <v>249</v>
      </c>
      <c r="E457" s="22">
        <f t="shared" ca="1" si="43"/>
        <v>40951</v>
      </c>
      <c r="F457" s="11">
        <f>DATE(72,10,16)</f>
        <v>26588</v>
      </c>
      <c r="G457" s="12">
        <f t="shared" ca="1" si="44"/>
        <v>40</v>
      </c>
      <c r="H457" s="12">
        <f t="shared" ca="1" si="45"/>
        <v>-8</v>
      </c>
      <c r="I457" s="13">
        <f t="shared" ca="1" si="46"/>
        <v>-4</v>
      </c>
      <c r="J457" s="14">
        <f t="shared" ca="1" si="47"/>
        <v>39</v>
      </c>
      <c r="K457" s="12" t="s">
        <v>41</v>
      </c>
      <c r="L457" s="15">
        <v>74</v>
      </c>
      <c r="M457" s="25" t="s">
        <v>40</v>
      </c>
      <c r="N457">
        <v>104</v>
      </c>
    </row>
    <row r="458" spans="1:14">
      <c r="A458" s="25">
        <f t="shared" si="42"/>
        <v>13</v>
      </c>
      <c r="B458" s="67" t="s">
        <v>271</v>
      </c>
      <c r="C458" s="67" t="s">
        <v>698</v>
      </c>
      <c r="D458" s="67" t="s">
        <v>249</v>
      </c>
      <c r="E458" s="22">
        <f t="shared" ca="1" si="43"/>
        <v>40951</v>
      </c>
      <c r="F458" s="11">
        <f>DATE(97,3,25)</f>
        <v>35514</v>
      </c>
      <c r="G458" s="12">
        <f t="shared" ca="1" si="44"/>
        <v>15</v>
      </c>
      <c r="H458" s="12">
        <f t="shared" ca="1" si="45"/>
        <v>-1</v>
      </c>
      <c r="I458" s="13">
        <f t="shared" ca="1" si="46"/>
        <v>-13</v>
      </c>
      <c r="J458" s="14">
        <f t="shared" ca="1" si="47"/>
        <v>14</v>
      </c>
      <c r="K458" s="12" t="s">
        <v>41</v>
      </c>
      <c r="L458" s="15">
        <v>74</v>
      </c>
      <c r="M458" s="25" t="s">
        <v>44</v>
      </c>
      <c r="N458">
        <v>104</v>
      </c>
    </row>
    <row r="459" spans="1:14">
      <c r="A459" s="25">
        <f t="shared" si="42"/>
        <v>14</v>
      </c>
      <c r="B459" s="67" t="s">
        <v>271</v>
      </c>
      <c r="C459" s="67" t="s">
        <v>699</v>
      </c>
      <c r="D459" s="67" t="s">
        <v>249</v>
      </c>
      <c r="E459" s="22">
        <f t="shared" ca="1" si="43"/>
        <v>40951</v>
      </c>
      <c r="F459" s="11">
        <f>DATE(2002,4,27)</f>
        <v>37373</v>
      </c>
      <c r="G459" s="12">
        <f t="shared" ca="1" si="44"/>
        <v>10</v>
      </c>
      <c r="H459" s="12">
        <f t="shared" ca="1" si="45"/>
        <v>-2</v>
      </c>
      <c r="I459" s="13">
        <f t="shared" ca="1" si="46"/>
        <v>-15</v>
      </c>
      <c r="J459" s="14">
        <f t="shared" ca="1" si="47"/>
        <v>9</v>
      </c>
      <c r="K459" s="12" t="s">
        <v>41</v>
      </c>
      <c r="L459" s="15">
        <v>74</v>
      </c>
      <c r="M459" s="25" t="s">
        <v>44</v>
      </c>
      <c r="N459">
        <v>104</v>
      </c>
    </row>
    <row r="460" spans="1:14">
      <c r="A460" s="25">
        <f t="shared" si="42"/>
        <v>15</v>
      </c>
      <c r="B460" s="67" t="s">
        <v>11</v>
      </c>
      <c r="C460" s="67" t="s">
        <v>87</v>
      </c>
      <c r="D460" s="67" t="s">
        <v>315</v>
      </c>
      <c r="E460" s="22">
        <f t="shared" ca="1" si="43"/>
        <v>40951</v>
      </c>
      <c r="F460" s="11">
        <f>DATE(45,8,20)</f>
        <v>16669</v>
      </c>
      <c r="G460" s="12">
        <f t="shared" ca="1" si="44"/>
        <v>67</v>
      </c>
      <c r="H460" s="12">
        <f t="shared" ca="1" si="45"/>
        <v>-6</v>
      </c>
      <c r="I460" s="13">
        <f t="shared" ca="1" si="46"/>
        <v>-8</v>
      </c>
      <c r="J460" s="14">
        <f t="shared" ca="1" si="47"/>
        <v>66</v>
      </c>
      <c r="K460" s="12" t="s">
        <v>41</v>
      </c>
      <c r="L460" s="15">
        <v>75</v>
      </c>
      <c r="M460" s="25" t="s">
        <v>40</v>
      </c>
      <c r="N460">
        <v>104</v>
      </c>
    </row>
    <row r="461" spans="1:14">
      <c r="A461" s="25">
        <f t="shared" si="42"/>
        <v>16</v>
      </c>
      <c r="B461" s="67" t="s">
        <v>11</v>
      </c>
      <c r="C461" s="67" t="s">
        <v>701</v>
      </c>
      <c r="D461" s="67" t="s">
        <v>166</v>
      </c>
      <c r="E461" s="22">
        <f t="shared" ca="1" si="43"/>
        <v>40951</v>
      </c>
      <c r="F461" s="11">
        <f>DATE(71,12,10)</f>
        <v>26277</v>
      </c>
      <c r="G461" s="12">
        <f t="shared" ca="1" si="44"/>
        <v>41</v>
      </c>
      <c r="H461" s="12">
        <f t="shared" ca="1" si="45"/>
        <v>-10</v>
      </c>
      <c r="I461" s="13">
        <f t="shared" ca="1" si="46"/>
        <v>2</v>
      </c>
      <c r="J461" s="14">
        <f t="shared" ca="1" si="47"/>
        <v>40</v>
      </c>
      <c r="K461" s="12" t="s">
        <v>41</v>
      </c>
      <c r="L461" s="15">
        <v>75</v>
      </c>
      <c r="M461" s="25" t="s">
        <v>40</v>
      </c>
      <c r="N461">
        <v>104</v>
      </c>
    </row>
    <row r="462" spans="1:14" ht="15.75" thickBot="1">
      <c r="A462" s="26">
        <f t="shared" si="42"/>
        <v>17</v>
      </c>
      <c r="B462" s="67" t="s">
        <v>11</v>
      </c>
      <c r="C462" s="68" t="s">
        <v>430</v>
      </c>
      <c r="D462" s="68" t="s">
        <v>702</v>
      </c>
      <c r="E462" s="23">
        <f t="shared" ca="1" si="43"/>
        <v>40951</v>
      </c>
      <c r="F462" s="16">
        <f>DATE(59,1,24)</f>
        <v>21574</v>
      </c>
      <c r="G462" s="17">
        <f t="shared" ca="1" si="44"/>
        <v>53</v>
      </c>
      <c r="H462" s="17">
        <f t="shared" ca="1" si="45"/>
        <v>1</v>
      </c>
      <c r="I462" s="18">
        <f t="shared" ca="1" si="46"/>
        <v>-12</v>
      </c>
      <c r="J462" s="19">
        <f t="shared" ca="1" si="47"/>
        <v>53</v>
      </c>
      <c r="K462" s="17" t="s">
        <v>41</v>
      </c>
      <c r="L462" s="20">
        <v>75</v>
      </c>
      <c r="M462" s="26" t="s">
        <v>40</v>
      </c>
      <c r="N462">
        <v>104</v>
      </c>
    </row>
    <row r="463" spans="1:14">
      <c r="A463" s="24">
        <f t="shared" si="42"/>
        <v>18</v>
      </c>
      <c r="B463" s="66" t="s">
        <v>11</v>
      </c>
      <c r="C463" s="66" t="s">
        <v>523</v>
      </c>
      <c r="D463" s="66" t="s">
        <v>537</v>
      </c>
      <c r="E463" s="21">
        <f t="shared" ca="1" si="43"/>
        <v>40951</v>
      </c>
      <c r="F463" s="6">
        <f>DATE(60,6,7)</f>
        <v>22074</v>
      </c>
      <c r="G463" s="7">
        <f t="shared" ca="1" si="44"/>
        <v>52</v>
      </c>
      <c r="H463" s="7">
        <f t="shared" ca="1" si="45"/>
        <v>-4</v>
      </c>
      <c r="I463" s="8">
        <f t="shared" ca="1" si="46"/>
        <v>5</v>
      </c>
      <c r="J463" s="9">
        <f t="shared" ca="1" si="47"/>
        <v>51</v>
      </c>
      <c r="K463" s="7" t="s">
        <v>41</v>
      </c>
      <c r="L463" s="10">
        <v>76</v>
      </c>
      <c r="M463" s="24" t="s">
        <v>40</v>
      </c>
      <c r="N463">
        <v>105</v>
      </c>
    </row>
    <row r="464" spans="1:14">
      <c r="A464" s="25">
        <f t="shared" si="42"/>
        <v>19</v>
      </c>
      <c r="B464" s="67" t="s">
        <v>11</v>
      </c>
      <c r="C464" s="67" t="s">
        <v>703</v>
      </c>
      <c r="D464" s="67" t="s">
        <v>184</v>
      </c>
      <c r="E464" s="22">
        <f t="shared" ca="1" si="43"/>
        <v>40951</v>
      </c>
      <c r="F464" s="32"/>
      <c r="G464" s="12">
        <f t="shared" ca="1" si="44"/>
        <v>112</v>
      </c>
      <c r="H464" s="12">
        <f t="shared" ca="1" si="45"/>
        <v>1</v>
      </c>
      <c r="I464" s="13">
        <f t="shared" ca="1" si="46"/>
        <v>12</v>
      </c>
      <c r="J464" s="14">
        <f t="shared" ca="1" si="47"/>
        <v>112</v>
      </c>
      <c r="K464" s="12" t="s">
        <v>41</v>
      </c>
      <c r="L464" s="15">
        <v>76</v>
      </c>
      <c r="M464" s="25" t="s">
        <v>40</v>
      </c>
      <c r="N464">
        <v>105</v>
      </c>
    </row>
    <row r="465" spans="1:14">
      <c r="A465" s="25">
        <f t="shared" si="42"/>
        <v>20</v>
      </c>
      <c r="B465" s="67" t="s">
        <v>11</v>
      </c>
      <c r="C465" s="67" t="s">
        <v>74</v>
      </c>
      <c r="D465" s="67" t="s">
        <v>704</v>
      </c>
      <c r="E465" s="22">
        <f t="shared" ca="1" si="43"/>
        <v>40951</v>
      </c>
      <c r="F465" s="11">
        <f>DATE(77,5,4)</f>
        <v>28249</v>
      </c>
      <c r="G465" s="12">
        <f t="shared" ca="1" si="44"/>
        <v>35</v>
      </c>
      <c r="H465" s="12">
        <f t="shared" ca="1" si="45"/>
        <v>-3</v>
      </c>
      <c r="I465" s="13">
        <f t="shared" ca="1" si="46"/>
        <v>8</v>
      </c>
      <c r="J465" s="14">
        <f t="shared" ca="1" si="47"/>
        <v>34</v>
      </c>
      <c r="K465" s="12" t="s">
        <v>41</v>
      </c>
      <c r="L465" s="15">
        <v>76</v>
      </c>
      <c r="M465" s="25" t="s">
        <v>40</v>
      </c>
      <c r="N465">
        <v>105</v>
      </c>
    </row>
    <row r="466" spans="1:14">
      <c r="A466" s="25">
        <f t="shared" si="42"/>
        <v>21</v>
      </c>
      <c r="B466" s="67" t="s">
        <v>11</v>
      </c>
      <c r="C466" s="67" t="s">
        <v>708</v>
      </c>
      <c r="D466" s="67" t="s">
        <v>706</v>
      </c>
      <c r="E466" s="22">
        <f t="shared" ca="1" si="43"/>
        <v>40951</v>
      </c>
      <c r="F466" s="11">
        <f>DATE(75,1,30)</f>
        <v>27424</v>
      </c>
      <c r="G466" s="12">
        <f t="shared" ca="1" si="44"/>
        <v>37</v>
      </c>
      <c r="H466" s="12">
        <f t="shared" ca="1" si="45"/>
        <v>1</v>
      </c>
      <c r="I466" s="13">
        <f t="shared" ca="1" si="46"/>
        <v>-18</v>
      </c>
      <c r="J466" s="14">
        <f t="shared" ca="1" si="47"/>
        <v>37</v>
      </c>
      <c r="K466" s="12" t="s">
        <v>41</v>
      </c>
      <c r="L466" s="15">
        <v>76</v>
      </c>
      <c r="M466" s="25" t="s">
        <v>40</v>
      </c>
      <c r="N466">
        <v>105</v>
      </c>
    </row>
    <row r="467" spans="1:14">
      <c r="A467" s="25">
        <f t="shared" si="42"/>
        <v>22</v>
      </c>
      <c r="B467" s="67" t="s">
        <v>11</v>
      </c>
      <c r="C467" s="67" t="s">
        <v>709</v>
      </c>
      <c r="D467" s="67" t="s">
        <v>708</v>
      </c>
      <c r="E467" s="22">
        <f t="shared" ca="1" si="43"/>
        <v>40951</v>
      </c>
      <c r="F467" s="11">
        <f>DATE(79,10,11)</f>
        <v>29139</v>
      </c>
      <c r="G467" s="12">
        <f t="shared" ca="1" si="44"/>
        <v>33</v>
      </c>
      <c r="H467" s="12">
        <f t="shared" ca="1" si="45"/>
        <v>-8</v>
      </c>
      <c r="I467" s="13">
        <f t="shared" ca="1" si="46"/>
        <v>1</v>
      </c>
      <c r="J467" s="14">
        <f t="shared" ca="1" si="47"/>
        <v>32</v>
      </c>
      <c r="K467" s="12" t="s">
        <v>41</v>
      </c>
      <c r="L467" s="15">
        <v>76</v>
      </c>
      <c r="M467" s="25" t="s">
        <v>40</v>
      </c>
      <c r="N467">
        <v>105</v>
      </c>
    </row>
    <row r="468" spans="1:14">
      <c r="A468" s="25">
        <f t="shared" si="42"/>
        <v>23</v>
      </c>
      <c r="B468" s="67" t="s">
        <v>11</v>
      </c>
      <c r="C468" s="67" t="s">
        <v>710</v>
      </c>
      <c r="D468" s="67" t="s">
        <v>708</v>
      </c>
      <c r="E468" s="22">
        <f t="shared" ca="1" si="43"/>
        <v>40951</v>
      </c>
      <c r="F468" s="11">
        <f>DATE(2006,4,30)</f>
        <v>38837</v>
      </c>
      <c r="G468" s="12">
        <f t="shared" ca="1" si="44"/>
        <v>6</v>
      </c>
      <c r="H468" s="12">
        <f t="shared" ca="1" si="45"/>
        <v>-2</v>
      </c>
      <c r="I468" s="13">
        <f t="shared" ca="1" si="46"/>
        <v>-18</v>
      </c>
      <c r="J468" s="14">
        <f t="shared" ca="1" si="47"/>
        <v>5</v>
      </c>
      <c r="K468" s="12" t="s">
        <v>41</v>
      </c>
      <c r="L468" s="15">
        <v>76</v>
      </c>
      <c r="M468" s="25" t="s">
        <v>44</v>
      </c>
      <c r="N468">
        <v>105</v>
      </c>
    </row>
    <row r="469" spans="1:14" ht="15.75" thickBot="1">
      <c r="A469" s="26">
        <f t="shared" si="42"/>
        <v>24</v>
      </c>
      <c r="B469" s="67" t="s">
        <v>11</v>
      </c>
      <c r="C469" s="68" t="s">
        <v>667</v>
      </c>
      <c r="D469" s="68" t="s">
        <v>711</v>
      </c>
      <c r="E469" s="23">
        <f t="shared" ca="1" si="43"/>
        <v>40951</v>
      </c>
      <c r="F469" s="16">
        <f>DATE(73,10,6)</f>
        <v>26943</v>
      </c>
      <c r="G469" s="17">
        <f t="shared" ca="1" si="44"/>
        <v>39</v>
      </c>
      <c r="H469" s="17">
        <f t="shared" ca="1" si="45"/>
        <v>-8</v>
      </c>
      <c r="I469" s="18">
        <f t="shared" ca="1" si="46"/>
        <v>6</v>
      </c>
      <c r="J469" s="19">
        <f t="shared" ca="1" si="47"/>
        <v>38</v>
      </c>
      <c r="K469" s="17" t="s">
        <v>41</v>
      </c>
      <c r="L469" s="20">
        <v>77</v>
      </c>
      <c r="M469" s="26" t="s">
        <v>40</v>
      </c>
      <c r="N469">
        <v>105</v>
      </c>
    </row>
    <row r="470" spans="1:14">
      <c r="A470" s="24">
        <f t="shared" si="42"/>
        <v>25</v>
      </c>
      <c r="B470" s="66" t="s">
        <v>11</v>
      </c>
      <c r="C470" s="66" t="s">
        <v>713</v>
      </c>
      <c r="D470" s="66" t="s">
        <v>711</v>
      </c>
      <c r="E470" s="21">
        <f t="shared" ca="1" si="43"/>
        <v>40951</v>
      </c>
      <c r="F470" s="6">
        <f>DATE(95,7,31)</f>
        <v>34911</v>
      </c>
      <c r="G470" s="7">
        <f t="shared" ca="1" si="44"/>
        <v>17</v>
      </c>
      <c r="H470" s="7">
        <f t="shared" ca="1" si="45"/>
        <v>-5</v>
      </c>
      <c r="I470" s="8">
        <f t="shared" ca="1" si="46"/>
        <v>-19</v>
      </c>
      <c r="J470" s="9">
        <f t="shared" ca="1" si="47"/>
        <v>16</v>
      </c>
      <c r="K470" s="7" t="s">
        <v>41</v>
      </c>
      <c r="L470" s="10">
        <v>77</v>
      </c>
      <c r="M470" s="24" t="s">
        <v>44</v>
      </c>
      <c r="N470">
        <v>106</v>
      </c>
    </row>
    <row r="471" spans="1:14">
      <c r="A471" s="25">
        <f t="shared" si="42"/>
        <v>26</v>
      </c>
      <c r="B471" s="67" t="s">
        <v>11</v>
      </c>
      <c r="C471" s="67" t="s">
        <v>714</v>
      </c>
      <c r="D471" s="67" t="s">
        <v>711</v>
      </c>
      <c r="E471" s="22">
        <f t="shared" ca="1" si="43"/>
        <v>40951</v>
      </c>
      <c r="F471" s="11">
        <f>DATE(98,9,12)</f>
        <v>36050</v>
      </c>
      <c r="G471" s="12">
        <f t="shared" ca="1" si="44"/>
        <v>14</v>
      </c>
      <c r="H471" s="12">
        <f t="shared" ca="1" si="45"/>
        <v>-7</v>
      </c>
      <c r="I471" s="13">
        <f t="shared" ca="1" si="46"/>
        <v>0</v>
      </c>
      <c r="J471" s="14">
        <f t="shared" ca="1" si="47"/>
        <v>13</v>
      </c>
      <c r="K471" s="12" t="s">
        <v>41</v>
      </c>
      <c r="L471" s="15">
        <v>77</v>
      </c>
      <c r="M471" s="25" t="s">
        <v>44</v>
      </c>
      <c r="N471">
        <v>106</v>
      </c>
    </row>
    <row r="472" spans="1:14" ht="15.75" thickBot="1">
      <c r="A472" s="26">
        <f t="shared" si="42"/>
        <v>27</v>
      </c>
      <c r="B472" s="67" t="s">
        <v>11</v>
      </c>
      <c r="C472" s="68" t="s">
        <v>717</v>
      </c>
      <c r="D472" s="68" t="s">
        <v>716</v>
      </c>
      <c r="E472" s="23">
        <f t="shared" ca="1" si="43"/>
        <v>40951</v>
      </c>
      <c r="F472" s="16">
        <f>DATE(52,8,3)</f>
        <v>19209</v>
      </c>
      <c r="G472" s="17">
        <f t="shared" ca="1" si="44"/>
        <v>60</v>
      </c>
      <c r="H472" s="17">
        <f t="shared" ca="1" si="45"/>
        <v>-6</v>
      </c>
      <c r="I472" s="18">
        <f t="shared" ca="1" si="46"/>
        <v>9</v>
      </c>
      <c r="J472" s="19">
        <f t="shared" ca="1" si="47"/>
        <v>59</v>
      </c>
      <c r="K472" s="17" t="s">
        <v>41</v>
      </c>
      <c r="L472" s="20">
        <v>77</v>
      </c>
      <c r="M472" s="26" t="s">
        <v>44</v>
      </c>
      <c r="N472">
        <v>106</v>
      </c>
    </row>
    <row r="473" spans="1:14">
      <c r="A473" s="24">
        <f t="shared" si="42"/>
        <v>28</v>
      </c>
      <c r="B473" s="66" t="s">
        <v>11</v>
      </c>
      <c r="C473" s="66" t="s">
        <v>718</v>
      </c>
      <c r="D473" s="66" t="s">
        <v>719</v>
      </c>
      <c r="E473" s="21">
        <f t="shared" ca="1" si="43"/>
        <v>40951</v>
      </c>
      <c r="F473" s="45"/>
      <c r="G473" s="7">
        <f t="shared" ca="1" si="44"/>
        <v>112</v>
      </c>
      <c r="H473" s="7">
        <f t="shared" ca="1" si="45"/>
        <v>1</v>
      </c>
      <c r="I473" s="8">
        <f t="shared" ca="1" si="46"/>
        <v>12</v>
      </c>
      <c r="J473" s="9">
        <f t="shared" ca="1" si="47"/>
        <v>112</v>
      </c>
      <c r="K473" s="7" t="s">
        <v>41</v>
      </c>
      <c r="L473" s="10">
        <v>77</v>
      </c>
      <c r="M473" s="24" t="s">
        <v>40</v>
      </c>
      <c r="N473">
        <v>107</v>
      </c>
    </row>
    <row r="474" spans="1:14">
      <c r="A474" s="25">
        <f t="shared" si="42"/>
        <v>29</v>
      </c>
      <c r="B474" s="67" t="s">
        <v>11</v>
      </c>
      <c r="C474" s="67" t="s">
        <v>666</v>
      </c>
      <c r="D474" s="67" t="s">
        <v>720</v>
      </c>
      <c r="E474" s="22">
        <f t="shared" ca="1" si="43"/>
        <v>40951</v>
      </c>
      <c r="F474" s="11">
        <f>DATE(41,11,30)</f>
        <v>15310</v>
      </c>
      <c r="G474" s="12">
        <f t="shared" ca="1" si="44"/>
        <v>71</v>
      </c>
      <c r="H474" s="12">
        <f t="shared" ca="1" si="45"/>
        <v>-9</v>
      </c>
      <c r="I474" s="13">
        <f t="shared" ca="1" si="46"/>
        <v>-18</v>
      </c>
      <c r="J474" s="14">
        <f t="shared" ca="1" si="47"/>
        <v>70</v>
      </c>
      <c r="K474" s="12" t="s">
        <v>41</v>
      </c>
      <c r="L474" s="15">
        <v>77</v>
      </c>
      <c r="M474" s="25" t="s">
        <v>40</v>
      </c>
      <c r="N474">
        <v>107</v>
      </c>
    </row>
    <row r="475" spans="1:14">
      <c r="A475" s="25">
        <f t="shared" si="42"/>
        <v>30</v>
      </c>
      <c r="B475" s="67" t="s">
        <v>11</v>
      </c>
      <c r="C475" s="67" t="s">
        <v>673</v>
      </c>
      <c r="D475" s="67" t="s">
        <v>720</v>
      </c>
      <c r="E475" s="22">
        <f t="shared" ca="1" si="43"/>
        <v>40951</v>
      </c>
      <c r="F475" s="11">
        <f>DATE(73,8,7)</f>
        <v>26883</v>
      </c>
      <c r="G475" s="12">
        <f t="shared" ca="1" si="44"/>
        <v>39</v>
      </c>
      <c r="H475" s="12">
        <f t="shared" ca="1" si="45"/>
        <v>-6</v>
      </c>
      <c r="I475" s="13">
        <f t="shared" ca="1" si="46"/>
        <v>5</v>
      </c>
      <c r="J475" s="14">
        <f t="shared" ca="1" si="47"/>
        <v>38</v>
      </c>
      <c r="K475" s="12" t="s">
        <v>41</v>
      </c>
      <c r="L475" s="15">
        <v>77</v>
      </c>
      <c r="M475" s="25" t="s">
        <v>40</v>
      </c>
      <c r="N475">
        <v>107</v>
      </c>
    </row>
    <row r="476" spans="1:14">
      <c r="A476" s="25">
        <f t="shared" si="42"/>
        <v>31</v>
      </c>
      <c r="B476" s="67" t="s">
        <v>11</v>
      </c>
      <c r="C476" s="67" t="s">
        <v>155</v>
      </c>
      <c r="D476" s="67" t="s">
        <v>481</v>
      </c>
      <c r="E476" s="22">
        <f t="shared" ca="1" si="43"/>
        <v>40951</v>
      </c>
      <c r="F476" s="32"/>
      <c r="G476" s="12">
        <f t="shared" ca="1" si="44"/>
        <v>112</v>
      </c>
      <c r="H476" s="12">
        <f t="shared" ca="1" si="45"/>
        <v>1</v>
      </c>
      <c r="I476" s="13">
        <f t="shared" ca="1" si="46"/>
        <v>12</v>
      </c>
      <c r="J476" s="14">
        <f t="shared" ca="1" si="47"/>
        <v>112</v>
      </c>
      <c r="K476" s="12" t="s">
        <v>41</v>
      </c>
      <c r="L476" s="15">
        <v>78</v>
      </c>
      <c r="M476" s="25" t="s">
        <v>40</v>
      </c>
      <c r="N476">
        <v>107</v>
      </c>
    </row>
    <row r="477" spans="1:14">
      <c r="A477" s="25">
        <f t="shared" si="42"/>
        <v>32</v>
      </c>
      <c r="B477" s="67" t="s">
        <v>11</v>
      </c>
      <c r="C477" s="67" t="s">
        <v>722</v>
      </c>
      <c r="D477" s="67" t="s">
        <v>481</v>
      </c>
      <c r="E477" s="22">
        <f t="shared" ca="1" si="43"/>
        <v>40951</v>
      </c>
      <c r="F477" s="11">
        <f>DATE(83,7,11)</f>
        <v>30508</v>
      </c>
      <c r="G477" s="12">
        <f t="shared" ca="1" si="44"/>
        <v>29</v>
      </c>
      <c r="H477" s="12">
        <f t="shared" ca="1" si="45"/>
        <v>-5</v>
      </c>
      <c r="I477" s="13">
        <f t="shared" ca="1" si="46"/>
        <v>1</v>
      </c>
      <c r="J477" s="14">
        <f t="shared" ca="1" si="47"/>
        <v>28</v>
      </c>
      <c r="K477" s="12" t="s">
        <v>41</v>
      </c>
      <c r="L477" s="15">
        <v>78</v>
      </c>
      <c r="M477" s="25" t="s">
        <v>40</v>
      </c>
      <c r="N477">
        <v>107</v>
      </c>
    </row>
    <row r="478" spans="1:14">
      <c r="A478" s="25">
        <f t="shared" si="42"/>
        <v>33</v>
      </c>
      <c r="B478" s="67" t="s">
        <v>11</v>
      </c>
      <c r="C478" s="67" t="s">
        <v>576</v>
      </c>
      <c r="D478" s="67" t="s">
        <v>724</v>
      </c>
      <c r="E478" s="22">
        <f t="shared" ca="1" si="43"/>
        <v>40951</v>
      </c>
      <c r="F478" s="32"/>
      <c r="G478" s="12">
        <f t="shared" ca="1" si="44"/>
        <v>112</v>
      </c>
      <c r="H478" s="12">
        <f t="shared" ca="1" si="45"/>
        <v>1</v>
      </c>
      <c r="I478" s="13">
        <f t="shared" ca="1" si="46"/>
        <v>12</v>
      </c>
      <c r="J478" s="14">
        <f t="shared" ca="1" si="47"/>
        <v>112</v>
      </c>
      <c r="K478" s="12" t="s">
        <v>41</v>
      </c>
      <c r="L478" s="15">
        <v>78</v>
      </c>
      <c r="M478" s="25" t="s">
        <v>40</v>
      </c>
      <c r="N478">
        <v>107</v>
      </c>
    </row>
    <row r="479" spans="1:14" ht="15.75" thickBot="1">
      <c r="A479" s="26">
        <f t="shared" si="42"/>
        <v>34</v>
      </c>
      <c r="B479" s="67" t="s">
        <v>11</v>
      </c>
      <c r="C479" s="68" t="s">
        <v>78</v>
      </c>
      <c r="D479" s="68" t="s">
        <v>326</v>
      </c>
      <c r="E479" s="23">
        <f t="shared" ca="1" si="43"/>
        <v>40951</v>
      </c>
      <c r="F479" s="16">
        <f>DATE(56,1,1)</f>
        <v>20455</v>
      </c>
      <c r="G479" s="17">
        <f t="shared" ca="1" si="44"/>
        <v>56</v>
      </c>
      <c r="H479" s="17">
        <f t="shared" ca="1" si="45"/>
        <v>1</v>
      </c>
      <c r="I479" s="18">
        <f t="shared" ca="1" si="46"/>
        <v>11</v>
      </c>
      <c r="J479" s="19">
        <f t="shared" ca="1" si="47"/>
        <v>56</v>
      </c>
      <c r="K479" s="17" t="s">
        <v>41</v>
      </c>
      <c r="L479" s="20">
        <v>78</v>
      </c>
      <c r="M479" s="26" t="s">
        <v>40</v>
      </c>
      <c r="N479">
        <v>107</v>
      </c>
    </row>
    <row r="480" spans="1:14">
      <c r="A480" s="24">
        <f t="shared" si="42"/>
        <v>35</v>
      </c>
      <c r="B480" s="66" t="s">
        <v>11</v>
      </c>
      <c r="C480" s="66" t="s">
        <v>115</v>
      </c>
      <c r="D480" s="66" t="s">
        <v>341</v>
      </c>
      <c r="E480" s="21">
        <f t="shared" ca="1" si="43"/>
        <v>40951</v>
      </c>
      <c r="F480" s="6">
        <f>DATE(53,10,25)</f>
        <v>19657</v>
      </c>
      <c r="G480" s="7">
        <f t="shared" ca="1" si="44"/>
        <v>59</v>
      </c>
      <c r="H480" s="7">
        <f t="shared" ca="1" si="45"/>
        <v>-8</v>
      </c>
      <c r="I480" s="8">
        <f t="shared" ca="1" si="46"/>
        <v>-13</v>
      </c>
      <c r="J480" s="9">
        <f t="shared" ca="1" si="47"/>
        <v>58</v>
      </c>
      <c r="K480" s="7" t="s">
        <v>41</v>
      </c>
      <c r="L480" s="10">
        <v>78</v>
      </c>
      <c r="M480" s="24" t="s">
        <v>40</v>
      </c>
      <c r="N480">
        <v>108</v>
      </c>
    </row>
    <row r="481" spans="1:14">
      <c r="A481" s="25">
        <f t="shared" si="42"/>
        <v>36</v>
      </c>
      <c r="B481" s="67" t="s">
        <v>11</v>
      </c>
      <c r="C481" s="67" t="s">
        <v>212</v>
      </c>
      <c r="D481" s="67" t="s">
        <v>727</v>
      </c>
      <c r="E481" s="22">
        <f t="shared" ca="1" si="43"/>
        <v>40951</v>
      </c>
      <c r="F481" s="11">
        <f>DATE(79,12,18)</f>
        <v>29207</v>
      </c>
      <c r="G481" s="12">
        <f t="shared" ca="1" si="44"/>
        <v>33</v>
      </c>
      <c r="H481" s="12">
        <f t="shared" ca="1" si="45"/>
        <v>-10</v>
      </c>
      <c r="I481" s="13">
        <f t="shared" ca="1" si="46"/>
        <v>-6</v>
      </c>
      <c r="J481" s="14">
        <f t="shared" ca="1" si="47"/>
        <v>32</v>
      </c>
      <c r="K481" s="12" t="s">
        <v>41</v>
      </c>
      <c r="L481" s="15">
        <v>78</v>
      </c>
      <c r="M481" s="25" t="s">
        <v>40</v>
      </c>
      <c r="N481">
        <v>108</v>
      </c>
    </row>
    <row r="482" spans="1:14">
      <c r="A482" s="25">
        <f t="shared" si="42"/>
        <v>37</v>
      </c>
      <c r="B482" s="67" t="s">
        <v>11</v>
      </c>
      <c r="C482" s="67" t="s">
        <v>729</v>
      </c>
      <c r="D482" s="67" t="s">
        <v>641</v>
      </c>
      <c r="E482" s="22">
        <f t="shared" ca="1" si="43"/>
        <v>40951</v>
      </c>
      <c r="F482" s="11">
        <f>DATE(83,3,12)</f>
        <v>30387</v>
      </c>
      <c r="G482" s="12">
        <f t="shared" ca="1" si="44"/>
        <v>29</v>
      </c>
      <c r="H482" s="12">
        <f t="shared" ca="1" si="45"/>
        <v>-1</v>
      </c>
      <c r="I482" s="13">
        <f t="shared" ca="1" si="46"/>
        <v>0</v>
      </c>
      <c r="J482" s="14">
        <f t="shared" ca="1" si="47"/>
        <v>28</v>
      </c>
      <c r="K482" s="12" t="s">
        <v>41</v>
      </c>
      <c r="L482" s="15">
        <v>78</v>
      </c>
      <c r="M482" s="25" t="s">
        <v>40</v>
      </c>
      <c r="N482">
        <v>108</v>
      </c>
    </row>
    <row r="483" spans="1:14">
      <c r="A483" s="25">
        <f t="shared" si="42"/>
        <v>38</v>
      </c>
      <c r="B483" s="67" t="s">
        <v>11</v>
      </c>
      <c r="C483" s="67" t="s">
        <v>731</v>
      </c>
      <c r="D483" s="67" t="s">
        <v>730</v>
      </c>
      <c r="E483" s="22">
        <f t="shared" ca="1" si="43"/>
        <v>40951</v>
      </c>
      <c r="F483" s="11">
        <f>DATE(53,1,1)</f>
        <v>19360</v>
      </c>
      <c r="G483" s="12">
        <f t="shared" ca="1" si="44"/>
        <v>59</v>
      </c>
      <c r="H483" s="12">
        <f t="shared" ca="1" si="45"/>
        <v>1</v>
      </c>
      <c r="I483" s="13">
        <f t="shared" ca="1" si="46"/>
        <v>11</v>
      </c>
      <c r="J483" s="14">
        <f t="shared" ca="1" si="47"/>
        <v>59</v>
      </c>
      <c r="K483" s="12" t="s">
        <v>41</v>
      </c>
      <c r="L483" s="15">
        <v>79</v>
      </c>
      <c r="M483" s="25" t="s">
        <v>40</v>
      </c>
      <c r="N483">
        <v>108</v>
      </c>
    </row>
    <row r="484" spans="1:14">
      <c r="A484" s="25">
        <f t="shared" si="42"/>
        <v>39</v>
      </c>
      <c r="B484" s="67" t="s">
        <v>11</v>
      </c>
      <c r="C484" s="67" t="s">
        <v>628</v>
      </c>
      <c r="D484" s="67" t="s">
        <v>730</v>
      </c>
      <c r="E484" s="22">
        <f t="shared" ca="1" si="43"/>
        <v>40951</v>
      </c>
      <c r="F484" s="11">
        <f>DATE(86,11,11)</f>
        <v>31727</v>
      </c>
      <c r="G484" s="12">
        <f t="shared" ca="1" si="44"/>
        <v>26</v>
      </c>
      <c r="H484" s="12">
        <f t="shared" ca="1" si="45"/>
        <v>-9</v>
      </c>
      <c r="I484" s="13">
        <f t="shared" ca="1" si="46"/>
        <v>1</v>
      </c>
      <c r="J484" s="14">
        <f t="shared" ca="1" si="47"/>
        <v>25</v>
      </c>
      <c r="K484" s="12" t="s">
        <v>41</v>
      </c>
      <c r="L484" s="15">
        <v>79</v>
      </c>
      <c r="M484" s="25" t="s">
        <v>44</v>
      </c>
      <c r="N484">
        <v>108</v>
      </c>
    </row>
    <row r="485" spans="1:14" ht="15.75" thickBot="1">
      <c r="A485" s="26">
        <f t="shared" si="42"/>
        <v>40</v>
      </c>
      <c r="B485" s="67" t="s">
        <v>11</v>
      </c>
      <c r="C485" s="68" t="s">
        <v>236</v>
      </c>
      <c r="D485" s="68" t="s">
        <v>730</v>
      </c>
      <c r="E485" s="23">
        <f t="shared" ca="1" si="43"/>
        <v>40951</v>
      </c>
      <c r="F485" s="16">
        <f>DATE(88,8,31)</f>
        <v>32386</v>
      </c>
      <c r="G485" s="17">
        <f t="shared" ca="1" si="44"/>
        <v>24</v>
      </c>
      <c r="H485" s="17">
        <f t="shared" ca="1" si="45"/>
        <v>-6</v>
      </c>
      <c r="I485" s="18">
        <f t="shared" ca="1" si="46"/>
        <v>-19</v>
      </c>
      <c r="J485" s="19">
        <f t="shared" ca="1" si="47"/>
        <v>23</v>
      </c>
      <c r="K485" s="17" t="s">
        <v>41</v>
      </c>
      <c r="L485" s="20">
        <v>79</v>
      </c>
      <c r="M485" s="26" t="s">
        <v>44</v>
      </c>
      <c r="N485">
        <v>108</v>
      </c>
    </row>
    <row r="486" spans="1:14">
      <c r="A486" s="24">
        <f t="shared" si="42"/>
        <v>41</v>
      </c>
      <c r="B486" s="66" t="s">
        <v>11</v>
      </c>
      <c r="C486" s="66" t="s">
        <v>74</v>
      </c>
      <c r="D486" s="66" t="s">
        <v>730</v>
      </c>
      <c r="E486" s="21">
        <f t="shared" ca="1" si="43"/>
        <v>40951</v>
      </c>
      <c r="F486" s="6">
        <f>DATE(91,12,13)</f>
        <v>33585</v>
      </c>
      <c r="G486" s="7">
        <f t="shared" ca="1" si="44"/>
        <v>21</v>
      </c>
      <c r="H486" s="7">
        <f t="shared" ca="1" si="45"/>
        <v>-10</v>
      </c>
      <c r="I486" s="8">
        <f t="shared" ca="1" si="46"/>
        <v>-1</v>
      </c>
      <c r="J486" s="9">
        <f t="shared" ca="1" si="47"/>
        <v>20</v>
      </c>
      <c r="K486" s="7" t="s">
        <v>41</v>
      </c>
      <c r="L486" s="10">
        <v>79</v>
      </c>
      <c r="M486" s="24" t="s">
        <v>44</v>
      </c>
      <c r="N486">
        <v>109</v>
      </c>
    </row>
    <row r="487" spans="1:14">
      <c r="A487" s="25">
        <f t="shared" si="42"/>
        <v>42</v>
      </c>
      <c r="B487" s="67" t="s">
        <v>11</v>
      </c>
      <c r="C487" s="67" t="s">
        <v>415</v>
      </c>
      <c r="D487" s="67" t="s">
        <v>355</v>
      </c>
      <c r="E487" s="22">
        <f t="shared" ca="1" si="43"/>
        <v>40951</v>
      </c>
      <c r="F487" s="11">
        <f>DATE(34,6,7)</f>
        <v>12577</v>
      </c>
      <c r="G487" s="12">
        <f t="shared" ca="1" si="44"/>
        <v>78</v>
      </c>
      <c r="H487" s="12">
        <f t="shared" ca="1" si="45"/>
        <v>-4</v>
      </c>
      <c r="I487" s="13">
        <f t="shared" ca="1" si="46"/>
        <v>5</v>
      </c>
      <c r="J487" s="14">
        <f t="shared" ca="1" si="47"/>
        <v>77</v>
      </c>
      <c r="K487" s="12" t="s">
        <v>41</v>
      </c>
      <c r="L487" s="15">
        <v>79</v>
      </c>
      <c r="M487" s="25" t="s">
        <v>40</v>
      </c>
      <c r="N487">
        <v>109</v>
      </c>
    </row>
    <row r="488" spans="1:14">
      <c r="A488" s="25">
        <f t="shared" si="42"/>
        <v>43</v>
      </c>
      <c r="B488" s="67" t="s">
        <v>11</v>
      </c>
      <c r="C488" s="67" t="s">
        <v>732</v>
      </c>
      <c r="D488" s="67" t="s">
        <v>529</v>
      </c>
      <c r="E488" s="22">
        <f t="shared" ca="1" si="43"/>
        <v>40951</v>
      </c>
      <c r="F488" s="11">
        <f>DATE(67,5,13)</f>
        <v>24605</v>
      </c>
      <c r="G488" s="12">
        <f t="shared" ca="1" si="44"/>
        <v>45</v>
      </c>
      <c r="H488" s="12">
        <f t="shared" ca="1" si="45"/>
        <v>-3</v>
      </c>
      <c r="I488" s="13">
        <f t="shared" ca="1" si="46"/>
        <v>-1</v>
      </c>
      <c r="J488" s="14">
        <f t="shared" ca="1" si="47"/>
        <v>44</v>
      </c>
      <c r="K488" s="12" t="s">
        <v>41</v>
      </c>
      <c r="L488" s="15">
        <v>79</v>
      </c>
      <c r="M488" s="25" t="s">
        <v>40</v>
      </c>
      <c r="N488">
        <v>109</v>
      </c>
    </row>
    <row r="489" spans="1:14">
      <c r="A489" s="25">
        <f t="shared" si="42"/>
        <v>44</v>
      </c>
      <c r="B489" s="67" t="s">
        <v>11</v>
      </c>
      <c r="C489" s="67" t="s">
        <v>668</v>
      </c>
      <c r="D489" s="67" t="s">
        <v>529</v>
      </c>
      <c r="E489" s="22">
        <f t="shared" ca="1" si="43"/>
        <v>40951</v>
      </c>
      <c r="F489" s="11">
        <f>DATE(90,6,4)</f>
        <v>33028</v>
      </c>
      <c r="G489" s="12">
        <f t="shared" ca="1" si="44"/>
        <v>22</v>
      </c>
      <c r="H489" s="12">
        <f t="shared" ca="1" si="45"/>
        <v>-4</v>
      </c>
      <c r="I489" s="13">
        <f t="shared" ca="1" si="46"/>
        <v>8</v>
      </c>
      <c r="J489" s="14">
        <f t="shared" ca="1" si="47"/>
        <v>21</v>
      </c>
      <c r="K489" s="12" t="s">
        <v>41</v>
      </c>
      <c r="L489" s="15">
        <v>79</v>
      </c>
      <c r="M489" s="25" t="s">
        <v>44</v>
      </c>
      <c r="N489">
        <v>109</v>
      </c>
    </row>
    <row r="490" spans="1:14">
      <c r="A490" s="25">
        <f t="shared" si="42"/>
        <v>45</v>
      </c>
      <c r="B490" s="67" t="s">
        <v>11</v>
      </c>
      <c r="C490" s="67" t="s">
        <v>638</v>
      </c>
      <c r="D490" s="67" t="s">
        <v>529</v>
      </c>
      <c r="E490" s="22">
        <f t="shared" ca="1" si="43"/>
        <v>40951</v>
      </c>
      <c r="F490" s="11">
        <f>DATE(93,1,25)</f>
        <v>33994</v>
      </c>
      <c r="G490" s="12">
        <f t="shared" ca="1" si="44"/>
        <v>19</v>
      </c>
      <c r="H490" s="12">
        <f t="shared" ca="1" si="45"/>
        <v>1</v>
      </c>
      <c r="I490" s="13">
        <f t="shared" ca="1" si="46"/>
        <v>-13</v>
      </c>
      <c r="J490" s="14">
        <f t="shared" ca="1" si="47"/>
        <v>19</v>
      </c>
      <c r="K490" s="12" t="s">
        <v>41</v>
      </c>
      <c r="L490" s="15">
        <v>79</v>
      </c>
      <c r="M490" s="25" t="s">
        <v>44</v>
      </c>
      <c r="N490">
        <v>109</v>
      </c>
    </row>
    <row r="491" spans="1:14">
      <c r="A491" s="25">
        <f t="shared" si="42"/>
        <v>46</v>
      </c>
      <c r="B491" s="67" t="s">
        <v>11</v>
      </c>
      <c r="C491" s="67" t="s">
        <v>340</v>
      </c>
      <c r="D491" s="67" t="s">
        <v>529</v>
      </c>
      <c r="E491" s="22">
        <f t="shared" ca="1" si="43"/>
        <v>40951</v>
      </c>
      <c r="F491" s="11">
        <f>DATE(2003,1,11)</f>
        <v>37632</v>
      </c>
      <c r="G491" s="12">
        <f t="shared" ca="1" si="44"/>
        <v>9</v>
      </c>
      <c r="H491" s="12">
        <f t="shared" ca="1" si="45"/>
        <v>1</v>
      </c>
      <c r="I491" s="13">
        <f t="shared" ca="1" si="46"/>
        <v>1</v>
      </c>
      <c r="J491" s="14">
        <f t="shared" ca="1" si="47"/>
        <v>9</v>
      </c>
      <c r="K491" s="12" t="s">
        <v>41</v>
      </c>
      <c r="L491" s="15">
        <v>79</v>
      </c>
      <c r="M491" s="25" t="s">
        <v>44</v>
      </c>
      <c r="N491">
        <v>109</v>
      </c>
    </row>
    <row r="492" spans="1:14">
      <c r="A492" s="25">
        <f t="shared" si="42"/>
        <v>47</v>
      </c>
      <c r="B492" s="67" t="s">
        <v>11</v>
      </c>
      <c r="C492" s="67" t="s">
        <v>265</v>
      </c>
      <c r="D492" s="67" t="s">
        <v>348</v>
      </c>
      <c r="E492" s="22">
        <f t="shared" ca="1" si="43"/>
        <v>40951</v>
      </c>
      <c r="F492" s="11">
        <f>DATE(69,11,22)</f>
        <v>25529</v>
      </c>
      <c r="G492" s="12">
        <f t="shared" ca="1" si="44"/>
        <v>43</v>
      </c>
      <c r="H492" s="12">
        <f t="shared" ca="1" si="45"/>
        <v>-9</v>
      </c>
      <c r="I492" s="13">
        <f t="shared" ca="1" si="46"/>
        <v>-10</v>
      </c>
      <c r="J492" s="14">
        <f t="shared" ca="1" si="47"/>
        <v>42</v>
      </c>
      <c r="K492" s="12" t="s">
        <v>41</v>
      </c>
      <c r="L492" s="15">
        <v>79</v>
      </c>
      <c r="M492" s="25" t="s">
        <v>40</v>
      </c>
      <c r="N492">
        <v>109</v>
      </c>
    </row>
    <row r="493" spans="1:14" ht="15.75" thickBot="1">
      <c r="A493" s="26">
        <f t="shared" si="42"/>
        <v>48</v>
      </c>
      <c r="B493" s="67" t="s">
        <v>11</v>
      </c>
      <c r="C493" s="68" t="s">
        <v>734</v>
      </c>
      <c r="D493" s="68" t="s">
        <v>348</v>
      </c>
      <c r="E493" s="23">
        <f t="shared" ca="1" si="43"/>
        <v>40951</v>
      </c>
      <c r="F493" s="16">
        <f>DATE(90,2,11)</f>
        <v>32915</v>
      </c>
      <c r="G493" s="17">
        <f t="shared" ca="1" si="44"/>
        <v>22</v>
      </c>
      <c r="H493" s="17">
        <f t="shared" ca="1" si="45"/>
        <v>0</v>
      </c>
      <c r="I493" s="18">
        <f t="shared" ca="1" si="46"/>
        <v>1</v>
      </c>
      <c r="J493" s="19">
        <f t="shared" ca="1" si="47"/>
        <v>22</v>
      </c>
      <c r="K493" s="17" t="s">
        <v>41</v>
      </c>
      <c r="L493" s="20">
        <v>79</v>
      </c>
      <c r="M493" s="26" t="s">
        <v>40</v>
      </c>
      <c r="N493">
        <v>109</v>
      </c>
    </row>
    <row r="494" spans="1:14" ht="15.75" thickBot="1">
      <c r="A494" s="43">
        <f t="shared" si="42"/>
        <v>49</v>
      </c>
      <c r="B494" s="69" t="s">
        <v>11</v>
      </c>
      <c r="C494" s="69" t="s">
        <v>626</v>
      </c>
      <c r="D494" s="69" t="s">
        <v>348</v>
      </c>
      <c r="E494" s="37">
        <f t="shared" ca="1" si="43"/>
        <v>40951</v>
      </c>
      <c r="F494" s="38">
        <f>DATE(61,2,9)</f>
        <v>22321</v>
      </c>
      <c r="G494" s="39">
        <f t="shared" ca="1" si="44"/>
        <v>51</v>
      </c>
      <c r="H494" s="39">
        <f t="shared" ca="1" si="45"/>
        <v>0</v>
      </c>
      <c r="I494" s="40">
        <f t="shared" ca="1" si="46"/>
        <v>3</v>
      </c>
      <c r="J494" s="41">
        <f t="shared" ca="1" si="47"/>
        <v>51</v>
      </c>
      <c r="K494" s="39" t="s">
        <v>41</v>
      </c>
      <c r="L494" s="42">
        <v>80</v>
      </c>
      <c r="M494" s="43" t="s">
        <v>40</v>
      </c>
      <c r="N494">
        <v>110</v>
      </c>
    </row>
    <row r="495" spans="1:14">
      <c r="A495" s="24">
        <f t="shared" si="42"/>
        <v>50</v>
      </c>
      <c r="B495" s="66" t="s">
        <v>11</v>
      </c>
      <c r="C495" s="66" t="s">
        <v>265</v>
      </c>
      <c r="D495" s="66" t="s">
        <v>210</v>
      </c>
      <c r="E495" s="21">
        <f t="shared" ca="1" si="43"/>
        <v>40951</v>
      </c>
      <c r="F495" s="6">
        <f>DATE(59,9,20)</f>
        <v>21813</v>
      </c>
      <c r="G495" s="7">
        <f t="shared" ca="1" si="44"/>
        <v>53</v>
      </c>
      <c r="H495" s="7">
        <f t="shared" ca="1" si="45"/>
        <v>-7</v>
      </c>
      <c r="I495" s="8">
        <f t="shared" ca="1" si="46"/>
        <v>-8</v>
      </c>
      <c r="J495" s="9">
        <f t="shared" ca="1" si="47"/>
        <v>52</v>
      </c>
      <c r="K495" s="7" t="s">
        <v>41</v>
      </c>
      <c r="L495" s="10">
        <v>80</v>
      </c>
      <c r="M495" s="24" t="s">
        <v>40</v>
      </c>
      <c r="N495">
        <v>111</v>
      </c>
    </row>
    <row r="496" spans="1:14">
      <c r="A496" s="25">
        <f t="shared" si="42"/>
        <v>51</v>
      </c>
      <c r="B496" s="67" t="s">
        <v>11</v>
      </c>
      <c r="C496" s="67" t="s">
        <v>736</v>
      </c>
      <c r="D496" s="67" t="s">
        <v>210</v>
      </c>
      <c r="E496" s="22">
        <f t="shared" ca="1" si="43"/>
        <v>40951</v>
      </c>
      <c r="F496" s="11">
        <f>DATE(83,1,22)</f>
        <v>30338</v>
      </c>
      <c r="G496" s="12">
        <f t="shared" ca="1" si="44"/>
        <v>29</v>
      </c>
      <c r="H496" s="12">
        <f t="shared" ca="1" si="45"/>
        <v>1</v>
      </c>
      <c r="I496" s="13">
        <f t="shared" ca="1" si="46"/>
        <v>-10</v>
      </c>
      <c r="J496" s="14">
        <f t="shared" ca="1" si="47"/>
        <v>29</v>
      </c>
      <c r="K496" s="12" t="s">
        <v>41</v>
      </c>
      <c r="L496" s="15">
        <v>80</v>
      </c>
      <c r="M496" s="25" t="s">
        <v>44</v>
      </c>
      <c r="N496">
        <v>111</v>
      </c>
    </row>
    <row r="497" spans="1:14">
      <c r="A497" s="25">
        <f t="shared" si="42"/>
        <v>52</v>
      </c>
      <c r="B497" s="67" t="s">
        <v>11</v>
      </c>
      <c r="C497" s="67" t="s">
        <v>638</v>
      </c>
      <c r="D497" s="67" t="s">
        <v>210</v>
      </c>
      <c r="E497" s="22">
        <f t="shared" ca="1" si="43"/>
        <v>40951</v>
      </c>
      <c r="F497" s="11">
        <f>DATE(78,6,16)</f>
        <v>28657</v>
      </c>
      <c r="G497" s="12">
        <f t="shared" ca="1" si="44"/>
        <v>34</v>
      </c>
      <c r="H497" s="12">
        <f t="shared" ca="1" si="45"/>
        <v>-4</v>
      </c>
      <c r="I497" s="13">
        <f t="shared" ca="1" si="46"/>
        <v>-4</v>
      </c>
      <c r="J497" s="14">
        <f t="shared" ca="1" si="47"/>
        <v>33</v>
      </c>
      <c r="K497" s="12" t="s">
        <v>41</v>
      </c>
      <c r="L497" s="15">
        <v>80</v>
      </c>
      <c r="M497" s="25" t="s">
        <v>44</v>
      </c>
      <c r="N497">
        <v>111</v>
      </c>
    </row>
    <row r="498" spans="1:14" ht="15.75" thickBot="1">
      <c r="A498" s="26">
        <f t="shared" si="42"/>
        <v>53</v>
      </c>
      <c r="B498" s="67" t="s">
        <v>11</v>
      </c>
      <c r="C498" s="68" t="s">
        <v>739</v>
      </c>
      <c r="D498" s="68" t="s">
        <v>473</v>
      </c>
      <c r="E498" s="23">
        <f t="shared" ca="1" si="43"/>
        <v>40951</v>
      </c>
      <c r="F498" s="16">
        <f>DATE(56,4,23)</f>
        <v>20568</v>
      </c>
      <c r="G498" s="17">
        <f t="shared" ca="1" si="44"/>
        <v>56</v>
      </c>
      <c r="H498" s="17">
        <f t="shared" ca="1" si="45"/>
        <v>-2</v>
      </c>
      <c r="I498" s="18">
        <f t="shared" ca="1" si="46"/>
        <v>-11</v>
      </c>
      <c r="J498" s="19">
        <f t="shared" ca="1" si="47"/>
        <v>55</v>
      </c>
      <c r="K498" s="17" t="s">
        <v>41</v>
      </c>
      <c r="L498" s="20">
        <v>80</v>
      </c>
      <c r="M498" s="26" t="s">
        <v>40</v>
      </c>
      <c r="N498">
        <v>111</v>
      </c>
    </row>
    <row r="499" spans="1:14">
      <c r="A499" s="24">
        <f t="shared" si="42"/>
        <v>54</v>
      </c>
      <c r="B499" s="66" t="s">
        <v>11</v>
      </c>
      <c r="C499" s="66" t="s">
        <v>740</v>
      </c>
      <c r="D499" s="66" t="s">
        <v>473</v>
      </c>
      <c r="E499" s="21">
        <f t="shared" ca="1" si="43"/>
        <v>40951</v>
      </c>
      <c r="F499" s="6">
        <f>DATE(82,10,6)</f>
        <v>30230</v>
      </c>
      <c r="G499" s="7">
        <f t="shared" ca="1" si="44"/>
        <v>30</v>
      </c>
      <c r="H499" s="7">
        <f t="shared" ca="1" si="45"/>
        <v>-8</v>
      </c>
      <c r="I499" s="8">
        <f t="shared" ca="1" si="46"/>
        <v>6</v>
      </c>
      <c r="J499" s="9">
        <f t="shared" ca="1" si="47"/>
        <v>29</v>
      </c>
      <c r="K499" s="7" t="s">
        <v>41</v>
      </c>
      <c r="L499" s="10">
        <v>80</v>
      </c>
      <c r="M499" s="24" t="s">
        <v>44</v>
      </c>
      <c r="N499">
        <v>112</v>
      </c>
    </row>
    <row r="500" spans="1:14">
      <c r="A500" s="25">
        <f t="shared" si="42"/>
        <v>55</v>
      </c>
      <c r="B500" s="67" t="s">
        <v>11</v>
      </c>
      <c r="C500" s="67" t="s">
        <v>74</v>
      </c>
      <c r="D500" s="67" t="s">
        <v>473</v>
      </c>
      <c r="E500" s="22">
        <f t="shared" ca="1" si="43"/>
        <v>40951</v>
      </c>
      <c r="F500" s="11">
        <f>DATE(86,3,25)</f>
        <v>31496</v>
      </c>
      <c r="G500" s="12">
        <f t="shared" ca="1" si="44"/>
        <v>26</v>
      </c>
      <c r="H500" s="12">
        <f t="shared" ca="1" si="45"/>
        <v>-1</v>
      </c>
      <c r="I500" s="13">
        <f t="shared" ca="1" si="46"/>
        <v>-13</v>
      </c>
      <c r="J500" s="14">
        <f t="shared" ca="1" si="47"/>
        <v>25</v>
      </c>
      <c r="K500" s="12" t="s">
        <v>41</v>
      </c>
      <c r="L500" s="15">
        <v>80</v>
      </c>
      <c r="M500" s="25" t="s">
        <v>44</v>
      </c>
      <c r="N500">
        <v>112</v>
      </c>
    </row>
    <row r="501" spans="1:14">
      <c r="A501" s="25">
        <f t="shared" si="42"/>
        <v>56</v>
      </c>
      <c r="B501" s="67" t="s">
        <v>11</v>
      </c>
      <c r="C501" s="67" t="s">
        <v>741</v>
      </c>
      <c r="D501" s="67" t="s">
        <v>473</v>
      </c>
      <c r="E501" s="22">
        <f t="shared" ca="1" si="43"/>
        <v>40951</v>
      </c>
      <c r="F501" s="11">
        <f>DATE(87,9,10)</f>
        <v>32030</v>
      </c>
      <c r="G501" s="12">
        <f t="shared" ca="1" si="44"/>
        <v>25</v>
      </c>
      <c r="H501" s="12">
        <f t="shared" ca="1" si="45"/>
        <v>-7</v>
      </c>
      <c r="I501" s="13">
        <f t="shared" ca="1" si="46"/>
        <v>2</v>
      </c>
      <c r="J501" s="14">
        <f t="shared" ca="1" si="47"/>
        <v>24</v>
      </c>
      <c r="K501" s="12" t="s">
        <v>41</v>
      </c>
      <c r="L501" s="15">
        <v>80</v>
      </c>
      <c r="M501" s="25" t="s">
        <v>44</v>
      </c>
      <c r="N501">
        <v>112</v>
      </c>
    </row>
    <row r="502" spans="1:14">
      <c r="A502" s="25">
        <f t="shared" si="42"/>
        <v>57</v>
      </c>
      <c r="B502" s="67" t="s">
        <v>11</v>
      </c>
      <c r="C502" s="67" t="s">
        <v>744</v>
      </c>
      <c r="D502" s="67" t="s">
        <v>743</v>
      </c>
      <c r="E502" s="22">
        <f t="shared" ca="1" si="43"/>
        <v>40951</v>
      </c>
      <c r="F502" s="11">
        <f>DATE(44,9,20)</f>
        <v>16335</v>
      </c>
      <c r="G502" s="12">
        <f t="shared" ca="1" si="44"/>
        <v>68</v>
      </c>
      <c r="H502" s="12">
        <f t="shared" ca="1" si="45"/>
        <v>-7</v>
      </c>
      <c r="I502" s="13">
        <f t="shared" ca="1" si="46"/>
        <v>-8</v>
      </c>
      <c r="J502" s="14">
        <f t="shared" ca="1" si="47"/>
        <v>67</v>
      </c>
      <c r="K502" s="12" t="s">
        <v>41</v>
      </c>
      <c r="L502" s="15">
        <v>81</v>
      </c>
      <c r="M502" s="25" t="s">
        <v>40</v>
      </c>
      <c r="N502">
        <v>112</v>
      </c>
    </row>
    <row r="503" spans="1:14" ht="15.75" thickBot="1">
      <c r="A503" s="26">
        <f t="shared" si="42"/>
        <v>58</v>
      </c>
      <c r="B503" s="67" t="s">
        <v>11</v>
      </c>
      <c r="C503" s="68" t="s">
        <v>368</v>
      </c>
      <c r="D503" s="68" t="s">
        <v>743</v>
      </c>
      <c r="E503" s="23">
        <f t="shared" ca="1" si="43"/>
        <v>40951</v>
      </c>
      <c r="F503" s="16">
        <f>DATE(71,3,24)</f>
        <v>26016</v>
      </c>
      <c r="G503" s="17">
        <f t="shared" ca="1" si="44"/>
        <v>41</v>
      </c>
      <c r="H503" s="17">
        <f t="shared" ca="1" si="45"/>
        <v>-1</v>
      </c>
      <c r="I503" s="18">
        <f t="shared" ca="1" si="46"/>
        <v>-12</v>
      </c>
      <c r="J503" s="19">
        <f t="shared" ca="1" si="47"/>
        <v>40</v>
      </c>
      <c r="K503" s="17" t="s">
        <v>41</v>
      </c>
      <c r="L503" s="20">
        <v>81</v>
      </c>
      <c r="M503" s="75" t="s">
        <v>44</v>
      </c>
      <c r="N503">
        <v>112</v>
      </c>
    </row>
    <row r="504" spans="1:14">
      <c r="A504" s="24">
        <f t="shared" si="42"/>
        <v>59</v>
      </c>
      <c r="B504" s="66" t="s">
        <v>11</v>
      </c>
      <c r="C504" s="66" t="s">
        <v>746</v>
      </c>
      <c r="D504" s="66" t="s">
        <v>745</v>
      </c>
      <c r="E504" s="21">
        <f t="shared" ca="1" si="43"/>
        <v>40951</v>
      </c>
      <c r="F504" s="6">
        <f>DATE(27,7,14)</f>
        <v>10057</v>
      </c>
      <c r="G504" s="7">
        <f t="shared" ca="1" si="44"/>
        <v>85</v>
      </c>
      <c r="H504" s="7">
        <f t="shared" ca="1" si="45"/>
        <v>-5</v>
      </c>
      <c r="I504" s="8">
        <f t="shared" ca="1" si="46"/>
        <v>-2</v>
      </c>
      <c r="J504" s="9">
        <f t="shared" ca="1" si="47"/>
        <v>84</v>
      </c>
      <c r="K504" s="7" t="s">
        <v>41</v>
      </c>
      <c r="L504" s="10">
        <v>81</v>
      </c>
      <c r="M504" s="24" t="s">
        <v>40</v>
      </c>
      <c r="N504">
        <v>113</v>
      </c>
    </row>
    <row r="505" spans="1:14">
      <c r="A505" s="25">
        <f t="shared" si="42"/>
        <v>60</v>
      </c>
      <c r="B505" s="67" t="s">
        <v>11</v>
      </c>
      <c r="C505" s="67" t="s">
        <v>634</v>
      </c>
      <c r="D505" s="67" t="s">
        <v>747</v>
      </c>
      <c r="E505" s="22">
        <f t="shared" ca="1" si="43"/>
        <v>40951</v>
      </c>
      <c r="F505" s="11">
        <f>DATE(52,10,11)</f>
        <v>19278</v>
      </c>
      <c r="G505" s="12">
        <f t="shared" ca="1" si="44"/>
        <v>60</v>
      </c>
      <c r="H505" s="12">
        <f t="shared" ca="1" si="45"/>
        <v>-8</v>
      </c>
      <c r="I505" s="13">
        <f t="shared" ca="1" si="46"/>
        <v>1</v>
      </c>
      <c r="J505" s="14">
        <f t="shared" ca="1" si="47"/>
        <v>59</v>
      </c>
      <c r="K505" s="12" t="s">
        <v>41</v>
      </c>
      <c r="L505" s="15">
        <v>81</v>
      </c>
      <c r="M505" s="25" t="s">
        <v>40</v>
      </c>
      <c r="N505">
        <v>113</v>
      </c>
    </row>
    <row r="506" spans="1:14">
      <c r="A506" s="25">
        <f t="shared" si="42"/>
        <v>61</v>
      </c>
      <c r="B506" s="67" t="s">
        <v>11</v>
      </c>
      <c r="C506" s="67" t="s">
        <v>660</v>
      </c>
      <c r="D506" s="67" t="s">
        <v>748</v>
      </c>
      <c r="E506" s="22">
        <f t="shared" ca="1" si="43"/>
        <v>40951</v>
      </c>
      <c r="F506" s="11">
        <f>DATE(72,10,6)</f>
        <v>26578</v>
      </c>
      <c r="G506" s="12">
        <f t="shared" ca="1" si="44"/>
        <v>40</v>
      </c>
      <c r="H506" s="12">
        <f t="shared" ca="1" si="45"/>
        <v>-8</v>
      </c>
      <c r="I506" s="13">
        <f t="shared" ca="1" si="46"/>
        <v>6</v>
      </c>
      <c r="J506" s="14">
        <f t="shared" ca="1" si="47"/>
        <v>39</v>
      </c>
      <c r="K506" s="12" t="s">
        <v>41</v>
      </c>
      <c r="L506" s="15">
        <v>81</v>
      </c>
      <c r="M506" s="25" t="s">
        <v>40</v>
      </c>
      <c r="N506">
        <v>113</v>
      </c>
    </row>
    <row r="507" spans="1:14">
      <c r="A507" s="25">
        <f t="shared" si="42"/>
        <v>62</v>
      </c>
      <c r="B507" s="67" t="s">
        <v>11</v>
      </c>
      <c r="C507" s="67" t="s">
        <v>690</v>
      </c>
      <c r="D507" s="67" t="s">
        <v>748</v>
      </c>
      <c r="E507" s="22">
        <f t="shared" ca="1" si="43"/>
        <v>40951</v>
      </c>
      <c r="F507" s="11">
        <f>DATE(2003,11,19)</f>
        <v>37944</v>
      </c>
      <c r="G507" s="12">
        <f t="shared" ca="1" si="44"/>
        <v>9</v>
      </c>
      <c r="H507" s="12">
        <f t="shared" ca="1" si="45"/>
        <v>-9</v>
      </c>
      <c r="I507" s="13">
        <f t="shared" ca="1" si="46"/>
        <v>-7</v>
      </c>
      <c r="J507" s="14">
        <f t="shared" ca="1" si="47"/>
        <v>8</v>
      </c>
      <c r="K507" s="12" t="s">
        <v>41</v>
      </c>
      <c r="L507" s="15">
        <v>81</v>
      </c>
      <c r="M507" s="25" t="s">
        <v>44</v>
      </c>
      <c r="N507">
        <v>113</v>
      </c>
    </row>
    <row r="508" spans="1:14">
      <c r="A508" s="25">
        <f t="shared" si="42"/>
        <v>63</v>
      </c>
      <c r="B508" s="67" t="s">
        <v>11</v>
      </c>
      <c r="C508" s="67" t="s">
        <v>628</v>
      </c>
      <c r="D508" s="67" t="s">
        <v>750</v>
      </c>
      <c r="E508" s="22">
        <f t="shared" ca="1" si="43"/>
        <v>40951</v>
      </c>
      <c r="F508" s="11">
        <f>DATE(78,1,12)</f>
        <v>28502</v>
      </c>
      <c r="G508" s="12">
        <f t="shared" ca="1" si="44"/>
        <v>34</v>
      </c>
      <c r="H508" s="12">
        <f t="shared" ca="1" si="45"/>
        <v>1</v>
      </c>
      <c r="I508" s="13">
        <f t="shared" ca="1" si="46"/>
        <v>0</v>
      </c>
      <c r="J508" s="14">
        <f t="shared" ca="1" si="47"/>
        <v>34</v>
      </c>
      <c r="K508" s="12" t="s">
        <v>41</v>
      </c>
      <c r="L508" s="15">
        <v>81</v>
      </c>
      <c r="M508" s="25" t="s">
        <v>40</v>
      </c>
      <c r="N508">
        <v>113</v>
      </c>
    </row>
    <row r="509" spans="1:14" ht="15.75" thickBot="1">
      <c r="A509" s="26">
        <f t="shared" si="42"/>
        <v>64</v>
      </c>
      <c r="B509" s="67" t="s">
        <v>11</v>
      </c>
      <c r="C509" s="68" t="s">
        <v>350</v>
      </c>
      <c r="D509" s="68" t="s">
        <v>747</v>
      </c>
      <c r="E509" s="23">
        <f t="shared" ca="1" si="43"/>
        <v>40951</v>
      </c>
      <c r="F509" s="16">
        <f>DATE(84,2,4)</f>
        <v>30716</v>
      </c>
      <c r="G509" s="17">
        <f t="shared" ca="1" si="44"/>
        <v>28</v>
      </c>
      <c r="H509" s="17">
        <f t="shared" ca="1" si="45"/>
        <v>0</v>
      </c>
      <c r="I509" s="18">
        <f t="shared" ca="1" si="46"/>
        <v>8</v>
      </c>
      <c r="J509" s="19">
        <f t="shared" ca="1" si="47"/>
        <v>28</v>
      </c>
      <c r="K509" s="17" t="s">
        <v>41</v>
      </c>
      <c r="L509" s="20">
        <v>81</v>
      </c>
      <c r="M509" s="26" t="s">
        <v>44</v>
      </c>
      <c r="N509">
        <v>113</v>
      </c>
    </row>
    <row r="510" spans="1:14">
      <c r="A510" s="24">
        <f t="shared" ref="A510:A573" si="48">A509+1</f>
        <v>65</v>
      </c>
      <c r="B510" s="66" t="s">
        <v>11</v>
      </c>
      <c r="C510" s="66" t="s">
        <v>751</v>
      </c>
      <c r="D510" s="66" t="s">
        <v>235</v>
      </c>
      <c r="E510" s="21">
        <f t="shared" ca="1" si="43"/>
        <v>40951</v>
      </c>
      <c r="F510" s="6">
        <f>DATE(41,5,10)</f>
        <v>15106</v>
      </c>
      <c r="G510" s="7">
        <f t="shared" ca="1" si="44"/>
        <v>71</v>
      </c>
      <c r="H510" s="7">
        <f t="shared" ca="1" si="45"/>
        <v>-3</v>
      </c>
      <c r="I510" s="8">
        <f t="shared" ca="1" si="46"/>
        <v>2</v>
      </c>
      <c r="J510" s="9">
        <f t="shared" ca="1" si="47"/>
        <v>70</v>
      </c>
      <c r="K510" s="7" t="s">
        <v>41</v>
      </c>
      <c r="L510" s="10">
        <v>82</v>
      </c>
      <c r="M510" s="24" t="s">
        <v>40</v>
      </c>
      <c r="N510">
        <v>114</v>
      </c>
    </row>
    <row r="511" spans="1:14">
      <c r="A511" s="25">
        <f t="shared" si="48"/>
        <v>66</v>
      </c>
      <c r="B511" s="67" t="s">
        <v>11</v>
      </c>
      <c r="C511" s="67" t="s">
        <v>622</v>
      </c>
      <c r="D511" s="67" t="s">
        <v>654</v>
      </c>
      <c r="E511" s="22">
        <f t="shared" ca="1" si="43"/>
        <v>40951</v>
      </c>
      <c r="F511" s="11">
        <f>DATE(71,1,14)</f>
        <v>25947</v>
      </c>
      <c r="G511" s="12">
        <f t="shared" ca="1" si="44"/>
        <v>41</v>
      </c>
      <c r="H511" s="12">
        <f t="shared" ca="1" si="45"/>
        <v>1</v>
      </c>
      <c r="I511" s="13">
        <f t="shared" ca="1" si="46"/>
        <v>-2</v>
      </c>
      <c r="J511" s="14">
        <f t="shared" ca="1" si="47"/>
        <v>41</v>
      </c>
      <c r="K511" s="12" t="s">
        <v>41</v>
      </c>
      <c r="L511" s="15">
        <v>82</v>
      </c>
      <c r="M511" s="25" t="s">
        <v>40</v>
      </c>
      <c r="N511">
        <v>114</v>
      </c>
    </row>
    <row r="512" spans="1:14" ht="15.75" thickBot="1">
      <c r="A512" s="26">
        <f t="shared" si="48"/>
        <v>67</v>
      </c>
      <c r="B512" s="67" t="s">
        <v>11</v>
      </c>
      <c r="C512" s="68" t="s">
        <v>741</v>
      </c>
      <c r="D512" s="68" t="s">
        <v>654</v>
      </c>
      <c r="E512" s="23">
        <f t="shared" ca="1" si="43"/>
        <v>40951</v>
      </c>
      <c r="F512" s="16">
        <f>DATE(91,10,5)</f>
        <v>33516</v>
      </c>
      <c r="G512" s="17">
        <f t="shared" ca="1" si="44"/>
        <v>21</v>
      </c>
      <c r="H512" s="17">
        <f t="shared" ca="1" si="45"/>
        <v>-8</v>
      </c>
      <c r="I512" s="18">
        <f t="shared" ca="1" si="46"/>
        <v>7</v>
      </c>
      <c r="J512" s="19">
        <f t="shared" ca="1" si="47"/>
        <v>20</v>
      </c>
      <c r="K512" s="17" t="s">
        <v>41</v>
      </c>
      <c r="L512" s="20">
        <v>82</v>
      </c>
      <c r="M512" s="26" t="s">
        <v>44</v>
      </c>
      <c r="N512">
        <v>114</v>
      </c>
    </row>
    <row r="513" spans="1:14">
      <c r="A513" s="24">
        <f t="shared" si="48"/>
        <v>68</v>
      </c>
      <c r="B513" s="66" t="s">
        <v>11</v>
      </c>
      <c r="C513" s="66" t="s">
        <v>752</v>
      </c>
      <c r="D513" s="66" t="s">
        <v>654</v>
      </c>
      <c r="E513" s="21">
        <f t="shared" ref="E513:E576" ca="1" si="49">TODAY()</f>
        <v>40951</v>
      </c>
      <c r="F513" s="6">
        <f>DATE(95,6,22)</f>
        <v>34872</v>
      </c>
      <c r="G513" s="7">
        <f t="shared" ref="G513:G576" ca="1" si="50">YEAR(E513)-YEAR(F513)</f>
        <v>17</v>
      </c>
      <c r="H513" s="7">
        <f t="shared" ref="H513:H576" ca="1" si="51">MONTH(E513)-MONTH(F513)</f>
        <v>-4</v>
      </c>
      <c r="I513" s="8">
        <f t="shared" ref="I513:I576" ca="1" si="52">DAY(E513)-DAY(F513)</f>
        <v>-10</v>
      </c>
      <c r="J513" s="9">
        <f t="shared" ref="J513:J576" ca="1" si="53">IF(H513&lt;0,G513-1,IF(H513&gt;0,G513,IF(I513&lt;0,G513-1,G513)))</f>
        <v>16</v>
      </c>
      <c r="K513" s="7" t="s">
        <v>41</v>
      </c>
      <c r="L513" s="10">
        <v>82</v>
      </c>
      <c r="M513" s="24" t="s">
        <v>44</v>
      </c>
      <c r="N513">
        <v>115</v>
      </c>
    </row>
    <row r="514" spans="1:14">
      <c r="A514" s="25">
        <f t="shared" si="48"/>
        <v>69</v>
      </c>
      <c r="B514" s="67" t="s">
        <v>11</v>
      </c>
      <c r="C514" s="67" t="s">
        <v>755</v>
      </c>
      <c r="D514" s="67" t="s">
        <v>754</v>
      </c>
      <c r="E514" s="22">
        <f t="shared" ca="1" si="49"/>
        <v>40951</v>
      </c>
      <c r="F514" s="11">
        <f>DATE(66,3,23)</f>
        <v>24189</v>
      </c>
      <c r="G514" s="12">
        <f t="shared" ca="1" si="50"/>
        <v>46</v>
      </c>
      <c r="H514" s="12">
        <f t="shared" ca="1" si="51"/>
        <v>-1</v>
      </c>
      <c r="I514" s="13">
        <f t="shared" ca="1" si="52"/>
        <v>-11</v>
      </c>
      <c r="J514" s="14">
        <f t="shared" ca="1" si="53"/>
        <v>45</v>
      </c>
      <c r="K514" s="12" t="s">
        <v>41</v>
      </c>
      <c r="L514" s="15">
        <v>82</v>
      </c>
      <c r="M514" s="25" t="s">
        <v>40</v>
      </c>
      <c r="N514">
        <v>115</v>
      </c>
    </row>
    <row r="515" spans="1:14">
      <c r="A515" s="25">
        <f t="shared" si="48"/>
        <v>70</v>
      </c>
      <c r="B515" s="67" t="s">
        <v>11</v>
      </c>
      <c r="C515" s="67" t="s">
        <v>100</v>
      </c>
      <c r="D515" s="67" t="s">
        <v>754</v>
      </c>
      <c r="E515" s="22">
        <f t="shared" ca="1" si="49"/>
        <v>40951</v>
      </c>
      <c r="F515" s="11">
        <f>DATE(97,11,8)</f>
        <v>35742</v>
      </c>
      <c r="G515" s="12">
        <f t="shared" ca="1" si="50"/>
        <v>15</v>
      </c>
      <c r="H515" s="12">
        <f t="shared" ca="1" si="51"/>
        <v>-9</v>
      </c>
      <c r="I515" s="13">
        <f t="shared" ca="1" si="52"/>
        <v>4</v>
      </c>
      <c r="J515" s="14">
        <f t="shared" ca="1" si="53"/>
        <v>14</v>
      </c>
      <c r="K515" s="12" t="s">
        <v>41</v>
      </c>
      <c r="L515" s="15">
        <v>82</v>
      </c>
      <c r="M515" s="25" t="s">
        <v>44</v>
      </c>
      <c r="N515">
        <v>115</v>
      </c>
    </row>
    <row r="516" spans="1:14">
      <c r="A516" s="25">
        <f t="shared" si="48"/>
        <v>71</v>
      </c>
      <c r="B516" s="67" t="s">
        <v>11</v>
      </c>
      <c r="C516" s="67" t="s">
        <v>280</v>
      </c>
      <c r="D516" s="67" t="s">
        <v>592</v>
      </c>
      <c r="E516" s="22">
        <f t="shared" ca="1" si="49"/>
        <v>40951</v>
      </c>
      <c r="F516" s="11">
        <f>DATE(78,9,23)</f>
        <v>28756</v>
      </c>
      <c r="G516" s="12">
        <f t="shared" ca="1" si="50"/>
        <v>34</v>
      </c>
      <c r="H516" s="12">
        <f t="shared" ca="1" si="51"/>
        <v>-7</v>
      </c>
      <c r="I516" s="13">
        <f t="shared" ca="1" si="52"/>
        <v>-11</v>
      </c>
      <c r="J516" s="14">
        <f t="shared" ca="1" si="53"/>
        <v>33</v>
      </c>
      <c r="K516" s="12" t="s">
        <v>41</v>
      </c>
      <c r="L516" s="15">
        <v>82</v>
      </c>
      <c r="M516" s="25" t="s">
        <v>40</v>
      </c>
      <c r="N516">
        <v>115</v>
      </c>
    </row>
    <row r="517" spans="1:14">
      <c r="A517" s="25">
        <f t="shared" si="48"/>
        <v>72</v>
      </c>
      <c r="B517" s="67" t="s">
        <v>11</v>
      </c>
      <c r="C517" s="67" t="s">
        <v>440</v>
      </c>
      <c r="D517" s="67" t="s">
        <v>592</v>
      </c>
      <c r="E517" s="22">
        <f t="shared" ca="1" si="49"/>
        <v>40951</v>
      </c>
      <c r="F517" s="11">
        <f>DATE(65,12,12)</f>
        <v>24088</v>
      </c>
      <c r="G517" s="12">
        <f t="shared" ca="1" si="50"/>
        <v>47</v>
      </c>
      <c r="H517" s="12">
        <f t="shared" ca="1" si="51"/>
        <v>-10</v>
      </c>
      <c r="I517" s="13">
        <f t="shared" ca="1" si="52"/>
        <v>0</v>
      </c>
      <c r="J517" s="14">
        <f t="shared" ca="1" si="53"/>
        <v>46</v>
      </c>
      <c r="K517" s="12" t="s">
        <v>41</v>
      </c>
      <c r="L517" s="15">
        <v>83</v>
      </c>
      <c r="M517" s="25" t="s">
        <v>40</v>
      </c>
      <c r="N517">
        <v>115</v>
      </c>
    </row>
    <row r="518" spans="1:14">
      <c r="A518" s="25">
        <f t="shared" si="48"/>
        <v>73</v>
      </c>
      <c r="B518" s="67" t="s">
        <v>11</v>
      </c>
      <c r="C518" s="67" t="s">
        <v>583</v>
      </c>
      <c r="D518" s="67" t="s">
        <v>592</v>
      </c>
      <c r="E518" s="22">
        <f t="shared" ca="1" si="49"/>
        <v>40951</v>
      </c>
      <c r="F518" s="11">
        <f>DATE(89,10,24)</f>
        <v>32805</v>
      </c>
      <c r="G518" s="12">
        <f t="shared" ca="1" si="50"/>
        <v>23</v>
      </c>
      <c r="H518" s="12">
        <f t="shared" ca="1" si="51"/>
        <v>-8</v>
      </c>
      <c r="I518" s="13">
        <f t="shared" ca="1" si="52"/>
        <v>-12</v>
      </c>
      <c r="J518" s="14">
        <f t="shared" ca="1" si="53"/>
        <v>22</v>
      </c>
      <c r="K518" s="12" t="s">
        <v>41</v>
      </c>
      <c r="L518" s="15">
        <v>83</v>
      </c>
      <c r="M518" s="25" t="s">
        <v>44</v>
      </c>
      <c r="N518">
        <v>115</v>
      </c>
    </row>
    <row r="519" spans="1:14" ht="15.75" thickBot="1">
      <c r="A519" s="26">
        <f t="shared" si="48"/>
        <v>74</v>
      </c>
      <c r="B519" s="67" t="s">
        <v>11</v>
      </c>
      <c r="C519" s="68" t="s">
        <v>760</v>
      </c>
      <c r="D519" s="68" t="s">
        <v>416</v>
      </c>
      <c r="E519" s="23">
        <f t="shared" ca="1" si="49"/>
        <v>40951</v>
      </c>
      <c r="F519" s="16">
        <f>DATE(71,5,21)</f>
        <v>26074</v>
      </c>
      <c r="G519" s="17">
        <f t="shared" ca="1" si="50"/>
        <v>41</v>
      </c>
      <c r="H519" s="17">
        <f t="shared" ca="1" si="51"/>
        <v>-3</v>
      </c>
      <c r="I519" s="18">
        <f t="shared" ca="1" si="52"/>
        <v>-9</v>
      </c>
      <c r="J519" s="19">
        <f t="shared" ca="1" si="53"/>
        <v>40</v>
      </c>
      <c r="K519" s="17" t="s">
        <v>41</v>
      </c>
      <c r="L519" s="20">
        <v>83</v>
      </c>
      <c r="M519" s="26" t="s">
        <v>40</v>
      </c>
      <c r="N519">
        <v>115</v>
      </c>
    </row>
    <row r="520" spans="1:14">
      <c r="A520" s="24">
        <f t="shared" si="48"/>
        <v>75</v>
      </c>
      <c r="B520" s="66" t="s">
        <v>11</v>
      </c>
      <c r="C520" s="66" t="s">
        <v>761</v>
      </c>
      <c r="D520" s="66" t="s">
        <v>416</v>
      </c>
      <c r="E520" s="21">
        <f t="shared" ca="1" si="49"/>
        <v>40951</v>
      </c>
      <c r="F520" s="6">
        <f>DATE(92,4,7)</f>
        <v>33701</v>
      </c>
      <c r="G520" s="7">
        <f t="shared" ca="1" si="50"/>
        <v>20</v>
      </c>
      <c r="H520" s="7">
        <f t="shared" ca="1" si="51"/>
        <v>-2</v>
      </c>
      <c r="I520" s="8">
        <f t="shared" ca="1" si="52"/>
        <v>5</v>
      </c>
      <c r="J520" s="9">
        <f t="shared" ca="1" si="53"/>
        <v>19</v>
      </c>
      <c r="K520" s="7" t="s">
        <v>41</v>
      </c>
      <c r="L520" s="10">
        <v>83</v>
      </c>
      <c r="M520" s="24" t="s">
        <v>44</v>
      </c>
      <c r="N520">
        <v>116</v>
      </c>
    </row>
    <row r="521" spans="1:14">
      <c r="A521" s="25">
        <f t="shared" si="48"/>
        <v>76</v>
      </c>
      <c r="B521" s="67" t="s">
        <v>11</v>
      </c>
      <c r="C521" s="67" t="s">
        <v>290</v>
      </c>
      <c r="D521" s="67" t="s">
        <v>416</v>
      </c>
      <c r="E521" s="22">
        <f t="shared" ca="1" si="49"/>
        <v>40951</v>
      </c>
      <c r="F521" s="11">
        <f>DATE(95,2,23)</f>
        <v>34753</v>
      </c>
      <c r="G521" s="12">
        <f t="shared" ca="1" si="50"/>
        <v>17</v>
      </c>
      <c r="H521" s="12">
        <f t="shared" ca="1" si="51"/>
        <v>0</v>
      </c>
      <c r="I521" s="13">
        <f t="shared" ca="1" si="52"/>
        <v>-11</v>
      </c>
      <c r="J521" s="14">
        <f t="shared" ca="1" si="53"/>
        <v>16</v>
      </c>
      <c r="K521" s="12" t="s">
        <v>41</v>
      </c>
      <c r="L521" s="15">
        <v>83</v>
      </c>
      <c r="M521" s="25" t="s">
        <v>44</v>
      </c>
      <c r="N521">
        <v>116</v>
      </c>
    </row>
    <row r="522" spans="1:14">
      <c r="A522" s="25">
        <f t="shared" si="48"/>
        <v>77</v>
      </c>
      <c r="B522" s="67" t="s">
        <v>11</v>
      </c>
      <c r="C522" s="67" t="s">
        <v>762</v>
      </c>
      <c r="D522" s="67" t="s">
        <v>230</v>
      </c>
      <c r="E522" s="22">
        <f t="shared" ca="1" si="49"/>
        <v>40951</v>
      </c>
      <c r="F522" s="11">
        <f>DATE(30,5,15)</f>
        <v>11093</v>
      </c>
      <c r="G522" s="12">
        <f t="shared" ca="1" si="50"/>
        <v>82</v>
      </c>
      <c r="H522" s="12">
        <f t="shared" ca="1" si="51"/>
        <v>-3</v>
      </c>
      <c r="I522" s="13">
        <f t="shared" ca="1" si="52"/>
        <v>-3</v>
      </c>
      <c r="J522" s="14">
        <f t="shared" ca="1" si="53"/>
        <v>81</v>
      </c>
      <c r="K522" s="12" t="s">
        <v>41</v>
      </c>
      <c r="L522" s="15">
        <v>84</v>
      </c>
      <c r="M522" s="25" t="s">
        <v>40</v>
      </c>
      <c r="N522">
        <v>116</v>
      </c>
    </row>
    <row r="523" spans="1:14">
      <c r="A523" s="25">
        <f t="shared" si="48"/>
        <v>78</v>
      </c>
      <c r="B523" s="67" t="s">
        <v>11</v>
      </c>
      <c r="C523" s="67" t="s">
        <v>764</v>
      </c>
      <c r="D523" s="67" t="s">
        <v>627</v>
      </c>
      <c r="E523" s="22">
        <f t="shared" ca="1" si="49"/>
        <v>40951</v>
      </c>
      <c r="F523" s="11">
        <f>DATE(80,2,14)</f>
        <v>29265</v>
      </c>
      <c r="G523" s="12">
        <f t="shared" ca="1" si="50"/>
        <v>32</v>
      </c>
      <c r="H523" s="12">
        <f t="shared" ca="1" si="51"/>
        <v>0</v>
      </c>
      <c r="I523" s="13">
        <f t="shared" ca="1" si="52"/>
        <v>-2</v>
      </c>
      <c r="J523" s="14">
        <f t="shared" ca="1" si="53"/>
        <v>31</v>
      </c>
      <c r="K523" s="12" t="s">
        <v>41</v>
      </c>
      <c r="L523" s="15">
        <v>84</v>
      </c>
      <c r="M523" s="25" t="s">
        <v>40</v>
      </c>
      <c r="N523">
        <v>116</v>
      </c>
    </row>
    <row r="524" spans="1:14">
      <c r="A524" s="25">
        <f t="shared" si="48"/>
        <v>79</v>
      </c>
      <c r="B524" s="67" t="s">
        <v>11</v>
      </c>
      <c r="C524" s="67" t="s">
        <v>150</v>
      </c>
      <c r="D524" s="67" t="s">
        <v>284</v>
      </c>
      <c r="E524" s="22">
        <f t="shared" ca="1" si="49"/>
        <v>40951</v>
      </c>
      <c r="F524" s="11">
        <f>DATE(62,8,19)</f>
        <v>22877</v>
      </c>
      <c r="G524" s="12">
        <f t="shared" ca="1" si="50"/>
        <v>50</v>
      </c>
      <c r="H524" s="12">
        <f t="shared" ca="1" si="51"/>
        <v>-6</v>
      </c>
      <c r="I524" s="13">
        <f t="shared" ca="1" si="52"/>
        <v>-7</v>
      </c>
      <c r="J524" s="14">
        <f t="shared" ca="1" si="53"/>
        <v>49</v>
      </c>
      <c r="K524" s="12" t="s">
        <v>41</v>
      </c>
      <c r="L524" s="15">
        <v>84</v>
      </c>
      <c r="M524" s="25" t="s">
        <v>40</v>
      </c>
      <c r="N524">
        <v>116</v>
      </c>
    </row>
    <row r="525" spans="1:14">
      <c r="A525" s="25">
        <f t="shared" si="48"/>
        <v>80</v>
      </c>
      <c r="B525" s="67" t="s">
        <v>11</v>
      </c>
      <c r="C525" s="67" t="s">
        <v>768</v>
      </c>
      <c r="D525" s="67" t="s">
        <v>767</v>
      </c>
      <c r="E525" s="22">
        <f t="shared" ca="1" si="49"/>
        <v>40951</v>
      </c>
      <c r="F525" s="11">
        <f>DATE(62,7,2)</f>
        <v>22829</v>
      </c>
      <c r="G525" s="12">
        <f t="shared" ca="1" si="50"/>
        <v>50</v>
      </c>
      <c r="H525" s="12">
        <f t="shared" ca="1" si="51"/>
        <v>-5</v>
      </c>
      <c r="I525" s="13">
        <f t="shared" ca="1" si="52"/>
        <v>10</v>
      </c>
      <c r="J525" s="14">
        <f t="shared" ca="1" si="53"/>
        <v>49</v>
      </c>
      <c r="K525" s="12" t="s">
        <v>41</v>
      </c>
      <c r="L525" s="15">
        <v>84</v>
      </c>
      <c r="M525" s="25" t="s">
        <v>40</v>
      </c>
      <c r="N525">
        <v>116</v>
      </c>
    </row>
    <row r="526" spans="1:14">
      <c r="A526" s="25">
        <f t="shared" si="48"/>
        <v>81</v>
      </c>
      <c r="B526" s="67" t="s">
        <v>11</v>
      </c>
      <c r="C526" s="67" t="s">
        <v>770</v>
      </c>
      <c r="D526" s="67" t="s">
        <v>769</v>
      </c>
      <c r="E526" s="22">
        <f t="shared" ca="1" si="49"/>
        <v>40951</v>
      </c>
      <c r="F526" s="11">
        <f>DATE(84,2,17)</f>
        <v>30729</v>
      </c>
      <c r="G526" s="12">
        <f t="shared" ca="1" si="50"/>
        <v>28</v>
      </c>
      <c r="H526" s="12">
        <f t="shared" ca="1" si="51"/>
        <v>0</v>
      </c>
      <c r="I526" s="13">
        <f t="shared" ca="1" si="52"/>
        <v>-5</v>
      </c>
      <c r="J526" s="14">
        <f t="shared" ca="1" si="53"/>
        <v>27</v>
      </c>
      <c r="K526" s="12" t="s">
        <v>41</v>
      </c>
      <c r="L526" s="15">
        <v>84</v>
      </c>
      <c r="M526" s="25" t="s">
        <v>40</v>
      </c>
      <c r="N526">
        <v>116</v>
      </c>
    </row>
    <row r="527" spans="1:14">
      <c r="A527" s="25">
        <f t="shared" si="48"/>
        <v>82</v>
      </c>
      <c r="B527" s="67" t="s">
        <v>11</v>
      </c>
      <c r="C527" s="67" t="s">
        <v>261</v>
      </c>
      <c r="D527" s="67" t="s">
        <v>96</v>
      </c>
      <c r="E527" s="22">
        <f t="shared" ca="1" si="49"/>
        <v>40951</v>
      </c>
      <c r="F527" s="11">
        <f>DATE(64,6,1)</f>
        <v>23529</v>
      </c>
      <c r="G527" s="12">
        <f t="shared" ca="1" si="50"/>
        <v>48</v>
      </c>
      <c r="H527" s="12">
        <f t="shared" ca="1" si="51"/>
        <v>-4</v>
      </c>
      <c r="I527" s="13">
        <f t="shared" ca="1" si="52"/>
        <v>11</v>
      </c>
      <c r="J527" s="14">
        <f t="shared" ca="1" si="53"/>
        <v>47</v>
      </c>
      <c r="K527" s="12" t="s">
        <v>41</v>
      </c>
      <c r="L527" s="15">
        <v>84</v>
      </c>
      <c r="M527" s="25" t="s">
        <v>40</v>
      </c>
      <c r="N527">
        <v>116</v>
      </c>
    </row>
    <row r="528" spans="1:14" ht="15.75" thickBot="1">
      <c r="A528" s="26">
        <f t="shared" si="48"/>
        <v>83</v>
      </c>
      <c r="B528" s="67" t="s">
        <v>11</v>
      </c>
      <c r="C528" s="68" t="s">
        <v>772</v>
      </c>
      <c r="D528" s="68" t="s">
        <v>237</v>
      </c>
      <c r="E528" s="23">
        <f t="shared" ca="1" si="49"/>
        <v>40951</v>
      </c>
      <c r="F528" s="33"/>
      <c r="G528" s="17">
        <f t="shared" ca="1" si="50"/>
        <v>112</v>
      </c>
      <c r="H528" s="17">
        <f t="shared" ca="1" si="51"/>
        <v>1</v>
      </c>
      <c r="I528" s="18">
        <f t="shared" ca="1" si="52"/>
        <v>12</v>
      </c>
      <c r="J528" s="19">
        <f t="shared" ca="1" si="53"/>
        <v>112</v>
      </c>
      <c r="K528" s="17" t="s">
        <v>41</v>
      </c>
      <c r="L528" s="20">
        <v>85</v>
      </c>
      <c r="M528" s="26" t="s">
        <v>40</v>
      </c>
      <c r="N528">
        <v>116</v>
      </c>
    </row>
    <row r="529" spans="1:14">
      <c r="A529" s="24">
        <f t="shared" si="48"/>
        <v>84</v>
      </c>
      <c r="B529" s="66" t="s">
        <v>11</v>
      </c>
      <c r="C529" s="66" t="s">
        <v>662</v>
      </c>
      <c r="D529" s="66" t="s">
        <v>773</v>
      </c>
      <c r="E529" s="21">
        <f t="shared" ca="1" si="49"/>
        <v>40951</v>
      </c>
      <c r="F529" s="6">
        <f>DATE(67,8,17)</f>
        <v>24701</v>
      </c>
      <c r="G529" s="7">
        <f t="shared" ca="1" si="50"/>
        <v>45</v>
      </c>
      <c r="H529" s="7">
        <f t="shared" ca="1" si="51"/>
        <v>-6</v>
      </c>
      <c r="I529" s="8">
        <f t="shared" ca="1" si="52"/>
        <v>-5</v>
      </c>
      <c r="J529" s="9">
        <f t="shared" ca="1" si="53"/>
        <v>44</v>
      </c>
      <c r="K529" s="7" t="s">
        <v>41</v>
      </c>
      <c r="L529" s="10">
        <v>85</v>
      </c>
      <c r="M529" s="24" t="s">
        <v>40</v>
      </c>
      <c r="N529">
        <v>117</v>
      </c>
    </row>
    <row r="530" spans="1:14">
      <c r="A530" s="25">
        <f t="shared" si="48"/>
        <v>85</v>
      </c>
      <c r="B530" s="67" t="s">
        <v>11</v>
      </c>
      <c r="C530" s="67" t="s">
        <v>774</v>
      </c>
      <c r="D530" s="67" t="s">
        <v>773</v>
      </c>
      <c r="E530" s="22">
        <f t="shared" ca="1" si="49"/>
        <v>40951</v>
      </c>
      <c r="F530" s="11">
        <f>DATE(88,3,1)</f>
        <v>32203</v>
      </c>
      <c r="G530" s="12">
        <f t="shared" ca="1" si="50"/>
        <v>24</v>
      </c>
      <c r="H530" s="12">
        <f t="shared" ca="1" si="51"/>
        <v>-1</v>
      </c>
      <c r="I530" s="13">
        <f t="shared" ca="1" si="52"/>
        <v>11</v>
      </c>
      <c r="J530" s="14">
        <f t="shared" ca="1" si="53"/>
        <v>23</v>
      </c>
      <c r="K530" s="12" t="s">
        <v>41</v>
      </c>
      <c r="L530" s="15">
        <v>85</v>
      </c>
      <c r="M530" s="25" t="s">
        <v>44</v>
      </c>
      <c r="N530">
        <v>117</v>
      </c>
    </row>
    <row r="531" spans="1:14">
      <c r="A531" s="25">
        <f t="shared" si="48"/>
        <v>86</v>
      </c>
      <c r="B531" s="67" t="s">
        <v>11</v>
      </c>
      <c r="C531" s="67" t="s">
        <v>775</v>
      </c>
      <c r="D531" s="67" t="s">
        <v>773</v>
      </c>
      <c r="E531" s="22">
        <f t="shared" ca="1" si="49"/>
        <v>40951</v>
      </c>
      <c r="F531" s="11">
        <f>DATE(89,12,16)</f>
        <v>32858</v>
      </c>
      <c r="G531" s="12">
        <f t="shared" ca="1" si="50"/>
        <v>23</v>
      </c>
      <c r="H531" s="12">
        <f t="shared" ca="1" si="51"/>
        <v>-10</v>
      </c>
      <c r="I531" s="13">
        <f t="shared" ca="1" si="52"/>
        <v>-4</v>
      </c>
      <c r="J531" s="14">
        <f t="shared" ca="1" si="53"/>
        <v>22</v>
      </c>
      <c r="K531" s="12" t="s">
        <v>41</v>
      </c>
      <c r="L531" s="15">
        <v>85</v>
      </c>
      <c r="M531" s="25" t="s">
        <v>44</v>
      </c>
      <c r="N531">
        <v>117</v>
      </c>
    </row>
    <row r="532" spans="1:14">
      <c r="A532" s="25">
        <f t="shared" si="48"/>
        <v>87</v>
      </c>
      <c r="B532" s="67" t="s">
        <v>11</v>
      </c>
      <c r="C532" s="67" t="s">
        <v>626</v>
      </c>
      <c r="D532" s="67" t="s">
        <v>648</v>
      </c>
      <c r="E532" s="22">
        <f t="shared" ca="1" si="49"/>
        <v>40951</v>
      </c>
      <c r="F532" s="11">
        <f>DATE(49,8,1)</f>
        <v>18111</v>
      </c>
      <c r="G532" s="12">
        <f t="shared" ca="1" si="50"/>
        <v>63</v>
      </c>
      <c r="H532" s="12">
        <f t="shared" ca="1" si="51"/>
        <v>-6</v>
      </c>
      <c r="I532" s="13">
        <f t="shared" ca="1" si="52"/>
        <v>11</v>
      </c>
      <c r="J532" s="14">
        <f t="shared" ca="1" si="53"/>
        <v>62</v>
      </c>
      <c r="K532" s="12" t="s">
        <v>41</v>
      </c>
      <c r="L532" s="15">
        <v>85</v>
      </c>
      <c r="M532" s="25" t="s">
        <v>40</v>
      </c>
      <c r="N532">
        <v>117</v>
      </c>
    </row>
    <row r="533" spans="1:14">
      <c r="A533" s="25">
        <f t="shared" si="48"/>
        <v>88</v>
      </c>
      <c r="B533" s="67" t="s">
        <v>11</v>
      </c>
      <c r="C533" s="67" t="s">
        <v>555</v>
      </c>
      <c r="D533" s="67" t="s">
        <v>452</v>
      </c>
      <c r="E533" s="22">
        <f t="shared" ca="1" si="49"/>
        <v>40951</v>
      </c>
      <c r="F533" s="11">
        <f>DATE(80,3,13)</f>
        <v>29293</v>
      </c>
      <c r="G533" s="12">
        <f t="shared" ca="1" si="50"/>
        <v>32</v>
      </c>
      <c r="H533" s="12">
        <f t="shared" ca="1" si="51"/>
        <v>-1</v>
      </c>
      <c r="I533" s="13">
        <f t="shared" ca="1" si="52"/>
        <v>-1</v>
      </c>
      <c r="J533" s="14">
        <f t="shared" ca="1" si="53"/>
        <v>31</v>
      </c>
      <c r="K533" s="12" t="s">
        <v>41</v>
      </c>
      <c r="L533" s="15">
        <v>85</v>
      </c>
      <c r="M533" s="25" t="s">
        <v>40</v>
      </c>
      <c r="N533">
        <v>117</v>
      </c>
    </row>
    <row r="534" spans="1:14">
      <c r="A534" s="25">
        <f t="shared" si="48"/>
        <v>89</v>
      </c>
      <c r="B534" s="67" t="s">
        <v>11</v>
      </c>
      <c r="C534" s="67" t="s">
        <v>776</v>
      </c>
      <c r="D534" s="67" t="s">
        <v>452</v>
      </c>
      <c r="E534" s="22">
        <f t="shared" ca="1" si="49"/>
        <v>40951</v>
      </c>
      <c r="F534" s="11">
        <f>DATE(2003,3,3)</f>
        <v>37683</v>
      </c>
      <c r="G534" s="12">
        <f t="shared" ca="1" si="50"/>
        <v>9</v>
      </c>
      <c r="H534" s="12">
        <f t="shared" ca="1" si="51"/>
        <v>-1</v>
      </c>
      <c r="I534" s="13">
        <f t="shared" ca="1" si="52"/>
        <v>9</v>
      </c>
      <c r="J534" s="14">
        <f t="shared" ca="1" si="53"/>
        <v>8</v>
      </c>
      <c r="K534" s="12" t="s">
        <v>41</v>
      </c>
      <c r="L534" s="15">
        <v>85</v>
      </c>
      <c r="M534" s="25" t="s">
        <v>44</v>
      </c>
      <c r="N534">
        <v>117</v>
      </c>
    </row>
    <row r="535" spans="1:14">
      <c r="A535" s="25">
        <f t="shared" si="48"/>
        <v>90</v>
      </c>
      <c r="B535" s="67" t="s">
        <v>11</v>
      </c>
      <c r="C535" s="67" t="s">
        <v>84</v>
      </c>
      <c r="D535" s="67" t="s">
        <v>452</v>
      </c>
      <c r="E535" s="22">
        <f t="shared" ca="1" si="49"/>
        <v>40951</v>
      </c>
      <c r="F535" s="11">
        <f>DATE(81,9,7)</f>
        <v>29836</v>
      </c>
      <c r="G535" s="12">
        <f t="shared" ca="1" si="50"/>
        <v>31</v>
      </c>
      <c r="H535" s="12">
        <f t="shared" ca="1" si="51"/>
        <v>-7</v>
      </c>
      <c r="I535" s="13">
        <f t="shared" ca="1" si="52"/>
        <v>5</v>
      </c>
      <c r="J535" s="14">
        <f t="shared" ca="1" si="53"/>
        <v>30</v>
      </c>
      <c r="K535" s="12" t="s">
        <v>41</v>
      </c>
      <c r="L535" s="15">
        <v>85</v>
      </c>
      <c r="M535" s="25" t="s">
        <v>44</v>
      </c>
      <c r="N535">
        <v>117</v>
      </c>
    </row>
    <row r="536" spans="1:14">
      <c r="A536" s="25">
        <f t="shared" si="48"/>
        <v>91</v>
      </c>
      <c r="B536" s="67" t="s">
        <v>11</v>
      </c>
      <c r="C536" s="67" t="s">
        <v>779</v>
      </c>
      <c r="D536" s="67" t="s">
        <v>648</v>
      </c>
      <c r="E536" s="22">
        <f t="shared" ca="1" si="49"/>
        <v>40951</v>
      </c>
      <c r="F536" s="11">
        <f>DATE(53,3,6)</f>
        <v>19424</v>
      </c>
      <c r="G536" s="12">
        <f t="shared" ca="1" si="50"/>
        <v>59</v>
      </c>
      <c r="H536" s="12">
        <f t="shared" ca="1" si="51"/>
        <v>-1</v>
      </c>
      <c r="I536" s="13">
        <f t="shared" ca="1" si="52"/>
        <v>6</v>
      </c>
      <c r="J536" s="14">
        <f t="shared" ca="1" si="53"/>
        <v>58</v>
      </c>
      <c r="K536" s="12" t="s">
        <v>41</v>
      </c>
      <c r="L536" s="15">
        <v>85</v>
      </c>
      <c r="M536" s="25" t="s">
        <v>40</v>
      </c>
      <c r="N536">
        <v>117</v>
      </c>
    </row>
    <row r="537" spans="1:14" ht="15.75" thickBot="1">
      <c r="A537" s="26">
        <f t="shared" si="48"/>
        <v>92</v>
      </c>
      <c r="B537" s="67" t="s">
        <v>11</v>
      </c>
      <c r="C537" s="68" t="s">
        <v>780</v>
      </c>
      <c r="D537" s="68" t="s">
        <v>648</v>
      </c>
      <c r="E537" s="23">
        <f t="shared" ca="1" si="49"/>
        <v>40951</v>
      </c>
      <c r="F537" s="16">
        <f>DATE(83,11,9)</f>
        <v>30629</v>
      </c>
      <c r="G537" s="17">
        <f t="shared" ca="1" si="50"/>
        <v>29</v>
      </c>
      <c r="H537" s="17">
        <f t="shared" ca="1" si="51"/>
        <v>-9</v>
      </c>
      <c r="I537" s="18">
        <f t="shared" ca="1" si="52"/>
        <v>3</v>
      </c>
      <c r="J537" s="19">
        <f t="shared" ca="1" si="53"/>
        <v>28</v>
      </c>
      <c r="K537" s="17" t="s">
        <v>41</v>
      </c>
      <c r="L537" s="20">
        <v>85</v>
      </c>
      <c r="M537" s="26" t="s">
        <v>44</v>
      </c>
      <c r="N537">
        <v>117</v>
      </c>
    </row>
    <row r="538" spans="1:14">
      <c r="A538" s="24">
        <f t="shared" si="48"/>
        <v>93</v>
      </c>
      <c r="B538" s="66" t="s">
        <v>11</v>
      </c>
      <c r="C538" s="66" t="s">
        <v>781</v>
      </c>
      <c r="D538" s="66" t="s">
        <v>778</v>
      </c>
      <c r="E538" s="21">
        <f t="shared" ca="1" si="49"/>
        <v>40951</v>
      </c>
      <c r="F538" s="6">
        <f>DATE(44,1,14)</f>
        <v>16085</v>
      </c>
      <c r="G538" s="7">
        <f t="shared" ca="1" si="50"/>
        <v>68</v>
      </c>
      <c r="H538" s="7">
        <f t="shared" ca="1" si="51"/>
        <v>1</v>
      </c>
      <c r="I538" s="8">
        <f t="shared" ca="1" si="52"/>
        <v>-2</v>
      </c>
      <c r="J538" s="9">
        <f t="shared" ca="1" si="53"/>
        <v>68</v>
      </c>
      <c r="K538" s="7" t="s">
        <v>41</v>
      </c>
      <c r="L538" s="10">
        <v>85</v>
      </c>
      <c r="M538" s="24" t="s">
        <v>44</v>
      </c>
      <c r="N538">
        <v>118</v>
      </c>
    </row>
    <row r="539" spans="1:14">
      <c r="A539" s="25">
        <f t="shared" si="48"/>
        <v>94</v>
      </c>
      <c r="B539" s="67" t="s">
        <v>11</v>
      </c>
      <c r="C539" s="67" t="s">
        <v>782</v>
      </c>
      <c r="D539" s="67" t="s">
        <v>399</v>
      </c>
      <c r="E539" s="22">
        <f t="shared" ca="1" si="49"/>
        <v>40951</v>
      </c>
      <c r="F539" s="11">
        <f>DATE(54,4,25)</f>
        <v>19839</v>
      </c>
      <c r="G539" s="12">
        <f t="shared" ca="1" si="50"/>
        <v>58</v>
      </c>
      <c r="H539" s="12">
        <f t="shared" ca="1" si="51"/>
        <v>-2</v>
      </c>
      <c r="I539" s="13">
        <f t="shared" ca="1" si="52"/>
        <v>-13</v>
      </c>
      <c r="J539" s="14">
        <f t="shared" ca="1" si="53"/>
        <v>57</v>
      </c>
      <c r="K539" s="12" t="s">
        <v>41</v>
      </c>
      <c r="L539" s="15">
        <v>86</v>
      </c>
      <c r="M539" s="25" t="s">
        <v>40</v>
      </c>
      <c r="N539">
        <v>118</v>
      </c>
    </row>
    <row r="540" spans="1:14">
      <c r="A540" s="25">
        <f t="shared" si="48"/>
        <v>95</v>
      </c>
      <c r="B540" s="67" t="s">
        <v>11</v>
      </c>
      <c r="C540" s="67" t="s">
        <v>288</v>
      </c>
      <c r="D540" s="67" t="s">
        <v>784</v>
      </c>
      <c r="E540" s="22">
        <f t="shared" ca="1" si="49"/>
        <v>40951</v>
      </c>
      <c r="F540" s="11">
        <f>DATE(79,6,23)</f>
        <v>29029</v>
      </c>
      <c r="G540" s="12">
        <f t="shared" ca="1" si="50"/>
        <v>33</v>
      </c>
      <c r="H540" s="12">
        <f t="shared" ca="1" si="51"/>
        <v>-4</v>
      </c>
      <c r="I540" s="13">
        <f t="shared" ca="1" si="52"/>
        <v>-11</v>
      </c>
      <c r="J540" s="14">
        <f t="shared" ca="1" si="53"/>
        <v>32</v>
      </c>
      <c r="K540" s="12" t="s">
        <v>41</v>
      </c>
      <c r="L540" s="15">
        <v>86</v>
      </c>
      <c r="M540" s="25" t="s">
        <v>40</v>
      </c>
      <c r="N540">
        <v>118</v>
      </c>
    </row>
    <row r="541" spans="1:14">
      <c r="A541" s="25">
        <f t="shared" si="48"/>
        <v>96</v>
      </c>
      <c r="B541" s="67" t="s">
        <v>11</v>
      </c>
      <c r="C541" s="67" t="s">
        <v>783</v>
      </c>
      <c r="D541" s="67" t="s">
        <v>784</v>
      </c>
      <c r="E541" s="22">
        <f t="shared" ca="1" si="49"/>
        <v>40951</v>
      </c>
      <c r="F541" s="11">
        <f>DATE(2003,4,19)</f>
        <v>37730</v>
      </c>
      <c r="G541" s="12">
        <f t="shared" ca="1" si="50"/>
        <v>9</v>
      </c>
      <c r="H541" s="12">
        <f t="shared" ca="1" si="51"/>
        <v>-2</v>
      </c>
      <c r="I541" s="13">
        <f t="shared" ca="1" si="52"/>
        <v>-7</v>
      </c>
      <c r="J541" s="14">
        <f t="shared" ca="1" si="53"/>
        <v>8</v>
      </c>
      <c r="K541" s="12" t="s">
        <v>41</v>
      </c>
      <c r="L541" s="15">
        <v>86</v>
      </c>
      <c r="M541" s="25" t="s">
        <v>44</v>
      </c>
      <c r="N541">
        <v>118</v>
      </c>
    </row>
    <row r="542" spans="1:14">
      <c r="A542" s="25">
        <f t="shared" si="48"/>
        <v>97</v>
      </c>
      <c r="B542" s="67" t="s">
        <v>11</v>
      </c>
      <c r="C542" s="67" t="s">
        <v>634</v>
      </c>
      <c r="D542" s="67" t="s">
        <v>528</v>
      </c>
      <c r="E542" s="22">
        <f t="shared" ca="1" si="49"/>
        <v>40951</v>
      </c>
      <c r="F542" s="32"/>
      <c r="G542" s="12">
        <f t="shared" ca="1" si="50"/>
        <v>112</v>
      </c>
      <c r="H542" s="12">
        <f t="shared" ca="1" si="51"/>
        <v>1</v>
      </c>
      <c r="I542" s="13">
        <f t="shared" ca="1" si="52"/>
        <v>12</v>
      </c>
      <c r="J542" s="14">
        <f t="shared" ca="1" si="53"/>
        <v>112</v>
      </c>
      <c r="K542" s="12" t="s">
        <v>41</v>
      </c>
      <c r="L542" s="15">
        <v>86</v>
      </c>
      <c r="M542" s="25" t="s">
        <v>40</v>
      </c>
      <c r="N542">
        <v>118</v>
      </c>
    </row>
    <row r="543" spans="1:14" ht="15.75" thickBot="1">
      <c r="A543" s="26">
        <f t="shared" si="48"/>
        <v>98</v>
      </c>
      <c r="B543" s="67" t="s">
        <v>11</v>
      </c>
      <c r="C543" s="68" t="s">
        <v>786</v>
      </c>
      <c r="D543" s="68" t="s">
        <v>588</v>
      </c>
      <c r="E543" s="23">
        <f t="shared" ca="1" si="49"/>
        <v>40951</v>
      </c>
      <c r="F543" s="16">
        <f>DATE(70,12,28)</f>
        <v>25930</v>
      </c>
      <c r="G543" s="17">
        <f t="shared" ca="1" si="50"/>
        <v>42</v>
      </c>
      <c r="H543" s="17">
        <f t="shared" ca="1" si="51"/>
        <v>-10</v>
      </c>
      <c r="I543" s="18">
        <f t="shared" ca="1" si="52"/>
        <v>-16</v>
      </c>
      <c r="J543" s="19">
        <f t="shared" ca="1" si="53"/>
        <v>41</v>
      </c>
      <c r="K543" s="17" t="s">
        <v>41</v>
      </c>
      <c r="L543" s="20">
        <v>86</v>
      </c>
      <c r="M543" s="26" t="s">
        <v>40</v>
      </c>
      <c r="N543">
        <v>118</v>
      </c>
    </row>
    <row r="544" spans="1:14">
      <c r="A544" s="24">
        <f t="shared" si="48"/>
        <v>99</v>
      </c>
      <c r="B544" s="66" t="s">
        <v>11</v>
      </c>
      <c r="C544" s="66" t="s">
        <v>422</v>
      </c>
      <c r="D544" s="66" t="s">
        <v>588</v>
      </c>
      <c r="E544" s="21">
        <f t="shared" ca="1" si="49"/>
        <v>40951</v>
      </c>
      <c r="F544" s="6">
        <f>DATE(94,5,4)</f>
        <v>34458</v>
      </c>
      <c r="G544" s="7">
        <f t="shared" ca="1" si="50"/>
        <v>18</v>
      </c>
      <c r="H544" s="7">
        <f t="shared" ca="1" si="51"/>
        <v>-3</v>
      </c>
      <c r="I544" s="8">
        <f t="shared" ca="1" si="52"/>
        <v>8</v>
      </c>
      <c r="J544" s="9">
        <f t="shared" ca="1" si="53"/>
        <v>17</v>
      </c>
      <c r="K544" s="7" t="s">
        <v>41</v>
      </c>
      <c r="L544" s="10">
        <v>86</v>
      </c>
      <c r="M544" s="24" t="s">
        <v>44</v>
      </c>
      <c r="N544">
        <v>119</v>
      </c>
    </row>
    <row r="545" spans="1:14">
      <c r="A545" s="25">
        <f t="shared" si="48"/>
        <v>100</v>
      </c>
      <c r="B545" s="67" t="s">
        <v>11</v>
      </c>
      <c r="C545" s="67" t="s">
        <v>175</v>
      </c>
      <c r="D545" s="67" t="s">
        <v>788</v>
      </c>
      <c r="E545" s="22">
        <f t="shared" ca="1" si="49"/>
        <v>40951</v>
      </c>
      <c r="F545" s="11">
        <f>DATE(75,5,7)</f>
        <v>27521</v>
      </c>
      <c r="G545" s="12">
        <f t="shared" ca="1" si="50"/>
        <v>37</v>
      </c>
      <c r="H545" s="12">
        <f t="shared" ca="1" si="51"/>
        <v>-3</v>
      </c>
      <c r="I545" s="13">
        <f t="shared" ca="1" si="52"/>
        <v>5</v>
      </c>
      <c r="J545" s="14">
        <f t="shared" ca="1" si="53"/>
        <v>36</v>
      </c>
      <c r="K545" s="12" t="s">
        <v>41</v>
      </c>
      <c r="L545" s="15">
        <v>86</v>
      </c>
      <c r="M545" s="25" t="s">
        <v>40</v>
      </c>
      <c r="N545">
        <v>119</v>
      </c>
    </row>
    <row r="546" spans="1:14" ht="15.75" thickBot="1">
      <c r="A546" s="26">
        <f t="shared" si="48"/>
        <v>101</v>
      </c>
      <c r="B546" s="67" t="s">
        <v>11</v>
      </c>
      <c r="C546" s="68" t="s">
        <v>789</v>
      </c>
      <c r="D546" s="68" t="s">
        <v>788</v>
      </c>
      <c r="E546" s="23">
        <f t="shared" ca="1" si="49"/>
        <v>40951</v>
      </c>
      <c r="F546" s="16">
        <f>DATE(99,3,13)</f>
        <v>36232</v>
      </c>
      <c r="G546" s="17">
        <f t="shared" ca="1" si="50"/>
        <v>13</v>
      </c>
      <c r="H546" s="17">
        <f t="shared" ca="1" si="51"/>
        <v>-1</v>
      </c>
      <c r="I546" s="18">
        <f t="shared" ca="1" si="52"/>
        <v>-1</v>
      </c>
      <c r="J546" s="19">
        <f t="shared" ca="1" si="53"/>
        <v>12</v>
      </c>
      <c r="K546" s="17" t="s">
        <v>41</v>
      </c>
      <c r="L546" s="20">
        <v>86</v>
      </c>
      <c r="M546" s="26" t="s">
        <v>44</v>
      </c>
      <c r="N546">
        <v>119</v>
      </c>
    </row>
    <row r="547" spans="1:14">
      <c r="A547" s="24">
        <f t="shared" si="48"/>
        <v>102</v>
      </c>
      <c r="B547" s="66" t="s">
        <v>11</v>
      </c>
      <c r="C547" s="66" t="s">
        <v>792</v>
      </c>
      <c r="D547" s="66" t="s">
        <v>791</v>
      </c>
      <c r="E547" s="21">
        <f t="shared" ca="1" si="49"/>
        <v>40951</v>
      </c>
      <c r="F547" s="45"/>
      <c r="G547" s="7">
        <f t="shared" ca="1" si="50"/>
        <v>112</v>
      </c>
      <c r="H547" s="7">
        <f t="shared" ca="1" si="51"/>
        <v>1</v>
      </c>
      <c r="I547" s="8">
        <f t="shared" ca="1" si="52"/>
        <v>12</v>
      </c>
      <c r="J547" s="9">
        <f t="shared" ca="1" si="53"/>
        <v>112</v>
      </c>
      <c r="K547" s="7" t="s">
        <v>41</v>
      </c>
      <c r="L547" s="10">
        <v>87</v>
      </c>
      <c r="M547" s="24" t="s">
        <v>40</v>
      </c>
      <c r="N547">
        <v>120</v>
      </c>
    </row>
    <row r="548" spans="1:14">
      <c r="A548" s="25">
        <f t="shared" si="48"/>
        <v>103</v>
      </c>
      <c r="B548" s="67" t="s">
        <v>11</v>
      </c>
      <c r="C548" s="67" t="s">
        <v>216</v>
      </c>
      <c r="D548" s="67" t="s">
        <v>284</v>
      </c>
      <c r="E548" s="22">
        <f t="shared" ca="1" si="49"/>
        <v>40951</v>
      </c>
      <c r="F548" s="11">
        <f>DATE(63,8,17)</f>
        <v>23240</v>
      </c>
      <c r="G548" s="12">
        <f t="shared" ca="1" si="50"/>
        <v>49</v>
      </c>
      <c r="H548" s="12">
        <f t="shared" ca="1" si="51"/>
        <v>-6</v>
      </c>
      <c r="I548" s="13">
        <f t="shared" ca="1" si="52"/>
        <v>-5</v>
      </c>
      <c r="J548" s="14">
        <f t="shared" ca="1" si="53"/>
        <v>48</v>
      </c>
      <c r="K548" s="12" t="s">
        <v>41</v>
      </c>
      <c r="L548" s="15">
        <v>87</v>
      </c>
      <c r="M548" s="25" t="s">
        <v>40</v>
      </c>
      <c r="N548">
        <v>120</v>
      </c>
    </row>
    <row r="549" spans="1:14">
      <c r="A549" s="25">
        <f t="shared" si="48"/>
        <v>104</v>
      </c>
      <c r="B549" s="67" t="s">
        <v>11</v>
      </c>
      <c r="C549" s="67" t="s">
        <v>793</v>
      </c>
      <c r="D549" s="67" t="s">
        <v>284</v>
      </c>
      <c r="E549" s="22">
        <f t="shared" ca="1" si="49"/>
        <v>40951</v>
      </c>
      <c r="F549" s="11">
        <f>DATE(86,6,12)</f>
        <v>31575</v>
      </c>
      <c r="G549" s="12">
        <f t="shared" ca="1" si="50"/>
        <v>26</v>
      </c>
      <c r="H549" s="12">
        <f t="shared" ca="1" si="51"/>
        <v>-4</v>
      </c>
      <c r="I549" s="13">
        <f t="shared" ca="1" si="52"/>
        <v>0</v>
      </c>
      <c r="J549" s="14">
        <f t="shared" ca="1" si="53"/>
        <v>25</v>
      </c>
      <c r="K549" s="12" t="s">
        <v>41</v>
      </c>
      <c r="L549" s="15">
        <v>87</v>
      </c>
      <c r="M549" s="25" t="s">
        <v>44</v>
      </c>
      <c r="N549">
        <v>120</v>
      </c>
    </row>
    <row r="550" spans="1:14">
      <c r="A550" s="25">
        <f t="shared" si="48"/>
        <v>105</v>
      </c>
      <c r="B550" s="67" t="s">
        <v>11</v>
      </c>
      <c r="C550" s="67" t="s">
        <v>795</v>
      </c>
      <c r="D550" s="67" t="s">
        <v>606</v>
      </c>
      <c r="E550" s="22">
        <f t="shared" ca="1" si="49"/>
        <v>40951</v>
      </c>
      <c r="F550" s="32"/>
      <c r="G550" s="12">
        <f t="shared" ca="1" si="50"/>
        <v>112</v>
      </c>
      <c r="H550" s="12">
        <f t="shared" ca="1" si="51"/>
        <v>1</v>
      </c>
      <c r="I550" s="13">
        <f t="shared" ca="1" si="52"/>
        <v>12</v>
      </c>
      <c r="J550" s="14">
        <f t="shared" ca="1" si="53"/>
        <v>112</v>
      </c>
      <c r="K550" s="12" t="s">
        <v>41</v>
      </c>
      <c r="L550" s="15">
        <v>87</v>
      </c>
      <c r="M550" s="25" t="s">
        <v>40</v>
      </c>
      <c r="N550">
        <v>120</v>
      </c>
    </row>
    <row r="551" spans="1:14">
      <c r="A551" s="25">
        <f t="shared" si="48"/>
        <v>106</v>
      </c>
      <c r="B551" s="67" t="s">
        <v>11</v>
      </c>
      <c r="C551" s="67" t="s">
        <v>578</v>
      </c>
      <c r="D551" s="67" t="s">
        <v>606</v>
      </c>
      <c r="E551" s="22">
        <f t="shared" ca="1" si="49"/>
        <v>40951</v>
      </c>
      <c r="F551" s="11">
        <f>DATE(48,2,24)</f>
        <v>17587</v>
      </c>
      <c r="G551" s="12">
        <f t="shared" ca="1" si="50"/>
        <v>64</v>
      </c>
      <c r="H551" s="12">
        <f t="shared" ca="1" si="51"/>
        <v>0</v>
      </c>
      <c r="I551" s="13">
        <f t="shared" ca="1" si="52"/>
        <v>-12</v>
      </c>
      <c r="J551" s="14">
        <f t="shared" ca="1" si="53"/>
        <v>63</v>
      </c>
      <c r="K551" s="12" t="s">
        <v>41</v>
      </c>
      <c r="L551" s="15">
        <v>87</v>
      </c>
      <c r="M551" s="25" t="s">
        <v>44</v>
      </c>
      <c r="N551">
        <v>120</v>
      </c>
    </row>
    <row r="552" spans="1:14">
      <c r="A552" s="25">
        <f t="shared" si="48"/>
        <v>107</v>
      </c>
      <c r="B552" s="67" t="s">
        <v>11</v>
      </c>
      <c r="C552" s="67" t="s">
        <v>796</v>
      </c>
      <c r="D552" s="67" t="s">
        <v>606</v>
      </c>
      <c r="E552" s="22">
        <f t="shared" ca="1" si="49"/>
        <v>40951</v>
      </c>
      <c r="F552" s="11">
        <f>DATE(50,4,4)</f>
        <v>18357</v>
      </c>
      <c r="G552" s="12">
        <f t="shared" ca="1" si="50"/>
        <v>62</v>
      </c>
      <c r="H552" s="12">
        <f t="shared" ca="1" si="51"/>
        <v>-2</v>
      </c>
      <c r="I552" s="13">
        <f t="shared" ca="1" si="52"/>
        <v>8</v>
      </c>
      <c r="J552" s="14">
        <f t="shared" ca="1" si="53"/>
        <v>61</v>
      </c>
      <c r="K552" s="12" t="s">
        <v>41</v>
      </c>
      <c r="L552" s="15">
        <v>87</v>
      </c>
      <c r="M552" s="25" t="s">
        <v>44</v>
      </c>
      <c r="N552">
        <v>120</v>
      </c>
    </row>
    <row r="553" spans="1:14">
      <c r="A553" s="25">
        <f t="shared" si="48"/>
        <v>108</v>
      </c>
      <c r="B553" s="67" t="s">
        <v>11</v>
      </c>
      <c r="C553" s="67" t="s">
        <v>798</v>
      </c>
      <c r="D553" s="67" t="s">
        <v>797</v>
      </c>
      <c r="E553" s="22">
        <f t="shared" ca="1" si="49"/>
        <v>40951</v>
      </c>
      <c r="F553" s="11">
        <f>DATE(50,8,25)</f>
        <v>18500</v>
      </c>
      <c r="G553" s="12">
        <f t="shared" ca="1" si="50"/>
        <v>62</v>
      </c>
      <c r="H553" s="12">
        <f t="shared" ca="1" si="51"/>
        <v>-6</v>
      </c>
      <c r="I553" s="13">
        <f t="shared" ca="1" si="52"/>
        <v>-13</v>
      </c>
      <c r="J553" s="14">
        <f t="shared" ca="1" si="53"/>
        <v>61</v>
      </c>
      <c r="K553" s="12" t="s">
        <v>41</v>
      </c>
      <c r="L553" s="15">
        <v>87</v>
      </c>
      <c r="M553" s="25" t="s">
        <v>40</v>
      </c>
      <c r="N553">
        <v>120</v>
      </c>
    </row>
    <row r="554" spans="1:14">
      <c r="A554" s="25">
        <f t="shared" si="48"/>
        <v>109</v>
      </c>
      <c r="B554" s="67" t="s">
        <v>11</v>
      </c>
      <c r="C554" s="67" t="s">
        <v>302</v>
      </c>
      <c r="D554" s="67" t="s">
        <v>118</v>
      </c>
      <c r="E554" s="22">
        <f t="shared" ca="1" si="49"/>
        <v>40951</v>
      </c>
      <c r="F554" s="11">
        <f>DATE(79,6,6)</f>
        <v>29012</v>
      </c>
      <c r="G554" s="12">
        <f t="shared" ca="1" si="50"/>
        <v>33</v>
      </c>
      <c r="H554" s="12">
        <f t="shared" ca="1" si="51"/>
        <v>-4</v>
      </c>
      <c r="I554" s="13">
        <f t="shared" ca="1" si="52"/>
        <v>6</v>
      </c>
      <c r="J554" s="14">
        <f t="shared" ca="1" si="53"/>
        <v>32</v>
      </c>
      <c r="K554" s="12" t="s">
        <v>41</v>
      </c>
      <c r="L554" s="15">
        <v>87</v>
      </c>
      <c r="M554" s="25" t="s">
        <v>40</v>
      </c>
      <c r="N554">
        <v>120</v>
      </c>
    </row>
    <row r="555" spans="1:14">
      <c r="A555" s="25">
        <f t="shared" si="48"/>
        <v>110</v>
      </c>
      <c r="B555" s="67" t="s">
        <v>11</v>
      </c>
      <c r="C555" s="67" t="s">
        <v>800</v>
      </c>
      <c r="D555" s="67" t="s">
        <v>414</v>
      </c>
      <c r="E555" s="22">
        <f t="shared" ca="1" si="49"/>
        <v>40951</v>
      </c>
      <c r="F555" s="11">
        <f>DATE(66,1,3)</f>
        <v>24110</v>
      </c>
      <c r="G555" s="12">
        <f t="shared" ca="1" si="50"/>
        <v>46</v>
      </c>
      <c r="H555" s="12">
        <f t="shared" ca="1" si="51"/>
        <v>1</v>
      </c>
      <c r="I555" s="13">
        <f t="shared" ca="1" si="52"/>
        <v>9</v>
      </c>
      <c r="J555" s="14">
        <f t="shared" ca="1" si="53"/>
        <v>46</v>
      </c>
      <c r="K555" s="12" t="s">
        <v>41</v>
      </c>
      <c r="L555" s="15">
        <v>88</v>
      </c>
      <c r="M555" s="25" t="s">
        <v>40</v>
      </c>
      <c r="N555">
        <v>120</v>
      </c>
    </row>
    <row r="556" spans="1:14">
      <c r="A556" s="25">
        <f t="shared" si="48"/>
        <v>111</v>
      </c>
      <c r="B556" s="67" t="s">
        <v>11</v>
      </c>
      <c r="C556" s="67" t="s">
        <v>801</v>
      </c>
      <c r="D556" s="67" t="s">
        <v>414</v>
      </c>
      <c r="E556" s="22">
        <f t="shared" ca="1" si="49"/>
        <v>40951</v>
      </c>
      <c r="F556" s="11">
        <f>DATE(97,12,12)</f>
        <v>35776</v>
      </c>
      <c r="G556" s="12">
        <f t="shared" ca="1" si="50"/>
        <v>15</v>
      </c>
      <c r="H556" s="12">
        <f t="shared" ca="1" si="51"/>
        <v>-10</v>
      </c>
      <c r="I556" s="13">
        <f t="shared" ca="1" si="52"/>
        <v>0</v>
      </c>
      <c r="J556" s="14">
        <f t="shared" ca="1" si="53"/>
        <v>14</v>
      </c>
      <c r="K556" s="12" t="s">
        <v>41</v>
      </c>
      <c r="L556" s="15">
        <v>88</v>
      </c>
      <c r="M556" s="25" t="s">
        <v>44</v>
      </c>
      <c r="N556">
        <v>120</v>
      </c>
    </row>
    <row r="557" spans="1:14">
      <c r="A557" s="25">
        <f t="shared" si="48"/>
        <v>112</v>
      </c>
      <c r="B557" s="67" t="s">
        <v>11</v>
      </c>
      <c r="C557" s="67" t="s">
        <v>803</v>
      </c>
      <c r="D557" s="67" t="s">
        <v>758</v>
      </c>
      <c r="E557" s="22">
        <f t="shared" ca="1" si="49"/>
        <v>40951</v>
      </c>
      <c r="F557" s="32"/>
      <c r="G557" s="12">
        <f t="shared" ca="1" si="50"/>
        <v>112</v>
      </c>
      <c r="H557" s="12">
        <f t="shared" ca="1" si="51"/>
        <v>1</v>
      </c>
      <c r="I557" s="13">
        <f t="shared" ca="1" si="52"/>
        <v>12</v>
      </c>
      <c r="J557" s="14">
        <f t="shared" ca="1" si="53"/>
        <v>112</v>
      </c>
      <c r="K557" s="12" t="s">
        <v>41</v>
      </c>
      <c r="L557" s="15">
        <v>88</v>
      </c>
      <c r="M557" s="25" t="s">
        <v>40</v>
      </c>
      <c r="N557">
        <v>120</v>
      </c>
    </row>
    <row r="558" spans="1:14">
      <c r="A558" s="25">
        <f t="shared" si="48"/>
        <v>113</v>
      </c>
      <c r="B558" s="67" t="s">
        <v>11</v>
      </c>
      <c r="C558" s="67" t="s">
        <v>804</v>
      </c>
      <c r="D558" s="67" t="s">
        <v>229</v>
      </c>
      <c r="E558" s="22">
        <f t="shared" ca="1" si="49"/>
        <v>40951</v>
      </c>
      <c r="F558" s="11">
        <f>DATE(79,10,18)</f>
        <v>29146</v>
      </c>
      <c r="G558" s="12">
        <f t="shared" ca="1" si="50"/>
        <v>33</v>
      </c>
      <c r="H558" s="12">
        <f t="shared" ca="1" si="51"/>
        <v>-8</v>
      </c>
      <c r="I558" s="13">
        <f t="shared" ca="1" si="52"/>
        <v>-6</v>
      </c>
      <c r="J558" s="14">
        <f t="shared" ca="1" si="53"/>
        <v>32</v>
      </c>
      <c r="K558" s="12" t="s">
        <v>41</v>
      </c>
      <c r="L558" s="15">
        <v>88</v>
      </c>
      <c r="M558" s="25" t="s">
        <v>40</v>
      </c>
      <c r="N558">
        <v>120</v>
      </c>
    </row>
    <row r="559" spans="1:14" ht="15.75" thickBot="1">
      <c r="A559" s="26">
        <f t="shared" si="48"/>
        <v>114</v>
      </c>
      <c r="B559" s="67" t="s">
        <v>11</v>
      </c>
      <c r="C559" s="68" t="s">
        <v>805</v>
      </c>
      <c r="D559" s="68" t="s">
        <v>541</v>
      </c>
      <c r="E559" s="23">
        <f t="shared" ca="1" si="49"/>
        <v>40951</v>
      </c>
      <c r="F559" s="16">
        <f>DATE(76,12,27)</f>
        <v>28121</v>
      </c>
      <c r="G559" s="17">
        <f t="shared" ca="1" si="50"/>
        <v>36</v>
      </c>
      <c r="H559" s="17">
        <f t="shared" ca="1" si="51"/>
        <v>-10</v>
      </c>
      <c r="I559" s="18">
        <f t="shared" ca="1" si="52"/>
        <v>-15</v>
      </c>
      <c r="J559" s="19">
        <f t="shared" ca="1" si="53"/>
        <v>35</v>
      </c>
      <c r="K559" s="17" t="s">
        <v>41</v>
      </c>
      <c r="L559" s="20">
        <v>88</v>
      </c>
      <c r="M559" s="26" t="s">
        <v>40</v>
      </c>
      <c r="N559">
        <v>120</v>
      </c>
    </row>
    <row r="560" spans="1:14">
      <c r="A560" s="24">
        <f t="shared" si="48"/>
        <v>115</v>
      </c>
      <c r="B560" s="66" t="s">
        <v>11</v>
      </c>
      <c r="C560" s="66" t="s">
        <v>806</v>
      </c>
      <c r="D560" s="66" t="s">
        <v>541</v>
      </c>
      <c r="E560" s="21">
        <f t="shared" ca="1" si="49"/>
        <v>40951</v>
      </c>
      <c r="F560" s="6">
        <f>DATE(2003,11,16)</f>
        <v>37941</v>
      </c>
      <c r="G560" s="7">
        <f t="shared" ca="1" si="50"/>
        <v>9</v>
      </c>
      <c r="H560" s="7">
        <f t="shared" ca="1" si="51"/>
        <v>-9</v>
      </c>
      <c r="I560" s="8">
        <f t="shared" ca="1" si="52"/>
        <v>-4</v>
      </c>
      <c r="J560" s="9">
        <f t="shared" ca="1" si="53"/>
        <v>8</v>
      </c>
      <c r="K560" s="7" t="s">
        <v>41</v>
      </c>
      <c r="L560" s="10">
        <v>88</v>
      </c>
      <c r="M560" s="24" t="s">
        <v>44</v>
      </c>
      <c r="N560">
        <v>121</v>
      </c>
    </row>
    <row r="561" spans="1:14">
      <c r="A561" s="25">
        <f t="shared" si="48"/>
        <v>116</v>
      </c>
      <c r="B561" s="67" t="s">
        <v>12</v>
      </c>
      <c r="C561" s="67" t="s">
        <v>155</v>
      </c>
      <c r="D561" s="67" t="s">
        <v>807</v>
      </c>
      <c r="E561" s="22">
        <f t="shared" ca="1" si="49"/>
        <v>40951</v>
      </c>
      <c r="F561" s="32"/>
      <c r="G561" s="12">
        <f t="shared" ca="1" si="50"/>
        <v>112</v>
      </c>
      <c r="H561" s="12">
        <f t="shared" ca="1" si="51"/>
        <v>1</v>
      </c>
      <c r="I561" s="13">
        <f t="shared" ca="1" si="52"/>
        <v>12</v>
      </c>
      <c r="J561" s="14">
        <f t="shared" ca="1" si="53"/>
        <v>112</v>
      </c>
      <c r="K561" s="12" t="s">
        <v>41</v>
      </c>
      <c r="L561" s="15">
        <v>89</v>
      </c>
      <c r="M561" s="25" t="s">
        <v>40</v>
      </c>
      <c r="N561">
        <v>121</v>
      </c>
    </row>
    <row r="562" spans="1:14" ht="15.75" thickBot="1">
      <c r="A562" s="26">
        <f t="shared" si="48"/>
        <v>117</v>
      </c>
      <c r="B562" s="67" t="s">
        <v>12</v>
      </c>
      <c r="C562" s="68" t="s">
        <v>722</v>
      </c>
      <c r="D562" s="68" t="s">
        <v>807</v>
      </c>
      <c r="E562" s="23">
        <f t="shared" ca="1" si="49"/>
        <v>40951</v>
      </c>
      <c r="F562" s="16">
        <f>DATE(96,3,28)</f>
        <v>35152</v>
      </c>
      <c r="G562" s="17">
        <f t="shared" ca="1" si="50"/>
        <v>16</v>
      </c>
      <c r="H562" s="17">
        <f t="shared" ca="1" si="51"/>
        <v>-1</v>
      </c>
      <c r="I562" s="18">
        <f t="shared" ca="1" si="52"/>
        <v>-16</v>
      </c>
      <c r="J562" s="19">
        <f t="shared" ca="1" si="53"/>
        <v>15</v>
      </c>
      <c r="K562" s="17" t="s">
        <v>41</v>
      </c>
      <c r="L562" s="20">
        <v>89</v>
      </c>
      <c r="M562" s="26" t="s">
        <v>44</v>
      </c>
      <c r="N562">
        <v>121</v>
      </c>
    </row>
    <row r="563" spans="1:14">
      <c r="A563" s="24">
        <f t="shared" si="48"/>
        <v>118</v>
      </c>
      <c r="B563" s="66" t="s">
        <v>12</v>
      </c>
      <c r="C563" s="66" t="s">
        <v>810</v>
      </c>
      <c r="D563" s="66" t="s">
        <v>809</v>
      </c>
      <c r="E563" s="21">
        <f t="shared" ca="1" si="49"/>
        <v>40951</v>
      </c>
      <c r="F563" s="6">
        <f>DATE(65,7,22)</f>
        <v>23945</v>
      </c>
      <c r="G563" s="7">
        <f t="shared" ca="1" si="50"/>
        <v>47</v>
      </c>
      <c r="H563" s="7">
        <f t="shared" ca="1" si="51"/>
        <v>-5</v>
      </c>
      <c r="I563" s="8">
        <f t="shared" ca="1" si="52"/>
        <v>-10</v>
      </c>
      <c r="J563" s="9">
        <f t="shared" ca="1" si="53"/>
        <v>46</v>
      </c>
      <c r="K563" s="7" t="s">
        <v>41</v>
      </c>
      <c r="L563" s="10">
        <v>89</v>
      </c>
      <c r="M563" s="24" t="s">
        <v>40</v>
      </c>
      <c r="N563">
        <v>122</v>
      </c>
    </row>
    <row r="564" spans="1:14">
      <c r="A564" s="25">
        <f t="shared" si="48"/>
        <v>119</v>
      </c>
      <c r="B564" s="67" t="s">
        <v>12</v>
      </c>
      <c r="C564" s="67" t="s">
        <v>813</v>
      </c>
      <c r="D564" s="67" t="s">
        <v>55</v>
      </c>
      <c r="E564" s="22">
        <f t="shared" ca="1" si="49"/>
        <v>40951</v>
      </c>
      <c r="F564" s="32"/>
      <c r="G564" s="12">
        <f t="shared" ca="1" si="50"/>
        <v>112</v>
      </c>
      <c r="H564" s="12">
        <f t="shared" ca="1" si="51"/>
        <v>1</v>
      </c>
      <c r="I564" s="13">
        <f t="shared" ca="1" si="52"/>
        <v>12</v>
      </c>
      <c r="J564" s="14">
        <f t="shared" ca="1" si="53"/>
        <v>112</v>
      </c>
      <c r="K564" s="12" t="s">
        <v>41</v>
      </c>
      <c r="L564" s="15">
        <v>89</v>
      </c>
      <c r="M564" s="25" t="s">
        <v>40</v>
      </c>
      <c r="N564">
        <v>122</v>
      </c>
    </row>
    <row r="565" spans="1:14" ht="15.75" thickBot="1">
      <c r="A565" s="26">
        <f t="shared" si="48"/>
        <v>120</v>
      </c>
      <c r="B565" s="67" t="s">
        <v>12</v>
      </c>
      <c r="C565" s="68" t="s">
        <v>565</v>
      </c>
      <c r="D565" s="68" t="s">
        <v>652</v>
      </c>
      <c r="E565" s="23">
        <f t="shared" ca="1" si="49"/>
        <v>40951</v>
      </c>
      <c r="F565" s="16">
        <f>DATE(80,11,19)</f>
        <v>29544</v>
      </c>
      <c r="G565" s="17">
        <f t="shared" ca="1" si="50"/>
        <v>32</v>
      </c>
      <c r="H565" s="17">
        <f t="shared" ca="1" si="51"/>
        <v>-9</v>
      </c>
      <c r="I565" s="18">
        <f t="shared" ca="1" si="52"/>
        <v>-7</v>
      </c>
      <c r="J565" s="19">
        <f t="shared" ca="1" si="53"/>
        <v>31</v>
      </c>
      <c r="K565" s="17" t="s">
        <v>41</v>
      </c>
      <c r="L565" s="20">
        <v>89</v>
      </c>
      <c r="M565" s="26" t="s">
        <v>40</v>
      </c>
      <c r="N565">
        <v>122</v>
      </c>
    </row>
    <row r="566" spans="1:14">
      <c r="A566" s="24">
        <f t="shared" si="48"/>
        <v>121</v>
      </c>
      <c r="B566" s="66" t="s">
        <v>12</v>
      </c>
      <c r="C566" s="66" t="s">
        <v>710</v>
      </c>
      <c r="D566" s="66" t="s">
        <v>652</v>
      </c>
      <c r="E566" s="21">
        <f t="shared" ca="1" si="49"/>
        <v>40951</v>
      </c>
      <c r="F566" s="6">
        <f>DATE(2004,6,15)</f>
        <v>38153</v>
      </c>
      <c r="G566" s="7">
        <f t="shared" ca="1" si="50"/>
        <v>8</v>
      </c>
      <c r="H566" s="7">
        <f t="shared" ca="1" si="51"/>
        <v>-4</v>
      </c>
      <c r="I566" s="8">
        <f t="shared" ca="1" si="52"/>
        <v>-3</v>
      </c>
      <c r="J566" s="9">
        <f t="shared" ca="1" si="53"/>
        <v>7</v>
      </c>
      <c r="K566" s="7" t="s">
        <v>41</v>
      </c>
      <c r="L566" s="10">
        <v>89</v>
      </c>
      <c r="M566" s="24" t="s">
        <v>44</v>
      </c>
      <c r="N566">
        <v>123</v>
      </c>
    </row>
    <row r="567" spans="1:14">
      <c r="A567" s="25">
        <f t="shared" si="48"/>
        <v>122</v>
      </c>
      <c r="B567" s="67" t="s">
        <v>12</v>
      </c>
      <c r="C567" s="67" t="s">
        <v>115</v>
      </c>
      <c r="D567" s="67" t="s">
        <v>817</v>
      </c>
      <c r="E567" s="22">
        <f t="shared" ca="1" si="49"/>
        <v>40951</v>
      </c>
      <c r="F567" s="11">
        <f>DATE(58,9,9)</f>
        <v>21437</v>
      </c>
      <c r="G567" s="12">
        <f t="shared" ca="1" si="50"/>
        <v>54</v>
      </c>
      <c r="H567" s="12">
        <f t="shared" ca="1" si="51"/>
        <v>-7</v>
      </c>
      <c r="I567" s="13">
        <f t="shared" ca="1" si="52"/>
        <v>3</v>
      </c>
      <c r="J567" s="14">
        <f t="shared" ca="1" si="53"/>
        <v>53</v>
      </c>
      <c r="K567" s="12" t="s">
        <v>41</v>
      </c>
      <c r="L567" s="15">
        <v>90</v>
      </c>
      <c r="M567" s="25" t="s">
        <v>40</v>
      </c>
      <c r="N567">
        <v>123</v>
      </c>
    </row>
    <row r="568" spans="1:14">
      <c r="A568" s="25">
        <f t="shared" si="48"/>
        <v>123</v>
      </c>
      <c r="B568" s="67" t="s">
        <v>12</v>
      </c>
      <c r="C568" s="67" t="s">
        <v>818</v>
      </c>
      <c r="D568" s="67" t="s">
        <v>817</v>
      </c>
      <c r="E568" s="22">
        <f t="shared" ca="1" si="49"/>
        <v>40951</v>
      </c>
      <c r="F568" s="11">
        <f>DATE(84,5,8)</f>
        <v>30810</v>
      </c>
      <c r="G568" s="12">
        <f t="shared" ca="1" si="50"/>
        <v>28</v>
      </c>
      <c r="H568" s="12">
        <f t="shared" ca="1" si="51"/>
        <v>-3</v>
      </c>
      <c r="I568" s="13">
        <f t="shared" ca="1" si="52"/>
        <v>4</v>
      </c>
      <c r="J568" s="14">
        <f t="shared" ca="1" si="53"/>
        <v>27</v>
      </c>
      <c r="K568" s="12" t="s">
        <v>41</v>
      </c>
      <c r="L568" s="15">
        <v>90</v>
      </c>
      <c r="M568" s="25" t="s">
        <v>44</v>
      </c>
      <c r="N568">
        <v>123</v>
      </c>
    </row>
    <row r="569" spans="1:14" ht="15.75" thickBot="1">
      <c r="A569" s="26">
        <f t="shared" si="48"/>
        <v>124</v>
      </c>
      <c r="B569" s="67" t="s">
        <v>12</v>
      </c>
      <c r="C569" s="68" t="s">
        <v>615</v>
      </c>
      <c r="D569" s="68" t="s">
        <v>249</v>
      </c>
      <c r="E569" s="23">
        <f t="shared" ca="1" si="49"/>
        <v>40951</v>
      </c>
      <c r="F569" s="16">
        <f>DATE(54,11,6)</f>
        <v>20034</v>
      </c>
      <c r="G569" s="17">
        <f t="shared" ca="1" si="50"/>
        <v>58</v>
      </c>
      <c r="H569" s="17">
        <f t="shared" ca="1" si="51"/>
        <v>-9</v>
      </c>
      <c r="I569" s="18">
        <f t="shared" ca="1" si="52"/>
        <v>6</v>
      </c>
      <c r="J569" s="19">
        <f t="shared" ca="1" si="53"/>
        <v>57</v>
      </c>
      <c r="K569" s="17" t="s">
        <v>41</v>
      </c>
      <c r="L569" s="20">
        <v>90</v>
      </c>
      <c r="M569" s="26" t="s">
        <v>40</v>
      </c>
      <c r="N569">
        <v>123</v>
      </c>
    </row>
    <row r="570" spans="1:14">
      <c r="A570" s="24">
        <f t="shared" si="48"/>
        <v>125</v>
      </c>
      <c r="B570" s="66" t="s">
        <v>13</v>
      </c>
      <c r="C570" s="66" t="s">
        <v>150</v>
      </c>
      <c r="D570" s="66" t="s">
        <v>521</v>
      </c>
      <c r="E570" s="21">
        <f t="shared" ca="1" si="49"/>
        <v>40951</v>
      </c>
      <c r="F570" s="6">
        <f>DATE(70,10,29)</f>
        <v>25870</v>
      </c>
      <c r="G570" s="7">
        <f t="shared" ca="1" si="50"/>
        <v>42</v>
      </c>
      <c r="H570" s="7">
        <f t="shared" ca="1" si="51"/>
        <v>-8</v>
      </c>
      <c r="I570" s="8">
        <f t="shared" ca="1" si="52"/>
        <v>-17</v>
      </c>
      <c r="J570" s="9">
        <f t="shared" ca="1" si="53"/>
        <v>41</v>
      </c>
      <c r="K570" s="7" t="s">
        <v>41</v>
      </c>
      <c r="L570" s="10">
        <v>91</v>
      </c>
      <c r="M570" s="24" t="s">
        <v>40</v>
      </c>
      <c r="N570">
        <v>124</v>
      </c>
    </row>
    <row r="571" spans="1:14">
      <c r="A571" s="25">
        <f t="shared" si="48"/>
        <v>126</v>
      </c>
      <c r="B571" s="67" t="s">
        <v>13</v>
      </c>
      <c r="C571" s="67" t="s">
        <v>823</v>
      </c>
      <c r="D571" s="67" t="s">
        <v>521</v>
      </c>
      <c r="E571" s="22">
        <f t="shared" ca="1" si="49"/>
        <v>40951</v>
      </c>
      <c r="F571" s="11">
        <f>DATE(48,8,31)</f>
        <v>17776</v>
      </c>
      <c r="G571" s="12">
        <f t="shared" ca="1" si="50"/>
        <v>64</v>
      </c>
      <c r="H571" s="12">
        <f t="shared" ca="1" si="51"/>
        <v>-6</v>
      </c>
      <c r="I571" s="13">
        <f t="shared" ca="1" si="52"/>
        <v>-19</v>
      </c>
      <c r="J571" s="14">
        <f t="shared" ca="1" si="53"/>
        <v>63</v>
      </c>
      <c r="K571" s="12" t="s">
        <v>41</v>
      </c>
      <c r="L571" s="15">
        <v>91</v>
      </c>
      <c r="M571" s="25" t="s">
        <v>40</v>
      </c>
      <c r="N571">
        <v>124</v>
      </c>
    </row>
    <row r="572" spans="1:14">
      <c r="A572" s="25">
        <f t="shared" si="48"/>
        <v>127</v>
      </c>
      <c r="B572" s="67" t="s">
        <v>13</v>
      </c>
      <c r="C572" s="67" t="s">
        <v>361</v>
      </c>
      <c r="D572" s="67" t="s">
        <v>824</v>
      </c>
      <c r="E572" s="22">
        <f t="shared" ca="1" si="49"/>
        <v>40951</v>
      </c>
      <c r="F572" s="11">
        <f>DATE(78,1,24)</f>
        <v>28514</v>
      </c>
      <c r="G572" s="12">
        <f t="shared" ca="1" si="50"/>
        <v>34</v>
      </c>
      <c r="H572" s="12">
        <f t="shared" ca="1" si="51"/>
        <v>1</v>
      </c>
      <c r="I572" s="13">
        <f t="shared" ca="1" si="52"/>
        <v>-12</v>
      </c>
      <c r="J572" s="14">
        <f t="shared" ca="1" si="53"/>
        <v>34</v>
      </c>
      <c r="K572" s="12" t="s">
        <v>41</v>
      </c>
      <c r="L572" s="15">
        <v>91</v>
      </c>
      <c r="M572" s="25" t="s">
        <v>40</v>
      </c>
      <c r="N572">
        <v>124</v>
      </c>
    </row>
    <row r="573" spans="1:14" ht="15.75" thickBot="1">
      <c r="A573" s="26">
        <f t="shared" si="48"/>
        <v>128</v>
      </c>
      <c r="B573" s="67" t="s">
        <v>13</v>
      </c>
      <c r="C573" s="68" t="s">
        <v>668</v>
      </c>
      <c r="D573" s="68" t="s">
        <v>824</v>
      </c>
      <c r="E573" s="23">
        <f t="shared" ca="1" si="49"/>
        <v>40951</v>
      </c>
      <c r="F573" s="16">
        <f>DATE(2000,7,13)</f>
        <v>36720</v>
      </c>
      <c r="G573" s="17">
        <f t="shared" ca="1" si="50"/>
        <v>12</v>
      </c>
      <c r="H573" s="17">
        <f t="shared" ca="1" si="51"/>
        <v>-5</v>
      </c>
      <c r="I573" s="18">
        <f t="shared" ca="1" si="52"/>
        <v>-1</v>
      </c>
      <c r="J573" s="19">
        <f t="shared" ca="1" si="53"/>
        <v>11</v>
      </c>
      <c r="K573" s="17" t="s">
        <v>41</v>
      </c>
      <c r="L573" s="20">
        <v>91</v>
      </c>
      <c r="M573" s="26" t="s">
        <v>44</v>
      </c>
      <c r="N573">
        <v>124</v>
      </c>
    </row>
    <row r="574" spans="1:14">
      <c r="A574" s="24">
        <f t="shared" ref="A574:A637" si="54">A573+1</f>
        <v>129</v>
      </c>
      <c r="B574" s="66" t="s">
        <v>13</v>
      </c>
      <c r="C574" s="66" t="s">
        <v>542</v>
      </c>
      <c r="D574" s="66" t="s">
        <v>824</v>
      </c>
      <c r="E574" s="21">
        <f t="shared" ca="1" si="49"/>
        <v>40951</v>
      </c>
      <c r="F574" s="6">
        <f>DATE(2003,5,4)</f>
        <v>37745</v>
      </c>
      <c r="G574" s="7">
        <f t="shared" ca="1" si="50"/>
        <v>9</v>
      </c>
      <c r="H574" s="7">
        <f t="shared" ca="1" si="51"/>
        <v>-3</v>
      </c>
      <c r="I574" s="8">
        <f t="shared" ca="1" si="52"/>
        <v>8</v>
      </c>
      <c r="J574" s="9">
        <f t="shared" ca="1" si="53"/>
        <v>8</v>
      </c>
      <c r="K574" s="7" t="s">
        <v>41</v>
      </c>
      <c r="L574" s="10">
        <v>91</v>
      </c>
      <c r="M574" s="24" t="s">
        <v>44</v>
      </c>
      <c r="N574">
        <v>125</v>
      </c>
    </row>
    <row r="575" spans="1:14">
      <c r="A575" s="25">
        <f t="shared" si="54"/>
        <v>130</v>
      </c>
      <c r="B575" s="67" t="s">
        <v>13</v>
      </c>
      <c r="C575" s="67" t="s">
        <v>826</v>
      </c>
      <c r="D575" s="67" t="s">
        <v>825</v>
      </c>
      <c r="E575" s="22">
        <f t="shared" ca="1" si="49"/>
        <v>40951</v>
      </c>
      <c r="F575" s="11">
        <f>DATE(76,11,2)</f>
        <v>28066</v>
      </c>
      <c r="G575" s="12">
        <f t="shared" ca="1" si="50"/>
        <v>36</v>
      </c>
      <c r="H575" s="12">
        <f t="shared" ca="1" si="51"/>
        <v>-9</v>
      </c>
      <c r="I575" s="13">
        <f t="shared" ca="1" si="52"/>
        <v>10</v>
      </c>
      <c r="J575" s="14">
        <f t="shared" ca="1" si="53"/>
        <v>35</v>
      </c>
      <c r="K575" s="12" t="s">
        <v>41</v>
      </c>
      <c r="L575" s="15">
        <v>91</v>
      </c>
      <c r="M575" s="25" t="s">
        <v>40</v>
      </c>
      <c r="N575">
        <v>125</v>
      </c>
    </row>
    <row r="576" spans="1:14">
      <c r="A576" s="25">
        <f t="shared" si="54"/>
        <v>131</v>
      </c>
      <c r="B576" s="67" t="s">
        <v>13</v>
      </c>
      <c r="C576" s="67" t="s">
        <v>350</v>
      </c>
      <c r="D576" s="67" t="s">
        <v>827</v>
      </c>
      <c r="E576" s="22">
        <f t="shared" ca="1" si="49"/>
        <v>40951</v>
      </c>
      <c r="F576" s="11">
        <f>DATE(80,12,4)</f>
        <v>29559</v>
      </c>
      <c r="G576" s="12">
        <f t="shared" ca="1" si="50"/>
        <v>32</v>
      </c>
      <c r="H576" s="12">
        <f t="shared" ca="1" si="51"/>
        <v>-10</v>
      </c>
      <c r="I576" s="13">
        <f t="shared" ca="1" si="52"/>
        <v>8</v>
      </c>
      <c r="J576" s="14">
        <f t="shared" ca="1" si="53"/>
        <v>31</v>
      </c>
      <c r="K576" s="12" t="s">
        <v>41</v>
      </c>
      <c r="L576" s="15">
        <v>91</v>
      </c>
      <c r="M576" s="25" t="s">
        <v>40</v>
      </c>
      <c r="N576">
        <v>125</v>
      </c>
    </row>
    <row r="577" spans="1:14">
      <c r="A577" s="25">
        <f t="shared" si="54"/>
        <v>132</v>
      </c>
      <c r="B577" s="67" t="s">
        <v>13</v>
      </c>
      <c r="C577" s="67" t="s">
        <v>828</v>
      </c>
      <c r="D577" s="67" t="s">
        <v>827</v>
      </c>
      <c r="E577" s="22">
        <f t="shared" ref="E577:E640" ca="1" si="55">TODAY()</f>
        <v>40951</v>
      </c>
      <c r="F577" s="11">
        <f>DATE(2006,9,26)</f>
        <v>38986</v>
      </c>
      <c r="G577" s="12">
        <f t="shared" ref="G577:G640" ca="1" si="56">YEAR(E577)-YEAR(F577)</f>
        <v>6</v>
      </c>
      <c r="H577" s="12">
        <f t="shared" ref="H577:H640" ca="1" si="57">MONTH(E577)-MONTH(F577)</f>
        <v>-7</v>
      </c>
      <c r="I577" s="13">
        <f t="shared" ref="I577:I640" ca="1" si="58">DAY(E577)-DAY(F577)</f>
        <v>-14</v>
      </c>
      <c r="J577" s="14">
        <f t="shared" ref="J577:J640" ca="1" si="59">IF(H577&lt;0,G577-1,IF(H577&gt;0,G577,IF(I577&lt;0,G577-1,G577)))</f>
        <v>5</v>
      </c>
      <c r="K577" s="12" t="s">
        <v>41</v>
      </c>
      <c r="L577" s="15">
        <v>91</v>
      </c>
      <c r="M577" s="25" t="s">
        <v>44</v>
      </c>
      <c r="N577">
        <v>125</v>
      </c>
    </row>
    <row r="578" spans="1:14">
      <c r="A578" s="25">
        <f t="shared" si="54"/>
        <v>133</v>
      </c>
      <c r="B578" s="67" t="s">
        <v>13</v>
      </c>
      <c r="C578" s="67" t="s">
        <v>831</v>
      </c>
      <c r="D578" s="67" t="s">
        <v>832</v>
      </c>
      <c r="E578" s="22">
        <f t="shared" ca="1" si="55"/>
        <v>40951</v>
      </c>
      <c r="F578" s="32"/>
      <c r="G578" s="12">
        <f t="shared" ca="1" si="56"/>
        <v>112</v>
      </c>
      <c r="H578" s="12">
        <f t="shared" ca="1" si="57"/>
        <v>1</v>
      </c>
      <c r="I578" s="13">
        <f t="shared" ca="1" si="58"/>
        <v>12</v>
      </c>
      <c r="J578" s="14">
        <f t="shared" ca="1" si="59"/>
        <v>112</v>
      </c>
      <c r="K578" s="12" t="s">
        <v>41</v>
      </c>
      <c r="L578" s="15">
        <v>92</v>
      </c>
      <c r="M578" s="25" t="s">
        <v>40</v>
      </c>
      <c r="N578">
        <v>125</v>
      </c>
    </row>
    <row r="579" spans="1:14" ht="15.75" thickBot="1">
      <c r="A579" s="26">
        <f t="shared" si="54"/>
        <v>134</v>
      </c>
      <c r="B579" s="67" t="s">
        <v>13</v>
      </c>
      <c r="C579" s="68" t="s">
        <v>400</v>
      </c>
      <c r="D579" s="68" t="s">
        <v>833</v>
      </c>
      <c r="E579" s="23">
        <f t="shared" ca="1" si="55"/>
        <v>40951</v>
      </c>
      <c r="F579" s="16">
        <f>DATE(62,11,22)</f>
        <v>22972</v>
      </c>
      <c r="G579" s="17">
        <f t="shared" ca="1" si="56"/>
        <v>50</v>
      </c>
      <c r="H579" s="17">
        <f t="shared" ca="1" si="57"/>
        <v>-9</v>
      </c>
      <c r="I579" s="18">
        <f t="shared" ca="1" si="58"/>
        <v>-10</v>
      </c>
      <c r="J579" s="19">
        <f t="shared" ca="1" si="59"/>
        <v>49</v>
      </c>
      <c r="K579" s="17" t="s">
        <v>41</v>
      </c>
      <c r="L579" s="20">
        <v>92</v>
      </c>
      <c r="M579" s="26" t="s">
        <v>40</v>
      </c>
      <c r="N579">
        <v>125</v>
      </c>
    </row>
    <row r="580" spans="1:14">
      <c r="A580" s="24">
        <f t="shared" si="54"/>
        <v>135</v>
      </c>
      <c r="B580" s="66" t="s">
        <v>13</v>
      </c>
      <c r="C580" s="66" t="s">
        <v>422</v>
      </c>
      <c r="D580" s="66" t="s">
        <v>833</v>
      </c>
      <c r="E580" s="21">
        <f t="shared" ca="1" si="55"/>
        <v>40951</v>
      </c>
      <c r="F580" s="6">
        <f>DATE(85,9,19)</f>
        <v>31309</v>
      </c>
      <c r="G580" s="7">
        <f t="shared" ca="1" si="56"/>
        <v>27</v>
      </c>
      <c r="H580" s="7">
        <f t="shared" ca="1" si="57"/>
        <v>-7</v>
      </c>
      <c r="I580" s="8">
        <f t="shared" ca="1" si="58"/>
        <v>-7</v>
      </c>
      <c r="J580" s="9">
        <f t="shared" ca="1" si="59"/>
        <v>26</v>
      </c>
      <c r="K580" s="7" t="s">
        <v>41</v>
      </c>
      <c r="L580" s="10">
        <v>92</v>
      </c>
      <c r="M580" s="24" t="s">
        <v>44</v>
      </c>
      <c r="N580">
        <v>126</v>
      </c>
    </row>
    <row r="581" spans="1:14">
      <c r="A581" s="25">
        <f t="shared" si="54"/>
        <v>136</v>
      </c>
      <c r="B581" s="67" t="s">
        <v>13</v>
      </c>
      <c r="C581" s="67" t="s">
        <v>105</v>
      </c>
      <c r="D581" s="67" t="s">
        <v>835</v>
      </c>
      <c r="E581" s="22">
        <f t="shared" ca="1" si="55"/>
        <v>40951</v>
      </c>
      <c r="F581" s="32"/>
      <c r="G581" s="12">
        <f t="shared" ca="1" si="56"/>
        <v>112</v>
      </c>
      <c r="H581" s="12">
        <f t="shared" ca="1" si="57"/>
        <v>1</v>
      </c>
      <c r="I581" s="13">
        <f t="shared" ca="1" si="58"/>
        <v>12</v>
      </c>
      <c r="J581" s="14">
        <f t="shared" ca="1" si="59"/>
        <v>112</v>
      </c>
      <c r="K581" s="12" t="s">
        <v>41</v>
      </c>
      <c r="L581" s="15">
        <v>92</v>
      </c>
      <c r="M581" s="25" t="s">
        <v>40</v>
      </c>
      <c r="N581">
        <v>126</v>
      </c>
    </row>
    <row r="582" spans="1:14">
      <c r="A582" s="25">
        <f t="shared" si="54"/>
        <v>137</v>
      </c>
      <c r="B582" s="67" t="s">
        <v>13</v>
      </c>
      <c r="C582" s="67" t="s">
        <v>801</v>
      </c>
      <c r="D582" s="67" t="s">
        <v>835</v>
      </c>
      <c r="E582" s="22">
        <f t="shared" ca="1" si="55"/>
        <v>40951</v>
      </c>
      <c r="F582" s="32"/>
      <c r="G582" s="12">
        <f t="shared" ca="1" si="56"/>
        <v>112</v>
      </c>
      <c r="H582" s="12">
        <f t="shared" ca="1" si="57"/>
        <v>1</v>
      </c>
      <c r="I582" s="13">
        <f t="shared" ca="1" si="58"/>
        <v>12</v>
      </c>
      <c r="J582" s="14">
        <f t="shared" ca="1" si="59"/>
        <v>112</v>
      </c>
      <c r="K582" s="12" t="s">
        <v>41</v>
      </c>
      <c r="L582" s="15">
        <v>92</v>
      </c>
      <c r="M582" s="25" t="s">
        <v>44</v>
      </c>
      <c r="N582">
        <v>126</v>
      </c>
    </row>
    <row r="583" spans="1:14">
      <c r="A583" s="25">
        <f t="shared" si="54"/>
        <v>138</v>
      </c>
      <c r="B583" s="67" t="s">
        <v>13</v>
      </c>
      <c r="C583" s="67" t="s">
        <v>836</v>
      </c>
      <c r="D583" s="67" t="s">
        <v>333</v>
      </c>
      <c r="E583" s="22">
        <f t="shared" ca="1" si="55"/>
        <v>40951</v>
      </c>
      <c r="F583" s="11">
        <f>DATE(57,4,2)</f>
        <v>20912</v>
      </c>
      <c r="G583" s="12">
        <f t="shared" ca="1" si="56"/>
        <v>55</v>
      </c>
      <c r="H583" s="12">
        <f t="shared" ca="1" si="57"/>
        <v>-2</v>
      </c>
      <c r="I583" s="13">
        <f t="shared" ca="1" si="58"/>
        <v>10</v>
      </c>
      <c r="J583" s="14">
        <f t="shared" ca="1" si="59"/>
        <v>54</v>
      </c>
      <c r="K583" s="12" t="s">
        <v>41</v>
      </c>
      <c r="L583" s="15">
        <v>92</v>
      </c>
      <c r="M583" s="25" t="s">
        <v>40</v>
      </c>
      <c r="N583">
        <v>126</v>
      </c>
    </row>
    <row r="584" spans="1:14" ht="15.75" thickBot="1">
      <c r="A584" s="25">
        <f t="shared" si="54"/>
        <v>139</v>
      </c>
      <c r="B584" s="67" t="s">
        <v>13</v>
      </c>
      <c r="C584" s="67" t="s">
        <v>647</v>
      </c>
      <c r="D584" s="67" t="s">
        <v>837</v>
      </c>
      <c r="E584" s="22">
        <f t="shared" ca="1" si="55"/>
        <v>40951</v>
      </c>
      <c r="F584" s="32"/>
      <c r="G584" s="12">
        <f t="shared" ca="1" si="56"/>
        <v>112</v>
      </c>
      <c r="H584" s="12">
        <f t="shared" ca="1" si="57"/>
        <v>1</v>
      </c>
      <c r="I584" s="13">
        <f t="shared" ca="1" si="58"/>
        <v>12</v>
      </c>
      <c r="J584" s="14">
        <f t="shared" ca="1" si="59"/>
        <v>112</v>
      </c>
      <c r="K584" s="12" t="s">
        <v>41</v>
      </c>
      <c r="L584" s="15">
        <v>93</v>
      </c>
      <c r="M584" s="25" t="s">
        <v>40</v>
      </c>
      <c r="N584">
        <v>126</v>
      </c>
    </row>
    <row r="585" spans="1:14">
      <c r="A585" s="24">
        <f t="shared" si="54"/>
        <v>140</v>
      </c>
      <c r="B585" s="67" t="s">
        <v>13</v>
      </c>
      <c r="C585" s="66" t="s">
        <v>73</v>
      </c>
      <c r="D585" s="66" t="s">
        <v>838</v>
      </c>
      <c r="E585" s="21">
        <f t="shared" ca="1" si="55"/>
        <v>40951</v>
      </c>
      <c r="F585" s="6">
        <f>DATE(69,3,19)</f>
        <v>25281</v>
      </c>
      <c r="G585" s="7">
        <f t="shared" ca="1" si="56"/>
        <v>43</v>
      </c>
      <c r="H585" s="7">
        <f t="shared" ca="1" si="57"/>
        <v>-1</v>
      </c>
      <c r="I585" s="8">
        <f t="shared" ca="1" si="58"/>
        <v>-7</v>
      </c>
      <c r="J585" s="9">
        <f t="shared" ca="1" si="59"/>
        <v>42</v>
      </c>
      <c r="K585" s="7" t="s">
        <v>41</v>
      </c>
      <c r="L585" s="10">
        <v>93</v>
      </c>
      <c r="M585" s="24" t="s">
        <v>40</v>
      </c>
      <c r="N585">
        <v>127</v>
      </c>
    </row>
    <row r="586" spans="1:14">
      <c r="A586" s="25">
        <f t="shared" si="54"/>
        <v>141</v>
      </c>
      <c r="B586" s="67" t="s">
        <v>13</v>
      </c>
      <c r="C586" s="67" t="s">
        <v>344</v>
      </c>
      <c r="D586" s="67" t="s">
        <v>838</v>
      </c>
      <c r="E586" s="22">
        <f t="shared" ca="1" si="55"/>
        <v>40951</v>
      </c>
      <c r="F586" s="11">
        <f>DATE(91,4,12)</f>
        <v>33340</v>
      </c>
      <c r="G586" s="12">
        <f t="shared" ca="1" si="56"/>
        <v>21</v>
      </c>
      <c r="H586" s="12">
        <f t="shared" ca="1" si="57"/>
        <v>-2</v>
      </c>
      <c r="I586" s="13">
        <f t="shared" ca="1" si="58"/>
        <v>0</v>
      </c>
      <c r="J586" s="14">
        <f t="shared" ca="1" si="59"/>
        <v>20</v>
      </c>
      <c r="K586" s="12" t="s">
        <v>41</v>
      </c>
      <c r="L586" s="15">
        <v>93</v>
      </c>
      <c r="M586" s="25" t="s">
        <v>44</v>
      </c>
      <c r="N586">
        <v>127</v>
      </c>
    </row>
    <row r="587" spans="1:14">
      <c r="A587" s="25">
        <f t="shared" si="54"/>
        <v>142</v>
      </c>
      <c r="B587" s="67" t="s">
        <v>13</v>
      </c>
      <c r="C587" s="67" t="s">
        <v>841</v>
      </c>
      <c r="D587" s="67" t="s">
        <v>840</v>
      </c>
      <c r="E587" s="22">
        <f t="shared" ca="1" si="55"/>
        <v>40951</v>
      </c>
      <c r="F587" s="32"/>
      <c r="G587" s="12">
        <f t="shared" ca="1" si="56"/>
        <v>112</v>
      </c>
      <c r="H587" s="12">
        <f t="shared" ca="1" si="57"/>
        <v>1</v>
      </c>
      <c r="I587" s="13">
        <f t="shared" ca="1" si="58"/>
        <v>12</v>
      </c>
      <c r="J587" s="14">
        <f t="shared" ca="1" si="59"/>
        <v>112</v>
      </c>
      <c r="K587" s="12" t="s">
        <v>41</v>
      </c>
      <c r="L587" s="15">
        <v>93</v>
      </c>
      <c r="M587" s="25" t="s">
        <v>40</v>
      </c>
      <c r="N587">
        <v>127</v>
      </c>
    </row>
    <row r="588" spans="1:14">
      <c r="A588" s="25">
        <f t="shared" si="54"/>
        <v>143</v>
      </c>
      <c r="B588" s="67" t="s">
        <v>13</v>
      </c>
      <c r="C588" s="67" t="s">
        <v>430</v>
      </c>
      <c r="D588" s="67" t="s">
        <v>840</v>
      </c>
      <c r="E588" s="22">
        <f t="shared" ca="1" si="55"/>
        <v>40951</v>
      </c>
      <c r="F588" s="11">
        <f>DATE(91,12,20)</f>
        <v>33592</v>
      </c>
      <c r="G588" s="12">
        <f t="shared" ca="1" si="56"/>
        <v>21</v>
      </c>
      <c r="H588" s="12">
        <f t="shared" ca="1" si="57"/>
        <v>-10</v>
      </c>
      <c r="I588" s="13">
        <f t="shared" ca="1" si="58"/>
        <v>-8</v>
      </c>
      <c r="J588" s="14">
        <f t="shared" ca="1" si="59"/>
        <v>20</v>
      </c>
      <c r="K588" s="12" t="s">
        <v>41</v>
      </c>
      <c r="L588" s="15">
        <v>93</v>
      </c>
      <c r="M588" s="25" t="s">
        <v>44</v>
      </c>
      <c r="N588">
        <v>127</v>
      </c>
    </row>
    <row r="589" spans="1:14">
      <c r="A589" s="25">
        <f t="shared" si="54"/>
        <v>144</v>
      </c>
      <c r="B589" s="67" t="s">
        <v>13</v>
      </c>
      <c r="C589" s="67" t="s">
        <v>842</v>
      </c>
      <c r="D589" s="67" t="s">
        <v>573</v>
      </c>
      <c r="E589" s="22">
        <f t="shared" ca="1" si="55"/>
        <v>40951</v>
      </c>
      <c r="F589" s="32"/>
      <c r="G589" s="12">
        <f t="shared" ca="1" si="56"/>
        <v>112</v>
      </c>
      <c r="H589" s="12">
        <f t="shared" ca="1" si="57"/>
        <v>1</v>
      </c>
      <c r="I589" s="13">
        <f t="shared" ca="1" si="58"/>
        <v>12</v>
      </c>
      <c r="J589" s="14">
        <f t="shared" ca="1" si="59"/>
        <v>112</v>
      </c>
      <c r="K589" s="12" t="s">
        <v>41</v>
      </c>
      <c r="L589" s="15">
        <v>93</v>
      </c>
      <c r="M589" s="25" t="s">
        <v>40</v>
      </c>
      <c r="N589">
        <v>127</v>
      </c>
    </row>
    <row r="590" spans="1:14">
      <c r="A590" s="25">
        <f t="shared" si="54"/>
        <v>145</v>
      </c>
      <c r="B590" s="67" t="s">
        <v>13</v>
      </c>
      <c r="C590" s="67" t="s">
        <v>843</v>
      </c>
      <c r="D590" s="67" t="s">
        <v>573</v>
      </c>
      <c r="E590" s="22">
        <f t="shared" ca="1" si="55"/>
        <v>40951</v>
      </c>
      <c r="F590" s="32"/>
      <c r="G590" s="12">
        <f t="shared" ca="1" si="56"/>
        <v>112</v>
      </c>
      <c r="H590" s="12">
        <f t="shared" ca="1" si="57"/>
        <v>1</v>
      </c>
      <c r="I590" s="13">
        <f t="shared" ca="1" si="58"/>
        <v>12</v>
      </c>
      <c r="J590" s="14">
        <f t="shared" ca="1" si="59"/>
        <v>112</v>
      </c>
      <c r="K590" s="12" t="s">
        <v>41</v>
      </c>
      <c r="L590" s="15">
        <v>93</v>
      </c>
      <c r="M590" s="25" t="s">
        <v>40</v>
      </c>
      <c r="N590">
        <v>127</v>
      </c>
    </row>
    <row r="591" spans="1:14" ht="15.75" thickBot="1">
      <c r="A591" s="26">
        <f t="shared" si="54"/>
        <v>146</v>
      </c>
      <c r="B591" s="67" t="s">
        <v>13</v>
      </c>
      <c r="C591" s="68" t="s">
        <v>732</v>
      </c>
      <c r="D591" s="68" t="s">
        <v>844</v>
      </c>
      <c r="E591" s="23">
        <f t="shared" ca="1" si="55"/>
        <v>40951</v>
      </c>
      <c r="F591" s="16">
        <f>DATE(52,99,9)</f>
        <v>21984</v>
      </c>
      <c r="G591" s="17">
        <f t="shared" ca="1" si="56"/>
        <v>52</v>
      </c>
      <c r="H591" s="17">
        <f t="shared" ca="1" si="57"/>
        <v>-1</v>
      </c>
      <c r="I591" s="18">
        <f t="shared" ca="1" si="58"/>
        <v>3</v>
      </c>
      <c r="J591" s="19">
        <f t="shared" ca="1" si="59"/>
        <v>51</v>
      </c>
      <c r="K591" s="17" t="s">
        <v>41</v>
      </c>
      <c r="L591" s="20">
        <v>94</v>
      </c>
      <c r="M591" s="26" t="s">
        <v>40</v>
      </c>
      <c r="N591">
        <v>127</v>
      </c>
    </row>
    <row r="592" spans="1:14">
      <c r="A592" s="24">
        <f t="shared" si="54"/>
        <v>147</v>
      </c>
      <c r="B592" s="66" t="s">
        <v>13</v>
      </c>
      <c r="C592" s="66" t="s">
        <v>122</v>
      </c>
      <c r="D592" s="66" t="s">
        <v>844</v>
      </c>
      <c r="E592" s="21">
        <f t="shared" ca="1" si="55"/>
        <v>40951</v>
      </c>
      <c r="F592" s="6">
        <f>DATE(78,11,18)</f>
        <v>28812</v>
      </c>
      <c r="G592" s="7">
        <f t="shared" ca="1" si="56"/>
        <v>34</v>
      </c>
      <c r="H592" s="7">
        <f t="shared" ca="1" si="57"/>
        <v>-9</v>
      </c>
      <c r="I592" s="8">
        <f t="shared" ca="1" si="58"/>
        <v>-6</v>
      </c>
      <c r="J592" s="9">
        <f t="shared" ca="1" si="59"/>
        <v>33</v>
      </c>
      <c r="K592" s="7" t="s">
        <v>41</v>
      </c>
      <c r="L592" s="10">
        <v>94</v>
      </c>
      <c r="M592" s="24" t="s">
        <v>40</v>
      </c>
      <c r="N592">
        <v>128</v>
      </c>
    </row>
    <row r="593" spans="1:14">
      <c r="A593" s="25">
        <f t="shared" si="54"/>
        <v>148</v>
      </c>
      <c r="B593" s="67" t="s">
        <v>13</v>
      </c>
      <c r="C593" s="67" t="s">
        <v>847</v>
      </c>
      <c r="D593" s="67" t="s">
        <v>844</v>
      </c>
      <c r="E593" s="22">
        <f t="shared" ca="1" si="55"/>
        <v>40951</v>
      </c>
      <c r="F593" s="11">
        <f>DATE(2004,9,25)</f>
        <v>38255</v>
      </c>
      <c r="G593" s="12">
        <f t="shared" ca="1" si="56"/>
        <v>8</v>
      </c>
      <c r="H593" s="12">
        <f t="shared" ca="1" si="57"/>
        <v>-7</v>
      </c>
      <c r="I593" s="13">
        <f t="shared" ca="1" si="58"/>
        <v>-13</v>
      </c>
      <c r="J593" s="14">
        <f t="shared" ca="1" si="59"/>
        <v>7</v>
      </c>
      <c r="K593" s="12" t="s">
        <v>41</v>
      </c>
      <c r="L593" s="15">
        <v>94</v>
      </c>
      <c r="M593" s="25" t="s">
        <v>44</v>
      </c>
      <c r="N593">
        <v>128</v>
      </c>
    </row>
    <row r="594" spans="1:14">
      <c r="A594" s="25">
        <f t="shared" si="54"/>
        <v>149</v>
      </c>
      <c r="B594" s="67" t="s">
        <v>13</v>
      </c>
      <c r="C594" s="67" t="s">
        <v>848</v>
      </c>
      <c r="D594" s="67" t="s">
        <v>96</v>
      </c>
      <c r="E594" s="22">
        <f t="shared" ca="1" si="55"/>
        <v>40951</v>
      </c>
      <c r="F594" s="11">
        <f>DATE(76,11,2)</f>
        <v>28066</v>
      </c>
      <c r="G594" s="12">
        <f t="shared" ca="1" si="56"/>
        <v>36</v>
      </c>
      <c r="H594" s="12">
        <f t="shared" ca="1" si="57"/>
        <v>-9</v>
      </c>
      <c r="I594" s="13">
        <f t="shared" ca="1" si="58"/>
        <v>10</v>
      </c>
      <c r="J594" s="14">
        <f t="shared" ca="1" si="59"/>
        <v>35</v>
      </c>
      <c r="K594" s="12" t="s">
        <v>41</v>
      </c>
      <c r="L594" s="15">
        <v>94</v>
      </c>
      <c r="M594" s="25" t="s">
        <v>40</v>
      </c>
      <c r="N594">
        <v>128</v>
      </c>
    </row>
    <row r="595" spans="1:14">
      <c r="A595" s="25">
        <f t="shared" si="54"/>
        <v>150</v>
      </c>
      <c r="B595" s="67" t="s">
        <v>13</v>
      </c>
      <c r="C595" s="67" t="s">
        <v>590</v>
      </c>
      <c r="D595" s="67" t="s">
        <v>96</v>
      </c>
      <c r="E595" s="22">
        <f t="shared" ca="1" si="55"/>
        <v>40951</v>
      </c>
      <c r="F595" s="11">
        <f>DATE(2001,7,5)</f>
        <v>37077</v>
      </c>
      <c r="G595" s="12">
        <f t="shared" ca="1" si="56"/>
        <v>11</v>
      </c>
      <c r="H595" s="12">
        <f t="shared" ca="1" si="57"/>
        <v>-5</v>
      </c>
      <c r="I595" s="13">
        <f t="shared" ca="1" si="58"/>
        <v>7</v>
      </c>
      <c r="J595" s="14">
        <f t="shared" ca="1" si="59"/>
        <v>10</v>
      </c>
      <c r="K595" s="12" t="s">
        <v>41</v>
      </c>
      <c r="L595" s="15">
        <v>94</v>
      </c>
      <c r="M595" s="25" t="s">
        <v>44</v>
      </c>
      <c r="N595">
        <v>128</v>
      </c>
    </row>
    <row r="596" spans="1:14">
      <c r="A596" s="25">
        <f t="shared" si="54"/>
        <v>151</v>
      </c>
      <c r="B596" s="67" t="s">
        <v>13</v>
      </c>
      <c r="C596" s="67" t="s">
        <v>238</v>
      </c>
      <c r="D596" s="67" t="s">
        <v>123</v>
      </c>
      <c r="E596" s="22">
        <f t="shared" ca="1" si="55"/>
        <v>40951</v>
      </c>
      <c r="F596" s="11">
        <f>DATE(72,3,10)</f>
        <v>26368</v>
      </c>
      <c r="G596" s="12">
        <f t="shared" ca="1" si="56"/>
        <v>40</v>
      </c>
      <c r="H596" s="12">
        <f t="shared" ca="1" si="57"/>
        <v>-1</v>
      </c>
      <c r="I596" s="13">
        <f t="shared" ca="1" si="58"/>
        <v>2</v>
      </c>
      <c r="J596" s="14">
        <f t="shared" ca="1" si="59"/>
        <v>39</v>
      </c>
      <c r="K596" s="12" t="s">
        <v>41</v>
      </c>
      <c r="L596" s="15">
        <v>94</v>
      </c>
      <c r="M596" s="25" t="s">
        <v>40</v>
      </c>
      <c r="N596">
        <v>128</v>
      </c>
    </row>
    <row r="597" spans="1:14">
      <c r="A597" s="25">
        <f t="shared" si="54"/>
        <v>152</v>
      </c>
      <c r="B597" s="67" t="s">
        <v>13</v>
      </c>
      <c r="C597" s="67" t="s">
        <v>851</v>
      </c>
      <c r="D597" s="67" t="s">
        <v>837</v>
      </c>
      <c r="E597" s="22">
        <f t="shared" ca="1" si="55"/>
        <v>40951</v>
      </c>
      <c r="F597" s="32"/>
      <c r="G597" s="12">
        <f t="shared" ca="1" si="56"/>
        <v>112</v>
      </c>
      <c r="H597" s="12">
        <f t="shared" ca="1" si="57"/>
        <v>1</v>
      </c>
      <c r="I597" s="13">
        <f t="shared" ca="1" si="58"/>
        <v>12</v>
      </c>
      <c r="J597" s="14">
        <f t="shared" ca="1" si="59"/>
        <v>112</v>
      </c>
      <c r="K597" s="12" t="s">
        <v>41</v>
      </c>
      <c r="L597" s="15">
        <v>95</v>
      </c>
      <c r="M597" s="25" t="s">
        <v>40</v>
      </c>
      <c r="N597">
        <v>128</v>
      </c>
    </row>
    <row r="598" spans="1:14">
      <c r="A598" s="25">
        <f t="shared" si="54"/>
        <v>153</v>
      </c>
      <c r="B598" s="67" t="s">
        <v>13</v>
      </c>
      <c r="C598" s="67" t="s">
        <v>288</v>
      </c>
      <c r="D598" s="67" t="s">
        <v>852</v>
      </c>
      <c r="E598" s="22">
        <f t="shared" ca="1" si="55"/>
        <v>40951</v>
      </c>
      <c r="F598" s="11">
        <f>DATE(75,7,14)</f>
        <v>27589</v>
      </c>
      <c r="G598" s="12">
        <f t="shared" ca="1" si="56"/>
        <v>37</v>
      </c>
      <c r="H598" s="12">
        <f t="shared" ca="1" si="57"/>
        <v>-5</v>
      </c>
      <c r="I598" s="13">
        <f t="shared" ca="1" si="58"/>
        <v>-2</v>
      </c>
      <c r="J598" s="14">
        <f t="shared" ca="1" si="59"/>
        <v>36</v>
      </c>
      <c r="K598" s="12" t="s">
        <v>41</v>
      </c>
      <c r="L598" s="15">
        <v>95</v>
      </c>
      <c r="M598" s="25" t="s">
        <v>40</v>
      </c>
      <c r="N598">
        <v>128</v>
      </c>
    </row>
    <row r="599" spans="1:14" ht="15.75" thickBot="1">
      <c r="A599" s="26">
        <f t="shared" si="54"/>
        <v>154</v>
      </c>
      <c r="B599" s="67" t="s">
        <v>13</v>
      </c>
      <c r="C599" s="68" t="s">
        <v>662</v>
      </c>
      <c r="D599" s="68" t="s">
        <v>855</v>
      </c>
      <c r="E599" s="23">
        <f t="shared" ca="1" si="55"/>
        <v>40951</v>
      </c>
      <c r="F599" s="16">
        <f>DATE(71,6,23)</f>
        <v>26107</v>
      </c>
      <c r="G599" s="17">
        <f t="shared" ca="1" si="56"/>
        <v>41</v>
      </c>
      <c r="H599" s="17">
        <f t="shared" ca="1" si="57"/>
        <v>-4</v>
      </c>
      <c r="I599" s="18">
        <f t="shared" ca="1" si="58"/>
        <v>-11</v>
      </c>
      <c r="J599" s="19">
        <f t="shared" ca="1" si="59"/>
        <v>40</v>
      </c>
      <c r="K599" s="17" t="s">
        <v>41</v>
      </c>
      <c r="L599" s="20">
        <v>95</v>
      </c>
      <c r="M599" s="26" t="s">
        <v>40</v>
      </c>
      <c r="N599">
        <v>128</v>
      </c>
    </row>
    <row r="600" spans="1:14">
      <c r="A600" s="24">
        <f t="shared" si="54"/>
        <v>155</v>
      </c>
      <c r="B600" s="66" t="s">
        <v>13</v>
      </c>
      <c r="C600" s="66" t="s">
        <v>856</v>
      </c>
      <c r="D600" s="66" t="s">
        <v>855</v>
      </c>
      <c r="E600" s="21">
        <f t="shared" ca="1" si="55"/>
        <v>40951</v>
      </c>
      <c r="F600" s="6">
        <f>DATE(92,7,10)</f>
        <v>33795</v>
      </c>
      <c r="G600" s="7">
        <f t="shared" ca="1" si="56"/>
        <v>20</v>
      </c>
      <c r="H600" s="7">
        <f t="shared" ca="1" si="57"/>
        <v>-5</v>
      </c>
      <c r="I600" s="8">
        <f t="shared" ca="1" si="58"/>
        <v>2</v>
      </c>
      <c r="J600" s="9">
        <f t="shared" ca="1" si="59"/>
        <v>19</v>
      </c>
      <c r="K600" s="7" t="s">
        <v>41</v>
      </c>
      <c r="L600" s="10">
        <v>95</v>
      </c>
      <c r="M600" s="24" t="s">
        <v>44</v>
      </c>
      <c r="N600">
        <v>129</v>
      </c>
    </row>
    <row r="601" spans="1:14">
      <c r="A601" s="25">
        <f t="shared" si="54"/>
        <v>156</v>
      </c>
      <c r="B601" s="67" t="s">
        <v>13</v>
      </c>
      <c r="C601" s="67" t="s">
        <v>858</v>
      </c>
      <c r="D601" s="67" t="s">
        <v>665</v>
      </c>
      <c r="E601" s="22">
        <f t="shared" ca="1" si="55"/>
        <v>40951</v>
      </c>
      <c r="F601" s="11">
        <f>DATE(73,6,18)</f>
        <v>26833</v>
      </c>
      <c r="G601" s="12">
        <f t="shared" ca="1" si="56"/>
        <v>39</v>
      </c>
      <c r="H601" s="12">
        <f t="shared" ca="1" si="57"/>
        <v>-4</v>
      </c>
      <c r="I601" s="13">
        <f t="shared" ca="1" si="58"/>
        <v>-6</v>
      </c>
      <c r="J601" s="14">
        <f t="shared" ca="1" si="59"/>
        <v>38</v>
      </c>
      <c r="K601" s="12" t="s">
        <v>41</v>
      </c>
      <c r="L601" s="15">
        <v>95</v>
      </c>
      <c r="M601" s="25" t="s">
        <v>40</v>
      </c>
      <c r="N601">
        <v>129</v>
      </c>
    </row>
    <row r="602" spans="1:14">
      <c r="A602" s="25">
        <f t="shared" si="54"/>
        <v>157</v>
      </c>
      <c r="B602" s="67" t="s">
        <v>13</v>
      </c>
      <c r="C602" s="67" t="s">
        <v>851</v>
      </c>
      <c r="D602" s="67" t="s">
        <v>837</v>
      </c>
      <c r="E602" s="22">
        <f t="shared" ca="1" si="55"/>
        <v>40951</v>
      </c>
      <c r="F602" s="32"/>
      <c r="G602" s="12">
        <f t="shared" ca="1" si="56"/>
        <v>112</v>
      </c>
      <c r="H602" s="12">
        <f t="shared" ca="1" si="57"/>
        <v>1</v>
      </c>
      <c r="I602" s="13">
        <f t="shared" ca="1" si="58"/>
        <v>12</v>
      </c>
      <c r="J602" s="14">
        <f t="shared" ca="1" si="59"/>
        <v>112</v>
      </c>
      <c r="K602" s="12" t="s">
        <v>41</v>
      </c>
      <c r="L602" s="15">
        <v>96</v>
      </c>
      <c r="M602" s="25" t="s">
        <v>40</v>
      </c>
      <c r="N602">
        <v>129</v>
      </c>
    </row>
    <row r="603" spans="1:14">
      <c r="A603" s="25">
        <f t="shared" si="54"/>
        <v>158</v>
      </c>
      <c r="B603" s="67" t="s">
        <v>13</v>
      </c>
      <c r="C603" s="67" t="s">
        <v>129</v>
      </c>
      <c r="D603" s="67" t="s">
        <v>860</v>
      </c>
      <c r="E603" s="22">
        <f t="shared" ca="1" si="55"/>
        <v>40951</v>
      </c>
      <c r="F603" s="11">
        <f>DATE(71,2,18)</f>
        <v>25982</v>
      </c>
      <c r="G603" s="12">
        <f t="shared" ca="1" si="56"/>
        <v>41</v>
      </c>
      <c r="H603" s="12">
        <f t="shared" ca="1" si="57"/>
        <v>0</v>
      </c>
      <c r="I603" s="13">
        <f t="shared" ca="1" si="58"/>
        <v>-6</v>
      </c>
      <c r="J603" s="14">
        <f t="shared" ca="1" si="59"/>
        <v>40</v>
      </c>
      <c r="K603" s="12" t="s">
        <v>41</v>
      </c>
      <c r="L603" s="15">
        <v>96</v>
      </c>
      <c r="M603" s="25" t="s">
        <v>40</v>
      </c>
      <c r="N603">
        <v>129</v>
      </c>
    </row>
    <row r="604" spans="1:14">
      <c r="A604" s="25">
        <f t="shared" si="54"/>
        <v>159</v>
      </c>
      <c r="B604" s="67" t="s">
        <v>13</v>
      </c>
      <c r="C604" s="67" t="s">
        <v>776</v>
      </c>
      <c r="D604" s="67" t="s">
        <v>860</v>
      </c>
      <c r="E604" s="22">
        <f t="shared" ca="1" si="55"/>
        <v>40951</v>
      </c>
      <c r="F604" s="11">
        <f>DATE(92,10,28)</f>
        <v>33905</v>
      </c>
      <c r="G604" s="12">
        <f t="shared" ca="1" si="56"/>
        <v>20</v>
      </c>
      <c r="H604" s="12">
        <f t="shared" ca="1" si="57"/>
        <v>-8</v>
      </c>
      <c r="I604" s="13">
        <f t="shared" ca="1" si="58"/>
        <v>-16</v>
      </c>
      <c r="J604" s="14">
        <f t="shared" ca="1" si="59"/>
        <v>19</v>
      </c>
      <c r="K604" s="12" t="s">
        <v>41</v>
      </c>
      <c r="L604" s="15">
        <v>96</v>
      </c>
      <c r="M604" s="25" t="s">
        <v>44</v>
      </c>
      <c r="N604">
        <v>129</v>
      </c>
    </row>
    <row r="605" spans="1:14" ht="15.75" thickBot="1">
      <c r="A605" s="26">
        <f t="shared" si="54"/>
        <v>160</v>
      </c>
      <c r="B605" s="67" t="s">
        <v>13</v>
      </c>
      <c r="C605" s="68" t="s">
        <v>861</v>
      </c>
      <c r="D605" s="68" t="s">
        <v>860</v>
      </c>
      <c r="E605" s="23">
        <f t="shared" ca="1" si="55"/>
        <v>40951</v>
      </c>
      <c r="F605" s="16">
        <f>DATE(96,1,11)</f>
        <v>35075</v>
      </c>
      <c r="G605" s="17">
        <f t="shared" ca="1" si="56"/>
        <v>16</v>
      </c>
      <c r="H605" s="17">
        <f t="shared" ca="1" si="57"/>
        <v>1</v>
      </c>
      <c r="I605" s="18">
        <f t="shared" ca="1" si="58"/>
        <v>1</v>
      </c>
      <c r="J605" s="19">
        <f t="shared" ca="1" si="59"/>
        <v>16</v>
      </c>
      <c r="K605" s="17" t="s">
        <v>41</v>
      </c>
      <c r="L605" s="20">
        <v>96</v>
      </c>
      <c r="M605" s="26" t="s">
        <v>44</v>
      </c>
      <c r="N605">
        <v>129</v>
      </c>
    </row>
    <row r="606" spans="1:14">
      <c r="A606" s="24">
        <f t="shared" si="54"/>
        <v>161</v>
      </c>
      <c r="B606" s="66" t="s">
        <v>13</v>
      </c>
      <c r="C606" s="66" t="s">
        <v>231</v>
      </c>
      <c r="D606" s="66" t="s">
        <v>863</v>
      </c>
      <c r="E606" s="21">
        <f t="shared" ca="1" si="55"/>
        <v>40951</v>
      </c>
      <c r="F606" s="6">
        <f>DATE(79,12,29)</f>
        <v>29218</v>
      </c>
      <c r="G606" s="7">
        <f t="shared" ca="1" si="56"/>
        <v>33</v>
      </c>
      <c r="H606" s="7">
        <f t="shared" ca="1" si="57"/>
        <v>-10</v>
      </c>
      <c r="I606" s="8">
        <f t="shared" ca="1" si="58"/>
        <v>-17</v>
      </c>
      <c r="J606" s="9">
        <f t="shared" ca="1" si="59"/>
        <v>32</v>
      </c>
      <c r="K606" s="7" t="s">
        <v>41</v>
      </c>
      <c r="L606" s="10">
        <v>96</v>
      </c>
      <c r="M606" s="24" t="s">
        <v>40</v>
      </c>
      <c r="N606">
        <v>130</v>
      </c>
    </row>
    <row r="607" spans="1:14">
      <c r="A607" s="25">
        <f t="shared" si="54"/>
        <v>162</v>
      </c>
      <c r="B607" s="67" t="s">
        <v>13</v>
      </c>
      <c r="C607" s="67" t="s">
        <v>97</v>
      </c>
      <c r="D607" s="67" t="s">
        <v>863</v>
      </c>
      <c r="E607" s="22">
        <f t="shared" ca="1" si="55"/>
        <v>40951</v>
      </c>
      <c r="F607" s="11">
        <f>DATE(2000,9,3)</f>
        <v>36772</v>
      </c>
      <c r="G607" s="12">
        <f t="shared" ca="1" si="56"/>
        <v>12</v>
      </c>
      <c r="H607" s="12">
        <f t="shared" ca="1" si="57"/>
        <v>-7</v>
      </c>
      <c r="I607" s="13">
        <f t="shared" ca="1" si="58"/>
        <v>9</v>
      </c>
      <c r="J607" s="14">
        <f t="shared" ca="1" si="59"/>
        <v>11</v>
      </c>
      <c r="K607" s="12" t="s">
        <v>41</v>
      </c>
      <c r="L607" s="15">
        <v>96</v>
      </c>
      <c r="M607" s="25" t="s">
        <v>44</v>
      </c>
      <c r="N607">
        <v>130</v>
      </c>
    </row>
    <row r="608" spans="1:14">
      <c r="A608" s="25">
        <f t="shared" si="54"/>
        <v>163</v>
      </c>
      <c r="B608" s="67" t="s">
        <v>13</v>
      </c>
      <c r="C608" s="67" t="s">
        <v>864</v>
      </c>
      <c r="D608" s="67" t="s">
        <v>863</v>
      </c>
      <c r="E608" s="22">
        <f t="shared" ca="1" si="55"/>
        <v>40951</v>
      </c>
      <c r="F608" s="11">
        <f>DATE(2002,8,2)</f>
        <v>37470</v>
      </c>
      <c r="G608" s="12">
        <f t="shared" ca="1" si="56"/>
        <v>10</v>
      </c>
      <c r="H608" s="12">
        <f t="shared" ca="1" si="57"/>
        <v>-6</v>
      </c>
      <c r="I608" s="13">
        <f t="shared" ca="1" si="58"/>
        <v>10</v>
      </c>
      <c r="J608" s="14">
        <f t="shared" ca="1" si="59"/>
        <v>9</v>
      </c>
      <c r="K608" s="12" t="s">
        <v>41</v>
      </c>
      <c r="L608" s="15">
        <v>96</v>
      </c>
      <c r="M608" s="25" t="s">
        <v>44</v>
      </c>
      <c r="N608">
        <v>130</v>
      </c>
    </row>
    <row r="609" spans="1:14" ht="15.75" thickBot="1">
      <c r="A609" s="26">
        <f t="shared" si="54"/>
        <v>164</v>
      </c>
      <c r="B609" s="67" t="s">
        <v>13</v>
      </c>
      <c r="C609" s="68" t="s">
        <v>865</v>
      </c>
      <c r="D609" s="68" t="s">
        <v>266</v>
      </c>
      <c r="E609" s="23">
        <f t="shared" ca="1" si="55"/>
        <v>40951</v>
      </c>
      <c r="F609" s="16">
        <f>DATE(54,10,16)</f>
        <v>20013</v>
      </c>
      <c r="G609" s="17">
        <f t="shared" ca="1" si="56"/>
        <v>58</v>
      </c>
      <c r="H609" s="17">
        <f t="shared" ca="1" si="57"/>
        <v>-8</v>
      </c>
      <c r="I609" s="18">
        <f t="shared" ca="1" si="58"/>
        <v>-4</v>
      </c>
      <c r="J609" s="19">
        <f t="shared" ca="1" si="59"/>
        <v>57</v>
      </c>
      <c r="K609" s="17" t="s">
        <v>41</v>
      </c>
      <c r="L609" s="20">
        <v>96</v>
      </c>
      <c r="M609" s="26" t="s">
        <v>40</v>
      </c>
      <c r="N609">
        <v>130</v>
      </c>
    </row>
    <row r="610" spans="1:14">
      <c r="A610" s="24">
        <f t="shared" si="54"/>
        <v>165</v>
      </c>
      <c r="B610" s="66" t="s">
        <v>13</v>
      </c>
      <c r="C610" s="66" t="s">
        <v>866</v>
      </c>
      <c r="D610" s="66" t="s">
        <v>94</v>
      </c>
      <c r="E610" s="21">
        <f t="shared" ca="1" si="55"/>
        <v>40951</v>
      </c>
      <c r="F610" s="45"/>
      <c r="G610" s="7">
        <f t="shared" ca="1" si="56"/>
        <v>112</v>
      </c>
      <c r="H610" s="7">
        <f t="shared" ca="1" si="57"/>
        <v>1</v>
      </c>
      <c r="I610" s="8">
        <f t="shared" ca="1" si="58"/>
        <v>12</v>
      </c>
      <c r="J610" s="9">
        <f t="shared" ca="1" si="59"/>
        <v>112</v>
      </c>
      <c r="K610" s="7" t="s">
        <v>41</v>
      </c>
      <c r="L610" s="10">
        <v>96</v>
      </c>
      <c r="M610" s="24" t="s">
        <v>40</v>
      </c>
      <c r="N610">
        <v>131</v>
      </c>
    </row>
    <row r="611" spans="1:14">
      <c r="A611" s="25">
        <f t="shared" si="54"/>
        <v>166</v>
      </c>
      <c r="B611" s="67" t="s">
        <v>13</v>
      </c>
      <c r="C611" s="67" t="s">
        <v>867</v>
      </c>
      <c r="D611" s="67" t="s">
        <v>266</v>
      </c>
      <c r="E611" s="22">
        <f t="shared" ca="1" si="55"/>
        <v>40951</v>
      </c>
      <c r="F611" s="11">
        <f>DATE(82,7,26)</f>
        <v>30158</v>
      </c>
      <c r="G611" s="12">
        <f t="shared" ca="1" si="56"/>
        <v>30</v>
      </c>
      <c r="H611" s="12">
        <f t="shared" ca="1" si="57"/>
        <v>-5</v>
      </c>
      <c r="I611" s="13">
        <f t="shared" ca="1" si="58"/>
        <v>-14</v>
      </c>
      <c r="J611" s="14">
        <f t="shared" ca="1" si="59"/>
        <v>29</v>
      </c>
      <c r="K611" s="12" t="s">
        <v>41</v>
      </c>
      <c r="L611" s="15">
        <v>96</v>
      </c>
      <c r="M611" s="25" t="s">
        <v>44</v>
      </c>
      <c r="N611">
        <v>131</v>
      </c>
    </row>
    <row r="612" spans="1:14">
      <c r="A612" s="25">
        <f t="shared" si="54"/>
        <v>167</v>
      </c>
      <c r="B612" s="67" t="s">
        <v>13</v>
      </c>
      <c r="C612" s="67" t="s">
        <v>474</v>
      </c>
      <c r="D612" s="67" t="s">
        <v>266</v>
      </c>
      <c r="E612" s="22">
        <f t="shared" ca="1" si="55"/>
        <v>40951</v>
      </c>
      <c r="F612" s="11">
        <f>DATE(85,7,5)</f>
        <v>31233</v>
      </c>
      <c r="G612" s="12">
        <f t="shared" ca="1" si="56"/>
        <v>27</v>
      </c>
      <c r="H612" s="12">
        <f t="shared" ca="1" si="57"/>
        <v>-5</v>
      </c>
      <c r="I612" s="13">
        <f t="shared" ca="1" si="58"/>
        <v>7</v>
      </c>
      <c r="J612" s="14">
        <f t="shared" ca="1" si="59"/>
        <v>26</v>
      </c>
      <c r="K612" s="12" t="s">
        <v>41</v>
      </c>
      <c r="L612" s="15">
        <v>96</v>
      </c>
      <c r="M612" s="25" t="s">
        <v>44</v>
      </c>
      <c r="N612">
        <v>131</v>
      </c>
    </row>
    <row r="613" spans="1:14">
      <c r="A613" s="25">
        <f t="shared" si="54"/>
        <v>168</v>
      </c>
      <c r="B613" s="67" t="s">
        <v>14</v>
      </c>
      <c r="C613" s="67" t="s">
        <v>868</v>
      </c>
      <c r="D613" s="67" t="s">
        <v>298</v>
      </c>
      <c r="E613" s="22">
        <f t="shared" ca="1" si="55"/>
        <v>40951</v>
      </c>
      <c r="F613" s="11">
        <f>DATE(52,10,3)</f>
        <v>19270</v>
      </c>
      <c r="G613" s="12">
        <f t="shared" ca="1" si="56"/>
        <v>60</v>
      </c>
      <c r="H613" s="12">
        <f t="shared" ca="1" si="57"/>
        <v>-8</v>
      </c>
      <c r="I613" s="13">
        <f t="shared" ca="1" si="58"/>
        <v>9</v>
      </c>
      <c r="J613" s="14">
        <f t="shared" ca="1" si="59"/>
        <v>59</v>
      </c>
      <c r="K613" s="12" t="s">
        <v>41</v>
      </c>
      <c r="L613" s="15">
        <v>97</v>
      </c>
      <c r="M613" s="25" t="s">
        <v>40</v>
      </c>
      <c r="N613">
        <v>131</v>
      </c>
    </row>
    <row r="614" spans="1:14" ht="15.75" thickBot="1">
      <c r="A614" s="26">
        <f t="shared" si="54"/>
        <v>169</v>
      </c>
      <c r="B614" s="67" t="s">
        <v>14</v>
      </c>
      <c r="C614" s="68" t="s">
        <v>105</v>
      </c>
      <c r="D614" s="68" t="s">
        <v>308</v>
      </c>
      <c r="E614" s="23">
        <f t="shared" ca="1" si="55"/>
        <v>40951</v>
      </c>
      <c r="F614" s="16">
        <f>DATE(75,11,26)</f>
        <v>27724</v>
      </c>
      <c r="G614" s="17">
        <f t="shared" ca="1" si="56"/>
        <v>37</v>
      </c>
      <c r="H614" s="17">
        <f t="shared" ca="1" si="57"/>
        <v>-9</v>
      </c>
      <c r="I614" s="18">
        <f t="shared" ca="1" si="58"/>
        <v>-14</v>
      </c>
      <c r="J614" s="19">
        <f t="shared" ca="1" si="59"/>
        <v>36</v>
      </c>
      <c r="K614" s="17" t="s">
        <v>41</v>
      </c>
      <c r="L614" s="20">
        <v>97</v>
      </c>
      <c r="M614" s="26" t="s">
        <v>40</v>
      </c>
      <c r="N614">
        <v>131</v>
      </c>
    </row>
    <row r="615" spans="1:14">
      <c r="A615" s="24">
        <f t="shared" si="54"/>
        <v>170</v>
      </c>
      <c r="B615" s="66" t="s">
        <v>14</v>
      </c>
      <c r="C615" s="66" t="s">
        <v>736</v>
      </c>
      <c r="D615" s="66" t="s">
        <v>308</v>
      </c>
      <c r="E615" s="21">
        <f t="shared" ca="1" si="55"/>
        <v>40951</v>
      </c>
      <c r="F615" s="6">
        <f>DATE(2003,4,21)</f>
        <v>37732</v>
      </c>
      <c r="G615" s="7">
        <f t="shared" ca="1" si="56"/>
        <v>9</v>
      </c>
      <c r="H615" s="7">
        <f t="shared" ca="1" si="57"/>
        <v>-2</v>
      </c>
      <c r="I615" s="8">
        <f t="shared" ca="1" si="58"/>
        <v>-9</v>
      </c>
      <c r="J615" s="9">
        <f t="shared" ca="1" si="59"/>
        <v>8</v>
      </c>
      <c r="K615" s="7" t="s">
        <v>41</v>
      </c>
      <c r="L615" s="10">
        <v>97</v>
      </c>
      <c r="M615" s="24" t="s">
        <v>44</v>
      </c>
      <c r="N615">
        <v>132</v>
      </c>
    </row>
    <row r="616" spans="1:14">
      <c r="A616" s="25">
        <f t="shared" si="54"/>
        <v>171</v>
      </c>
      <c r="B616" s="67" t="s">
        <v>14</v>
      </c>
      <c r="C616" s="67" t="s">
        <v>265</v>
      </c>
      <c r="D616" s="67" t="s">
        <v>181</v>
      </c>
      <c r="E616" s="22">
        <f t="shared" ca="1" si="55"/>
        <v>40951</v>
      </c>
      <c r="F616" s="11">
        <f>DATE(70,6,17)</f>
        <v>25736</v>
      </c>
      <c r="G616" s="12">
        <f t="shared" ca="1" si="56"/>
        <v>42</v>
      </c>
      <c r="H616" s="12">
        <f t="shared" ca="1" si="57"/>
        <v>-4</v>
      </c>
      <c r="I616" s="13">
        <f t="shared" ca="1" si="58"/>
        <v>-5</v>
      </c>
      <c r="J616" s="14">
        <f t="shared" ca="1" si="59"/>
        <v>41</v>
      </c>
      <c r="K616" s="12" t="s">
        <v>41</v>
      </c>
      <c r="L616" s="15">
        <v>97</v>
      </c>
      <c r="M616" s="25" t="s">
        <v>40</v>
      </c>
      <c r="N616">
        <v>132</v>
      </c>
    </row>
    <row r="617" spans="1:14">
      <c r="A617" s="25">
        <f t="shared" si="54"/>
        <v>172</v>
      </c>
      <c r="B617" s="67" t="s">
        <v>14</v>
      </c>
      <c r="C617" s="67" t="s">
        <v>590</v>
      </c>
      <c r="D617" s="67" t="s">
        <v>181</v>
      </c>
      <c r="E617" s="22">
        <f t="shared" ca="1" si="55"/>
        <v>40951</v>
      </c>
      <c r="F617" s="11">
        <f>DATE(94,11,20)</f>
        <v>34658</v>
      </c>
      <c r="G617" s="12">
        <f t="shared" ca="1" si="56"/>
        <v>18</v>
      </c>
      <c r="H617" s="12">
        <f t="shared" ca="1" si="57"/>
        <v>-9</v>
      </c>
      <c r="I617" s="13">
        <f t="shared" ca="1" si="58"/>
        <v>-8</v>
      </c>
      <c r="J617" s="14">
        <f t="shared" ca="1" si="59"/>
        <v>17</v>
      </c>
      <c r="K617" s="12" t="s">
        <v>41</v>
      </c>
      <c r="L617" s="15">
        <v>97</v>
      </c>
      <c r="M617" s="25" t="s">
        <v>44</v>
      </c>
      <c r="N617">
        <v>132</v>
      </c>
    </row>
    <row r="618" spans="1:14">
      <c r="A618" s="25">
        <f t="shared" si="54"/>
        <v>173</v>
      </c>
      <c r="B618" s="67" t="s">
        <v>14</v>
      </c>
      <c r="C618" s="67" t="s">
        <v>871</v>
      </c>
      <c r="D618" s="67" t="s">
        <v>181</v>
      </c>
      <c r="E618" s="22">
        <f t="shared" ca="1" si="55"/>
        <v>40951</v>
      </c>
      <c r="F618" s="11">
        <f>DATE(98,8,4)</f>
        <v>36011</v>
      </c>
      <c r="G618" s="12">
        <f t="shared" ca="1" si="56"/>
        <v>14</v>
      </c>
      <c r="H618" s="12">
        <f t="shared" ca="1" si="57"/>
        <v>-6</v>
      </c>
      <c r="I618" s="13">
        <f t="shared" ca="1" si="58"/>
        <v>8</v>
      </c>
      <c r="J618" s="14">
        <f t="shared" ca="1" si="59"/>
        <v>13</v>
      </c>
      <c r="K618" s="12" t="s">
        <v>41</v>
      </c>
      <c r="L618" s="15">
        <v>97</v>
      </c>
      <c r="M618" s="25" t="s">
        <v>44</v>
      </c>
      <c r="N618">
        <v>132</v>
      </c>
    </row>
    <row r="619" spans="1:14">
      <c r="A619" s="25">
        <f t="shared" si="54"/>
        <v>174</v>
      </c>
      <c r="B619" s="67" t="s">
        <v>14</v>
      </c>
      <c r="C619" s="67" t="s">
        <v>872</v>
      </c>
      <c r="D619" s="67" t="s">
        <v>537</v>
      </c>
      <c r="E619" s="22">
        <f t="shared" ca="1" si="55"/>
        <v>40951</v>
      </c>
      <c r="F619" s="11">
        <f>DATE(68,7,9)</f>
        <v>25028</v>
      </c>
      <c r="G619" s="12">
        <f t="shared" ca="1" si="56"/>
        <v>44</v>
      </c>
      <c r="H619" s="12">
        <f t="shared" ca="1" si="57"/>
        <v>-5</v>
      </c>
      <c r="I619" s="13">
        <f t="shared" ca="1" si="58"/>
        <v>3</v>
      </c>
      <c r="J619" s="14">
        <f t="shared" ca="1" si="59"/>
        <v>43</v>
      </c>
      <c r="K619" s="12" t="s">
        <v>41</v>
      </c>
      <c r="L619" s="15">
        <v>97</v>
      </c>
      <c r="M619" s="25" t="s">
        <v>40</v>
      </c>
      <c r="N619">
        <v>132</v>
      </c>
    </row>
    <row r="620" spans="1:14">
      <c r="A620" s="25">
        <f t="shared" si="54"/>
        <v>175</v>
      </c>
      <c r="B620" s="67" t="s">
        <v>14</v>
      </c>
      <c r="C620" s="67" t="s">
        <v>653</v>
      </c>
      <c r="D620" s="67" t="s">
        <v>537</v>
      </c>
      <c r="E620" s="22">
        <f t="shared" ca="1" si="55"/>
        <v>40951</v>
      </c>
      <c r="F620" s="11">
        <f>DATE(90,8,26)</f>
        <v>33111</v>
      </c>
      <c r="G620" s="12">
        <f t="shared" ca="1" si="56"/>
        <v>22</v>
      </c>
      <c r="H620" s="12">
        <f t="shared" ca="1" si="57"/>
        <v>-6</v>
      </c>
      <c r="I620" s="13">
        <f t="shared" ca="1" si="58"/>
        <v>-14</v>
      </c>
      <c r="J620" s="14">
        <f t="shared" ca="1" si="59"/>
        <v>21</v>
      </c>
      <c r="K620" s="12" t="s">
        <v>41</v>
      </c>
      <c r="L620" s="15">
        <v>97</v>
      </c>
      <c r="M620" s="25" t="s">
        <v>44</v>
      </c>
      <c r="N620">
        <v>132</v>
      </c>
    </row>
    <row r="621" spans="1:14" ht="15.75" thickBot="1">
      <c r="A621" s="26">
        <f t="shared" si="54"/>
        <v>176</v>
      </c>
      <c r="B621" s="67" t="s">
        <v>14</v>
      </c>
      <c r="C621" s="68" t="s">
        <v>548</v>
      </c>
      <c r="D621" s="68" t="s">
        <v>199</v>
      </c>
      <c r="E621" s="23">
        <f t="shared" ca="1" si="55"/>
        <v>40951</v>
      </c>
      <c r="F621" s="16">
        <f>DATE(50,9,27)</f>
        <v>18533</v>
      </c>
      <c r="G621" s="17">
        <f t="shared" ca="1" si="56"/>
        <v>62</v>
      </c>
      <c r="H621" s="17">
        <f t="shared" ca="1" si="57"/>
        <v>-7</v>
      </c>
      <c r="I621" s="18">
        <f t="shared" ca="1" si="58"/>
        <v>-15</v>
      </c>
      <c r="J621" s="19">
        <f t="shared" ca="1" si="59"/>
        <v>61</v>
      </c>
      <c r="K621" s="17" t="s">
        <v>41</v>
      </c>
      <c r="L621" s="20">
        <v>98</v>
      </c>
      <c r="M621" s="26" t="s">
        <v>40</v>
      </c>
      <c r="N621">
        <v>132</v>
      </c>
    </row>
    <row r="622" spans="1:14">
      <c r="A622" s="24">
        <f t="shared" si="54"/>
        <v>177</v>
      </c>
      <c r="B622" s="66" t="s">
        <v>14</v>
      </c>
      <c r="C622" s="66" t="s">
        <v>115</v>
      </c>
      <c r="D622" s="66" t="s">
        <v>49</v>
      </c>
      <c r="E622" s="21">
        <f t="shared" ca="1" si="55"/>
        <v>40951</v>
      </c>
      <c r="F622" s="45"/>
      <c r="G622" s="7">
        <f t="shared" ca="1" si="56"/>
        <v>112</v>
      </c>
      <c r="H622" s="7">
        <f t="shared" ca="1" si="57"/>
        <v>1</v>
      </c>
      <c r="I622" s="8">
        <f t="shared" ca="1" si="58"/>
        <v>12</v>
      </c>
      <c r="J622" s="9">
        <f t="shared" ca="1" si="59"/>
        <v>112</v>
      </c>
      <c r="K622" s="7" t="s">
        <v>41</v>
      </c>
      <c r="L622" s="10">
        <v>98</v>
      </c>
      <c r="M622" s="24" t="s">
        <v>40</v>
      </c>
      <c r="N622">
        <v>133</v>
      </c>
    </row>
    <row r="623" spans="1:14">
      <c r="A623" s="25">
        <f t="shared" si="54"/>
        <v>178</v>
      </c>
      <c r="B623" s="67" t="s">
        <v>14</v>
      </c>
      <c r="C623" s="67" t="s">
        <v>256</v>
      </c>
      <c r="D623" s="67" t="s">
        <v>641</v>
      </c>
      <c r="E623" s="22">
        <f t="shared" ca="1" si="55"/>
        <v>40951</v>
      </c>
      <c r="F623" s="11">
        <f>DATE(79,10,29)</f>
        <v>29157</v>
      </c>
      <c r="G623" s="12">
        <f t="shared" ca="1" si="56"/>
        <v>33</v>
      </c>
      <c r="H623" s="12">
        <f t="shared" ca="1" si="57"/>
        <v>-8</v>
      </c>
      <c r="I623" s="13">
        <f t="shared" ca="1" si="58"/>
        <v>-17</v>
      </c>
      <c r="J623" s="14">
        <f t="shared" ca="1" si="59"/>
        <v>32</v>
      </c>
      <c r="K623" s="12" t="s">
        <v>41</v>
      </c>
      <c r="L623" s="15">
        <v>98</v>
      </c>
      <c r="M623" s="25" t="s">
        <v>40</v>
      </c>
      <c r="N623">
        <v>133</v>
      </c>
    </row>
    <row r="624" spans="1:14" ht="15.75" thickBot="1">
      <c r="A624" s="26">
        <f t="shared" si="54"/>
        <v>179</v>
      </c>
      <c r="B624" s="67" t="s">
        <v>14</v>
      </c>
      <c r="C624" s="68" t="s">
        <v>875</v>
      </c>
      <c r="D624" s="68" t="s">
        <v>641</v>
      </c>
      <c r="E624" s="23">
        <f t="shared" ca="1" si="55"/>
        <v>40951</v>
      </c>
      <c r="F624" s="16">
        <f>DATE(2005,7,11)</f>
        <v>38544</v>
      </c>
      <c r="G624" s="17">
        <f t="shared" ca="1" si="56"/>
        <v>7</v>
      </c>
      <c r="H624" s="17">
        <f t="shared" ca="1" si="57"/>
        <v>-5</v>
      </c>
      <c r="I624" s="18">
        <f t="shared" ca="1" si="58"/>
        <v>1</v>
      </c>
      <c r="J624" s="19">
        <f t="shared" ca="1" si="59"/>
        <v>6</v>
      </c>
      <c r="K624" s="17" t="s">
        <v>41</v>
      </c>
      <c r="L624" s="20">
        <v>98</v>
      </c>
      <c r="M624" s="26" t="s">
        <v>44</v>
      </c>
      <c r="N624">
        <v>133</v>
      </c>
    </row>
    <row r="625" spans="1:14">
      <c r="A625" s="24">
        <f t="shared" si="54"/>
        <v>180</v>
      </c>
      <c r="B625" s="66" t="s">
        <v>14</v>
      </c>
      <c r="C625" s="66" t="s">
        <v>876</v>
      </c>
      <c r="D625" s="66" t="s">
        <v>519</v>
      </c>
      <c r="E625" s="21">
        <f t="shared" ca="1" si="55"/>
        <v>40951</v>
      </c>
      <c r="F625" s="45"/>
      <c r="G625" s="7">
        <f t="shared" ca="1" si="56"/>
        <v>112</v>
      </c>
      <c r="H625" s="7">
        <f t="shared" ca="1" si="57"/>
        <v>1</v>
      </c>
      <c r="I625" s="8">
        <f t="shared" ca="1" si="58"/>
        <v>12</v>
      </c>
      <c r="J625" s="9">
        <f t="shared" ca="1" si="59"/>
        <v>112</v>
      </c>
      <c r="K625" s="7" t="s">
        <v>41</v>
      </c>
      <c r="L625" s="10">
        <v>98</v>
      </c>
      <c r="M625" s="24" t="s">
        <v>40</v>
      </c>
      <c r="N625">
        <v>134</v>
      </c>
    </row>
    <row r="626" spans="1:14">
      <c r="A626" s="25">
        <f t="shared" si="54"/>
        <v>181</v>
      </c>
      <c r="B626" s="67" t="s">
        <v>14</v>
      </c>
      <c r="C626" s="67" t="s">
        <v>877</v>
      </c>
      <c r="D626" s="67" t="s">
        <v>429</v>
      </c>
      <c r="E626" s="22">
        <f t="shared" ca="1" si="55"/>
        <v>40951</v>
      </c>
      <c r="F626" s="32"/>
      <c r="G626" s="12">
        <f t="shared" ca="1" si="56"/>
        <v>112</v>
      </c>
      <c r="H626" s="12">
        <f t="shared" ca="1" si="57"/>
        <v>1</v>
      </c>
      <c r="I626" s="13">
        <f t="shared" ca="1" si="58"/>
        <v>12</v>
      </c>
      <c r="J626" s="14">
        <f t="shared" ca="1" si="59"/>
        <v>112</v>
      </c>
      <c r="K626" s="12" t="s">
        <v>41</v>
      </c>
      <c r="L626" s="15">
        <v>98</v>
      </c>
      <c r="M626" s="25" t="s">
        <v>40</v>
      </c>
      <c r="N626">
        <v>134</v>
      </c>
    </row>
    <row r="627" spans="1:14" ht="15.75" thickBot="1">
      <c r="A627" s="26">
        <f t="shared" si="54"/>
        <v>182</v>
      </c>
      <c r="B627" s="67" t="s">
        <v>14</v>
      </c>
      <c r="C627" s="68" t="s">
        <v>762</v>
      </c>
      <c r="D627" s="68" t="s">
        <v>463</v>
      </c>
      <c r="E627" s="23">
        <f t="shared" ca="1" si="55"/>
        <v>40951</v>
      </c>
      <c r="F627" s="16">
        <f>DATE(57,12,8)</f>
        <v>21162</v>
      </c>
      <c r="G627" s="17">
        <f t="shared" ca="1" si="56"/>
        <v>55</v>
      </c>
      <c r="H627" s="17">
        <f t="shared" ca="1" si="57"/>
        <v>-10</v>
      </c>
      <c r="I627" s="18">
        <f t="shared" ca="1" si="58"/>
        <v>4</v>
      </c>
      <c r="J627" s="19">
        <f t="shared" ca="1" si="59"/>
        <v>54</v>
      </c>
      <c r="K627" s="17" t="s">
        <v>41</v>
      </c>
      <c r="L627" s="20">
        <v>98</v>
      </c>
      <c r="M627" s="26" t="s">
        <v>40</v>
      </c>
      <c r="N627">
        <v>134</v>
      </c>
    </row>
    <row r="628" spans="1:14">
      <c r="A628" s="24">
        <f t="shared" si="54"/>
        <v>183</v>
      </c>
      <c r="B628" s="66" t="s">
        <v>14</v>
      </c>
      <c r="C628" s="66" t="s">
        <v>397</v>
      </c>
      <c r="D628" s="66" t="s">
        <v>463</v>
      </c>
      <c r="E628" s="21">
        <f t="shared" ca="1" si="55"/>
        <v>40951</v>
      </c>
      <c r="F628" s="6">
        <f>DATE(87,6,17)</f>
        <v>31945</v>
      </c>
      <c r="G628" s="7">
        <f t="shared" ca="1" si="56"/>
        <v>25</v>
      </c>
      <c r="H628" s="7">
        <f t="shared" ca="1" si="57"/>
        <v>-4</v>
      </c>
      <c r="I628" s="8">
        <f t="shared" ca="1" si="58"/>
        <v>-5</v>
      </c>
      <c r="J628" s="9">
        <f t="shared" ca="1" si="59"/>
        <v>24</v>
      </c>
      <c r="K628" s="7" t="s">
        <v>41</v>
      </c>
      <c r="L628" s="10">
        <v>98</v>
      </c>
      <c r="M628" s="24" t="s">
        <v>44</v>
      </c>
      <c r="N628">
        <v>135</v>
      </c>
    </row>
    <row r="629" spans="1:14">
      <c r="A629" s="25">
        <f t="shared" si="54"/>
        <v>184</v>
      </c>
      <c r="B629" s="67" t="s">
        <v>14</v>
      </c>
      <c r="C629" s="67" t="s">
        <v>878</v>
      </c>
      <c r="D629" s="67" t="s">
        <v>463</v>
      </c>
      <c r="E629" s="22">
        <f t="shared" ca="1" si="55"/>
        <v>40951</v>
      </c>
      <c r="F629" s="11">
        <f>DATE(44,2,14)</f>
        <v>16116</v>
      </c>
      <c r="G629" s="12">
        <f t="shared" ca="1" si="56"/>
        <v>68</v>
      </c>
      <c r="H629" s="12">
        <f t="shared" ca="1" si="57"/>
        <v>0</v>
      </c>
      <c r="I629" s="13">
        <f t="shared" ca="1" si="58"/>
        <v>-2</v>
      </c>
      <c r="J629" s="14">
        <f t="shared" ca="1" si="59"/>
        <v>67</v>
      </c>
      <c r="K629" s="12" t="s">
        <v>41</v>
      </c>
      <c r="L629" s="15">
        <v>99</v>
      </c>
      <c r="M629" s="25" t="s">
        <v>40</v>
      </c>
      <c r="N629">
        <v>135</v>
      </c>
    </row>
    <row r="630" spans="1:14" ht="15.75" thickBot="1">
      <c r="A630" s="26">
        <f t="shared" si="54"/>
        <v>185</v>
      </c>
      <c r="B630" s="67" t="s">
        <v>14</v>
      </c>
      <c r="C630" s="68" t="s">
        <v>689</v>
      </c>
      <c r="D630" s="68" t="s">
        <v>463</v>
      </c>
      <c r="E630" s="23">
        <f t="shared" ca="1" si="55"/>
        <v>40951</v>
      </c>
      <c r="F630" s="16">
        <f>DATE(77,11,3)</f>
        <v>28432</v>
      </c>
      <c r="G630" s="17">
        <f t="shared" ca="1" si="56"/>
        <v>35</v>
      </c>
      <c r="H630" s="17">
        <f t="shared" ca="1" si="57"/>
        <v>-9</v>
      </c>
      <c r="I630" s="18">
        <f t="shared" ca="1" si="58"/>
        <v>9</v>
      </c>
      <c r="J630" s="19">
        <f t="shared" ca="1" si="59"/>
        <v>34</v>
      </c>
      <c r="K630" s="17" t="s">
        <v>41</v>
      </c>
      <c r="L630" s="20">
        <v>99</v>
      </c>
      <c r="M630" s="26" t="s">
        <v>40</v>
      </c>
      <c r="N630">
        <v>135</v>
      </c>
    </row>
    <row r="631" spans="1:14">
      <c r="A631" s="25">
        <f t="shared" si="54"/>
        <v>186</v>
      </c>
      <c r="B631" s="67" t="s">
        <v>14</v>
      </c>
      <c r="C631" s="67" t="s">
        <v>880</v>
      </c>
      <c r="D631" s="67" t="s">
        <v>879</v>
      </c>
      <c r="E631" s="22">
        <f t="shared" ca="1" si="55"/>
        <v>40951</v>
      </c>
      <c r="F631" s="32"/>
      <c r="G631" s="12">
        <f t="shared" ca="1" si="56"/>
        <v>112</v>
      </c>
      <c r="H631" s="12">
        <f t="shared" ca="1" si="57"/>
        <v>1</v>
      </c>
      <c r="I631" s="13">
        <f t="shared" ca="1" si="58"/>
        <v>12</v>
      </c>
      <c r="J631" s="14">
        <f t="shared" ca="1" si="59"/>
        <v>112</v>
      </c>
      <c r="K631" s="12" t="s">
        <v>41</v>
      </c>
      <c r="L631" s="15">
        <v>99</v>
      </c>
      <c r="M631" s="25" t="s">
        <v>40</v>
      </c>
      <c r="N631">
        <v>136</v>
      </c>
    </row>
    <row r="632" spans="1:14">
      <c r="A632" s="25">
        <f t="shared" si="54"/>
        <v>187</v>
      </c>
      <c r="B632" s="67" t="s">
        <v>14</v>
      </c>
      <c r="C632" s="67" t="s">
        <v>673</v>
      </c>
      <c r="D632" s="67" t="s">
        <v>208</v>
      </c>
      <c r="E632" s="22">
        <f t="shared" ca="1" si="55"/>
        <v>40951</v>
      </c>
      <c r="F632" s="32"/>
      <c r="G632" s="12">
        <f t="shared" ca="1" si="56"/>
        <v>112</v>
      </c>
      <c r="H632" s="12">
        <f t="shared" ca="1" si="57"/>
        <v>1</v>
      </c>
      <c r="I632" s="13">
        <f t="shared" ca="1" si="58"/>
        <v>12</v>
      </c>
      <c r="J632" s="14">
        <f t="shared" ca="1" si="59"/>
        <v>112</v>
      </c>
      <c r="K632" s="12" t="s">
        <v>41</v>
      </c>
      <c r="L632" s="15">
        <v>99</v>
      </c>
      <c r="M632" s="25" t="s">
        <v>40</v>
      </c>
      <c r="N632">
        <v>136</v>
      </c>
    </row>
    <row r="633" spans="1:14">
      <c r="A633" s="25">
        <f t="shared" si="54"/>
        <v>188</v>
      </c>
      <c r="B633" s="67" t="s">
        <v>14</v>
      </c>
      <c r="C633" s="67" t="s">
        <v>883</v>
      </c>
      <c r="D633" s="67" t="s">
        <v>623</v>
      </c>
      <c r="E633" s="22">
        <f t="shared" ca="1" si="55"/>
        <v>40951</v>
      </c>
      <c r="F633" s="32"/>
      <c r="G633" s="12">
        <f t="shared" ca="1" si="56"/>
        <v>112</v>
      </c>
      <c r="H633" s="12">
        <f t="shared" ca="1" si="57"/>
        <v>1</v>
      </c>
      <c r="I633" s="13">
        <f t="shared" ca="1" si="58"/>
        <v>12</v>
      </c>
      <c r="J633" s="14">
        <f t="shared" ca="1" si="59"/>
        <v>112</v>
      </c>
      <c r="K633" s="12" t="s">
        <v>41</v>
      </c>
      <c r="L633" s="15">
        <v>99</v>
      </c>
      <c r="M633" s="25" t="s">
        <v>40</v>
      </c>
      <c r="N633">
        <v>136</v>
      </c>
    </row>
    <row r="634" spans="1:14">
      <c r="A634" s="25">
        <f t="shared" si="54"/>
        <v>189</v>
      </c>
      <c r="B634" s="67" t="s">
        <v>14</v>
      </c>
      <c r="C634" s="67" t="s">
        <v>884</v>
      </c>
      <c r="D634" s="67" t="s">
        <v>623</v>
      </c>
      <c r="E634" s="22">
        <f t="shared" ca="1" si="55"/>
        <v>40951</v>
      </c>
      <c r="F634" s="11">
        <f>DATE(84,1,26)</f>
        <v>30707</v>
      </c>
      <c r="G634" s="12">
        <f t="shared" ca="1" si="56"/>
        <v>28</v>
      </c>
      <c r="H634" s="12">
        <f t="shared" ca="1" si="57"/>
        <v>1</v>
      </c>
      <c r="I634" s="13">
        <f t="shared" ca="1" si="58"/>
        <v>-14</v>
      </c>
      <c r="J634" s="14">
        <f t="shared" ca="1" si="59"/>
        <v>28</v>
      </c>
      <c r="K634" s="12" t="s">
        <v>41</v>
      </c>
      <c r="L634" s="15">
        <v>99</v>
      </c>
      <c r="M634" s="25" t="s">
        <v>44</v>
      </c>
      <c r="N634">
        <v>136</v>
      </c>
    </row>
    <row r="635" spans="1:14">
      <c r="A635" s="25">
        <f t="shared" si="54"/>
        <v>190</v>
      </c>
      <c r="B635" s="67" t="s">
        <v>14</v>
      </c>
      <c r="C635" s="67" t="s">
        <v>403</v>
      </c>
      <c r="D635" s="67" t="s">
        <v>623</v>
      </c>
      <c r="E635" s="22">
        <f t="shared" ca="1" si="55"/>
        <v>40951</v>
      </c>
      <c r="F635" s="11">
        <f>DATE(89,4,22)</f>
        <v>32620</v>
      </c>
      <c r="G635" s="12">
        <f t="shared" ca="1" si="56"/>
        <v>23</v>
      </c>
      <c r="H635" s="12">
        <f t="shared" ca="1" si="57"/>
        <v>-2</v>
      </c>
      <c r="I635" s="13">
        <f t="shared" ca="1" si="58"/>
        <v>-10</v>
      </c>
      <c r="J635" s="14">
        <f t="shared" ca="1" si="59"/>
        <v>22</v>
      </c>
      <c r="K635" s="12" t="s">
        <v>41</v>
      </c>
      <c r="L635" s="15">
        <v>99</v>
      </c>
      <c r="M635" s="25" t="s">
        <v>44</v>
      </c>
      <c r="N635">
        <v>136</v>
      </c>
    </row>
    <row r="636" spans="1:14" ht="15.75" thickBot="1">
      <c r="A636" s="26">
        <f t="shared" si="54"/>
        <v>191</v>
      </c>
      <c r="B636" s="67" t="s">
        <v>14</v>
      </c>
      <c r="C636" s="68" t="s">
        <v>877</v>
      </c>
      <c r="D636" s="68" t="s">
        <v>885</v>
      </c>
      <c r="E636" s="23">
        <f t="shared" ca="1" si="55"/>
        <v>40951</v>
      </c>
      <c r="F636" s="33"/>
      <c r="G636" s="17">
        <f t="shared" ca="1" si="56"/>
        <v>112</v>
      </c>
      <c r="H636" s="17">
        <f t="shared" ca="1" si="57"/>
        <v>1</v>
      </c>
      <c r="I636" s="18">
        <f t="shared" ca="1" si="58"/>
        <v>12</v>
      </c>
      <c r="J636" s="19">
        <f t="shared" ca="1" si="59"/>
        <v>112</v>
      </c>
      <c r="K636" s="17" t="s">
        <v>41</v>
      </c>
      <c r="L636" s="20">
        <v>100</v>
      </c>
      <c r="M636" s="26" t="s">
        <v>40</v>
      </c>
      <c r="N636">
        <v>136</v>
      </c>
    </row>
    <row r="637" spans="1:14">
      <c r="A637" s="24">
        <f t="shared" si="54"/>
        <v>192</v>
      </c>
      <c r="B637" s="66" t="s">
        <v>14</v>
      </c>
      <c r="C637" s="66" t="s">
        <v>886</v>
      </c>
      <c r="D637" s="66" t="s">
        <v>90</v>
      </c>
      <c r="E637" s="21">
        <f t="shared" ca="1" si="55"/>
        <v>40951</v>
      </c>
      <c r="F637" s="6">
        <f>DATE(62,7,9)</f>
        <v>22836</v>
      </c>
      <c r="G637" s="7">
        <f t="shared" ca="1" si="56"/>
        <v>50</v>
      </c>
      <c r="H637" s="7">
        <f t="shared" ca="1" si="57"/>
        <v>-5</v>
      </c>
      <c r="I637" s="8">
        <f t="shared" ca="1" si="58"/>
        <v>3</v>
      </c>
      <c r="J637" s="9">
        <f t="shared" ca="1" si="59"/>
        <v>49</v>
      </c>
      <c r="K637" s="7" t="s">
        <v>41</v>
      </c>
      <c r="L637" s="10">
        <v>100</v>
      </c>
      <c r="M637" s="24" t="s">
        <v>40</v>
      </c>
      <c r="N637">
        <v>137</v>
      </c>
    </row>
    <row r="638" spans="1:14">
      <c r="A638" s="25">
        <f t="shared" ref="A638:A701" si="60">A637+1</f>
        <v>193</v>
      </c>
      <c r="B638" s="67" t="s">
        <v>14</v>
      </c>
      <c r="C638" s="67" t="s">
        <v>433</v>
      </c>
      <c r="D638" s="67" t="s">
        <v>90</v>
      </c>
      <c r="E638" s="22">
        <f t="shared" ca="1" si="55"/>
        <v>40951</v>
      </c>
      <c r="F638" s="11">
        <f>DATE(86,12,31)</f>
        <v>31777</v>
      </c>
      <c r="G638" s="12">
        <f t="shared" ca="1" si="56"/>
        <v>26</v>
      </c>
      <c r="H638" s="12">
        <f t="shared" ca="1" si="57"/>
        <v>-10</v>
      </c>
      <c r="I638" s="13">
        <f t="shared" ca="1" si="58"/>
        <v>-19</v>
      </c>
      <c r="J638" s="14">
        <f t="shared" ca="1" si="59"/>
        <v>25</v>
      </c>
      <c r="K638" s="12" t="s">
        <v>41</v>
      </c>
      <c r="L638" s="15">
        <v>100</v>
      </c>
      <c r="M638" s="25" t="s">
        <v>44</v>
      </c>
      <c r="N638">
        <v>137</v>
      </c>
    </row>
    <row r="639" spans="1:14">
      <c r="A639" s="25">
        <f t="shared" si="60"/>
        <v>194</v>
      </c>
      <c r="B639" s="67" t="s">
        <v>14</v>
      </c>
      <c r="C639" s="67" t="s">
        <v>884</v>
      </c>
      <c r="D639" s="67" t="s">
        <v>237</v>
      </c>
      <c r="E639" s="22">
        <f t="shared" ca="1" si="55"/>
        <v>40951</v>
      </c>
      <c r="F639" s="32"/>
      <c r="G639" s="12">
        <f t="shared" ca="1" si="56"/>
        <v>112</v>
      </c>
      <c r="H639" s="12">
        <f t="shared" ca="1" si="57"/>
        <v>1</v>
      </c>
      <c r="I639" s="13">
        <f t="shared" ca="1" si="58"/>
        <v>12</v>
      </c>
      <c r="J639" s="14">
        <f t="shared" ca="1" si="59"/>
        <v>112</v>
      </c>
      <c r="K639" s="12" t="s">
        <v>41</v>
      </c>
      <c r="L639" s="15">
        <v>100</v>
      </c>
      <c r="M639" s="25" t="s">
        <v>40</v>
      </c>
      <c r="N639">
        <v>137</v>
      </c>
    </row>
    <row r="640" spans="1:14" ht="15.75" thickBot="1">
      <c r="A640" s="26">
        <f t="shared" si="60"/>
        <v>195</v>
      </c>
      <c r="B640" s="67" t="s">
        <v>14</v>
      </c>
      <c r="C640" s="68" t="s">
        <v>626</v>
      </c>
      <c r="D640" s="68" t="s">
        <v>429</v>
      </c>
      <c r="E640" s="23">
        <f t="shared" ca="1" si="55"/>
        <v>40951</v>
      </c>
      <c r="F640" s="33"/>
      <c r="G640" s="17">
        <f t="shared" ca="1" si="56"/>
        <v>112</v>
      </c>
      <c r="H640" s="17">
        <f t="shared" ca="1" si="57"/>
        <v>1</v>
      </c>
      <c r="I640" s="18">
        <f t="shared" ca="1" si="58"/>
        <v>12</v>
      </c>
      <c r="J640" s="19">
        <f t="shared" ca="1" si="59"/>
        <v>112</v>
      </c>
      <c r="K640" s="17" t="s">
        <v>41</v>
      </c>
      <c r="L640" s="20">
        <v>100</v>
      </c>
      <c r="M640" s="26" t="s">
        <v>40</v>
      </c>
      <c r="N640">
        <v>137</v>
      </c>
    </row>
    <row r="641" spans="1:14">
      <c r="A641" s="24">
        <f t="shared" si="60"/>
        <v>196</v>
      </c>
      <c r="B641" s="66" t="s">
        <v>16</v>
      </c>
      <c r="C641" s="66" t="s">
        <v>891</v>
      </c>
      <c r="D641" s="66" t="s">
        <v>889</v>
      </c>
      <c r="E641" s="21">
        <f t="shared" ref="E641:E704" ca="1" si="61">TODAY()</f>
        <v>40951</v>
      </c>
      <c r="F641" s="6">
        <f>DATE(34,12,27)</f>
        <v>12780</v>
      </c>
      <c r="G641" s="7">
        <f t="shared" ref="G641:G704" ca="1" si="62">YEAR(E641)-YEAR(F641)</f>
        <v>78</v>
      </c>
      <c r="H641" s="7">
        <f t="shared" ref="H641:H704" ca="1" si="63">MONTH(E641)-MONTH(F641)</f>
        <v>-10</v>
      </c>
      <c r="I641" s="8">
        <f t="shared" ref="I641:I704" ca="1" si="64">DAY(E641)-DAY(F641)</f>
        <v>-15</v>
      </c>
      <c r="J641" s="9">
        <f t="shared" ref="J641:J704" ca="1" si="65">IF(H641&lt;0,G641-1,IF(H641&gt;0,G641,IF(I641&lt;0,G641-1,G641)))</f>
        <v>77</v>
      </c>
      <c r="K641" s="7" t="s">
        <v>41</v>
      </c>
      <c r="L641" s="10">
        <v>101</v>
      </c>
      <c r="M641" s="24" t="s">
        <v>40</v>
      </c>
      <c r="N641">
        <v>138</v>
      </c>
    </row>
    <row r="642" spans="1:14">
      <c r="A642" s="25">
        <f t="shared" si="60"/>
        <v>197</v>
      </c>
      <c r="B642" s="67" t="s">
        <v>16</v>
      </c>
      <c r="C642" s="67" t="s">
        <v>464</v>
      </c>
      <c r="D642" s="67" t="s">
        <v>892</v>
      </c>
      <c r="E642" s="22">
        <f t="shared" ca="1" si="61"/>
        <v>40951</v>
      </c>
      <c r="F642" s="11">
        <f>DATE(60,12,7)</f>
        <v>22257</v>
      </c>
      <c r="G642" s="12">
        <f t="shared" ca="1" si="62"/>
        <v>52</v>
      </c>
      <c r="H642" s="12">
        <f t="shared" ca="1" si="63"/>
        <v>-10</v>
      </c>
      <c r="I642" s="13">
        <f t="shared" ca="1" si="64"/>
        <v>5</v>
      </c>
      <c r="J642" s="14">
        <f t="shared" ca="1" si="65"/>
        <v>51</v>
      </c>
      <c r="K642" s="12" t="s">
        <v>41</v>
      </c>
      <c r="L642" s="15">
        <v>101</v>
      </c>
      <c r="M642" s="25" t="s">
        <v>40</v>
      </c>
      <c r="N642">
        <v>138</v>
      </c>
    </row>
    <row r="643" spans="1:14">
      <c r="A643" s="25">
        <f t="shared" si="60"/>
        <v>198</v>
      </c>
      <c r="B643" s="67" t="s">
        <v>16</v>
      </c>
      <c r="C643" s="67" t="s">
        <v>774</v>
      </c>
      <c r="D643" s="67" t="s">
        <v>892</v>
      </c>
      <c r="E643" s="22">
        <f t="shared" ca="1" si="61"/>
        <v>40951</v>
      </c>
      <c r="F643" s="11">
        <f>DATE(89,5,19)</f>
        <v>32647</v>
      </c>
      <c r="G643" s="12">
        <f t="shared" ca="1" si="62"/>
        <v>23</v>
      </c>
      <c r="H643" s="12">
        <f t="shared" ca="1" si="63"/>
        <v>-3</v>
      </c>
      <c r="I643" s="13">
        <f t="shared" ca="1" si="64"/>
        <v>-7</v>
      </c>
      <c r="J643" s="14">
        <f t="shared" ca="1" si="65"/>
        <v>22</v>
      </c>
      <c r="K643" s="12" t="s">
        <v>41</v>
      </c>
      <c r="L643" s="15">
        <v>101</v>
      </c>
      <c r="M643" s="25" t="s">
        <v>44</v>
      </c>
      <c r="N643">
        <v>138</v>
      </c>
    </row>
    <row r="644" spans="1:14" ht="15.75" thickBot="1">
      <c r="A644" s="26">
        <f t="shared" si="60"/>
        <v>199</v>
      </c>
      <c r="B644" s="67" t="s">
        <v>17</v>
      </c>
      <c r="C644" s="68" t="s">
        <v>318</v>
      </c>
      <c r="D644" s="68" t="s">
        <v>665</v>
      </c>
      <c r="E644" s="23">
        <f t="shared" ca="1" si="61"/>
        <v>40951</v>
      </c>
      <c r="F644" s="16">
        <f>DATE(37,7,25)</f>
        <v>13721</v>
      </c>
      <c r="G644" s="17">
        <f t="shared" ca="1" si="62"/>
        <v>75</v>
      </c>
      <c r="H644" s="17">
        <f t="shared" ca="1" si="63"/>
        <v>-5</v>
      </c>
      <c r="I644" s="18">
        <f t="shared" ca="1" si="64"/>
        <v>-13</v>
      </c>
      <c r="J644" s="19">
        <f t="shared" ca="1" si="65"/>
        <v>74</v>
      </c>
      <c r="K644" s="17" t="s">
        <v>41</v>
      </c>
      <c r="L644" s="20">
        <v>102</v>
      </c>
      <c r="M644" s="26" t="s">
        <v>40</v>
      </c>
      <c r="N644">
        <v>138</v>
      </c>
    </row>
    <row r="645" spans="1:14">
      <c r="A645" s="24">
        <f t="shared" si="60"/>
        <v>200</v>
      </c>
      <c r="B645" s="66" t="s">
        <v>17</v>
      </c>
      <c r="C645" s="66" t="s">
        <v>626</v>
      </c>
      <c r="D645" s="66" t="s">
        <v>894</v>
      </c>
      <c r="E645" s="21">
        <f t="shared" ca="1" si="61"/>
        <v>40951</v>
      </c>
      <c r="F645" s="6">
        <f>DATE(72,4,8)</f>
        <v>26397</v>
      </c>
      <c r="G645" s="7">
        <f t="shared" ca="1" si="62"/>
        <v>40</v>
      </c>
      <c r="H645" s="7">
        <f t="shared" ca="1" si="63"/>
        <v>-2</v>
      </c>
      <c r="I645" s="8">
        <f t="shared" ca="1" si="64"/>
        <v>4</v>
      </c>
      <c r="J645" s="9">
        <f t="shared" ca="1" si="65"/>
        <v>39</v>
      </c>
      <c r="K645" s="7" t="s">
        <v>41</v>
      </c>
      <c r="L645" s="10">
        <v>102</v>
      </c>
      <c r="M645" s="24" t="s">
        <v>40</v>
      </c>
      <c r="N645">
        <v>139</v>
      </c>
    </row>
    <row r="646" spans="1:14">
      <c r="A646" s="25">
        <f t="shared" si="60"/>
        <v>201</v>
      </c>
      <c r="B646" s="67" t="s">
        <v>17</v>
      </c>
      <c r="C646" s="67" t="s">
        <v>896</v>
      </c>
      <c r="D646" s="67" t="s">
        <v>894</v>
      </c>
      <c r="E646" s="22">
        <f t="shared" ca="1" si="61"/>
        <v>40951</v>
      </c>
      <c r="F646" s="11">
        <f>DATE(2002,3,25)</f>
        <v>37340</v>
      </c>
      <c r="G646" s="12">
        <f t="shared" ca="1" si="62"/>
        <v>10</v>
      </c>
      <c r="H646" s="12">
        <f t="shared" ca="1" si="63"/>
        <v>-1</v>
      </c>
      <c r="I646" s="13">
        <f t="shared" ca="1" si="64"/>
        <v>-13</v>
      </c>
      <c r="J646" s="14">
        <f t="shared" ca="1" si="65"/>
        <v>9</v>
      </c>
      <c r="K646" s="12" t="s">
        <v>41</v>
      </c>
      <c r="L646" s="15">
        <v>102</v>
      </c>
      <c r="M646" s="25" t="s">
        <v>44</v>
      </c>
      <c r="N646">
        <v>139</v>
      </c>
    </row>
    <row r="647" spans="1:14">
      <c r="A647" s="25">
        <f t="shared" si="60"/>
        <v>202</v>
      </c>
      <c r="B647" s="67" t="s">
        <v>17</v>
      </c>
      <c r="C647" s="67" t="s">
        <v>397</v>
      </c>
      <c r="D647" s="67" t="s">
        <v>485</v>
      </c>
      <c r="E647" s="22">
        <f t="shared" ca="1" si="61"/>
        <v>40951</v>
      </c>
      <c r="F647" s="11">
        <f>DATE(76,9,10)</f>
        <v>28013</v>
      </c>
      <c r="G647" s="12">
        <f t="shared" ca="1" si="62"/>
        <v>36</v>
      </c>
      <c r="H647" s="12">
        <f t="shared" ca="1" si="63"/>
        <v>-7</v>
      </c>
      <c r="I647" s="13">
        <f t="shared" ca="1" si="64"/>
        <v>2</v>
      </c>
      <c r="J647" s="14">
        <f t="shared" ca="1" si="65"/>
        <v>35</v>
      </c>
      <c r="K647" s="12" t="s">
        <v>41</v>
      </c>
      <c r="L647" s="15">
        <v>102</v>
      </c>
      <c r="M647" s="25" t="s">
        <v>40</v>
      </c>
      <c r="N647">
        <v>139</v>
      </c>
    </row>
    <row r="648" spans="1:14">
      <c r="A648" s="25">
        <f t="shared" si="60"/>
        <v>203</v>
      </c>
      <c r="B648" s="67" t="s">
        <v>17</v>
      </c>
      <c r="C648" s="67" t="s">
        <v>847</v>
      </c>
      <c r="D648" s="67" t="s">
        <v>485</v>
      </c>
      <c r="E648" s="22">
        <f t="shared" ca="1" si="61"/>
        <v>40951</v>
      </c>
      <c r="F648" s="11">
        <f>DATE(2004,9,7)</f>
        <v>38237</v>
      </c>
      <c r="G648" s="12">
        <f t="shared" ca="1" si="62"/>
        <v>8</v>
      </c>
      <c r="H648" s="12">
        <f t="shared" ca="1" si="63"/>
        <v>-7</v>
      </c>
      <c r="I648" s="13">
        <f t="shared" ca="1" si="64"/>
        <v>5</v>
      </c>
      <c r="J648" s="14">
        <f t="shared" ca="1" si="65"/>
        <v>7</v>
      </c>
      <c r="K648" s="12" t="s">
        <v>41</v>
      </c>
      <c r="L648" s="15">
        <v>102</v>
      </c>
      <c r="M648" s="25" t="s">
        <v>44</v>
      </c>
      <c r="N648">
        <v>139</v>
      </c>
    </row>
    <row r="649" spans="1:14">
      <c r="A649" s="25">
        <f t="shared" si="60"/>
        <v>204</v>
      </c>
      <c r="B649" s="67" t="s">
        <v>17</v>
      </c>
      <c r="C649" s="67" t="s">
        <v>796</v>
      </c>
      <c r="D649" s="67" t="s">
        <v>435</v>
      </c>
      <c r="E649" s="22">
        <f t="shared" ca="1" si="61"/>
        <v>40951</v>
      </c>
      <c r="F649" s="11">
        <f>DATE(31,8,18)</f>
        <v>11553</v>
      </c>
      <c r="G649" s="12">
        <f t="shared" ca="1" si="62"/>
        <v>81</v>
      </c>
      <c r="H649" s="12">
        <f t="shared" ca="1" si="63"/>
        <v>-6</v>
      </c>
      <c r="I649" s="13">
        <f t="shared" ca="1" si="64"/>
        <v>-6</v>
      </c>
      <c r="J649" s="14">
        <f t="shared" ca="1" si="65"/>
        <v>80</v>
      </c>
      <c r="K649" s="12" t="s">
        <v>41</v>
      </c>
      <c r="L649" s="15">
        <v>102</v>
      </c>
      <c r="M649" s="25" t="s">
        <v>40</v>
      </c>
      <c r="N649">
        <v>139</v>
      </c>
    </row>
    <row r="650" spans="1:14" ht="15.75" thickBot="1">
      <c r="A650" s="26">
        <f t="shared" si="60"/>
        <v>205</v>
      </c>
      <c r="B650" s="67" t="s">
        <v>17</v>
      </c>
      <c r="C650" s="68" t="s">
        <v>805</v>
      </c>
      <c r="D650" s="68" t="s">
        <v>435</v>
      </c>
      <c r="E650" s="23">
        <f t="shared" ca="1" si="61"/>
        <v>40951</v>
      </c>
      <c r="F650" s="16">
        <f>DATE(61,11,19)</f>
        <v>22604</v>
      </c>
      <c r="G650" s="17">
        <f t="shared" ca="1" si="62"/>
        <v>51</v>
      </c>
      <c r="H650" s="17">
        <f t="shared" ca="1" si="63"/>
        <v>-9</v>
      </c>
      <c r="I650" s="18">
        <f t="shared" ca="1" si="64"/>
        <v>-7</v>
      </c>
      <c r="J650" s="19">
        <f t="shared" ca="1" si="65"/>
        <v>50</v>
      </c>
      <c r="K650" s="17" t="s">
        <v>41</v>
      </c>
      <c r="L650" s="20">
        <v>102</v>
      </c>
      <c r="M650" s="26" t="s">
        <v>40</v>
      </c>
      <c r="N650">
        <v>139</v>
      </c>
    </row>
    <row r="651" spans="1:14">
      <c r="A651" s="25">
        <f t="shared" si="60"/>
        <v>206</v>
      </c>
      <c r="B651" s="67" t="s">
        <v>17</v>
      </c>
      <c r="C651" s="67" t="s">
        <v>898</v>
      </c>
      <c r="D651" s="67" t="s">
        <v>435</v>
      </c>
      <c r="E651" s="22">
        <f t="shared" ca="1" si="61"/>
        <v>40951</v>
      </c>
      <c r="F651" s="11">
        <f>DATE(68,3,18)</f>
        <v>24915</v>
      </c>
      <c r="G651" s="12">
        <f t="shared" ca="1" si="62"/>
        <v>44</v>
      </c>
      <c r="H651" s="12">
        <f t="shared" ca="1" si="63"/>
        <v>-1</v>
      </c>
      <c r="I651" s="13">
        <f t="shared" ca="1" si="64"/>
        <v>-6</v>
      </c>
      <c r="J651" s="14">
        <f t="shared" ca="1" si="65"/>
        <v>43</v>
      </c>
      <c r="K651" s="12" t="s">
        <v>41</v>
      </c>
      <c r="L651" s="15">
        <v>102</v>
      </c>
      <c r="M651" s="25" t="s">
        <v>44</v>
      </c>
      <c r="N651">
        <v>140</v>
      </c>
    </row>
    <row r="652" spans="1:14">
      <c r="A652" s="25">
        <f t="shared" si="60"/>
        <v>207</v>
      </c>
      <c r="B652" s="67" t="s">
        <v>17</v>
      </c>
      <c r="C652" s="67" t="s">
        <v>344</v>
      </c>
      <c r="D652" s="67" t="s">
        <v>892</v>
      </c>
      <c r="E652" s="22">
        <f t="shared" ca="1" si="61"/>
        <v>40951</v>
      </c>
      <c r="F652" s="11">
        <f>DATE(76,4,26)</f>
        <v>27876</v>
      </c>
      <c r="G652" s="12">
        <f t="shared" ca="1" si="62"/>
        <v>36</v>
      </c>
      <c r="H652" s="12">
        <f t="shared" ca="1" si="63"/>
        <v>-2</v>
      </c>
      <c r="I652" s="13">
        <f t="shared" ca="1" si="64"/>
        <v>-14</v>
      </c>
      <c r="J652" s="14">
        <f t="shared" ca="1" si="65"/>
        <v>35</v>
      </c>
      <c r="K652" s="12" t="s">
        <v>41</v>
      </c>
      <c r="L652" s="15">
        <v>102</v>
      </c>
      <c r="M652" s="25" t="s">
        <v>40</v>
      </c>
      <c r="N652">
        <v>140</v>
      </c>
    </row>
    <row r="653" spans="1:14" ht="15.75" thickBot="1">
      <c r="A653" s="26">
        <f t="shared" si="60"/>
        <v>208</v>
      </c>
      <c r="B653" s="67" t="s">
        <v>17</v>
      </c>
      <c r="C653" s="68" t="s">
        <v>143</v>
      </c>
      <c r="D653" s="68" t="s">
        <v>483</v>
      </c>
      <c r="E653" s="23">
        <f t="shared" ca="1" si="61"/>
        <v>40951</v>
      </c>
      <c r="F653" s="16">
        <f>DATE(56,9,10)</f>
        <v>20708</v>
      </c>
      <c r="G653" s="17">
        <f t="shared" ca="1" si="62"/>
        <v>56</v>
      </c>
      <c r="H653" s="17">
        <f t="shared" ca="1" si="63"/>
        <v>-7</v>
      </c>
      <c r="I653" s="18">
        <f t="shared" ca="1" si="64"/>
        <v>2</v>
      </c>
      <c r="J653" s="19">
        <f t="shared" ca="1" si="65"/>
        <v>55</v>
      </c>
      <c r="K653" s="17" t="s">
        <v>41</v>
      </c>
      <c r="L653" s="20">
        <v>103</v>
      </c>
      <c r="M653" s="26" t="s">
        <v>40</v>
      </c>
      <c r="N653">
        <v>140</v>
      </c>
    </row>
    <row r="654" spans="1:14">
      <c r="A654" s="24">
        <f t="shared" si="60"/>
        <v>209</v>
      </c>
      <c r="B654" s="66" t="s">
        <v>17</v>
      </c>
      <c r="C654" s="66" t="s">
        <v>801</v>
      </c>
      <c r="D654" s="66" t="s">
        <v>483</v>
      </c>
      <c r="E654" s="21">
        <f t="shared" ca="1" si="61"/>
        <v>40951</v>
      </c>
      <c r="F654" s="6">
        <f>DATE(86,2,15)</f>
        <v>31458</v>
      </c>
      <c r="G654" s="7">
        <f t="shared" ca="1" si="62"/>
        <v>26</v>
      </c>
      <c r="H654" s="7">
        <f t="shared" ca="1" si="63"/>
        <v>0</v>
      </c>
      <c r="I654" s="8">
        <f t="shared" ca="1" si="64"/>
        <v>-3</v>
      </c>
      <c r="J654" s="9">
        <f t="shared" ca="1" si="65"/>
        <v>25</v>
      </c>
      <c r="K654" s="7" t="s">
        <v>41</v>
      </c>
      <c r="L654" s="10">
        <v>103</v>
      </c>
      <c r="M654" s="24" t="s">
        <v>44</v>
      </c>
      <c r="N654">
        <v>141</v>
      </c>
    </row>
    <row r="655" spans="1:14">
      <c r="A655" s="25">
        <f t="shared" si="60"/>
        <v>210</v>
      </c>
      <c r="B655" s="67" t="s">
        <v>17</v>
      </c>
      <c r="C655" s="67" t="s">
        <v>800</v>
      </c>
      <c r="D655" s="67" t="s">
        <v>208</v>
      </c>
      <c r="E655" s="22">
        <f t="shared" ca="1" si="61"/>
        <v>40951</v>
      </c>
      <c r="F655" s="11">
        <f>DATE(48,10,7)</f>
        <v>17813</v>
      </c>
      <c r="G655" s="12">
        <f t="shared" ca="1" si="62"/>
        <v>64</v>
      </c>
      <c r="H655" s="12">
        <f t="shared" ca="1" si="63"/>
        <v>-8</v>
      </c>
      <c r="I655" s="13">
        <f t="shared" ca="1" si="64"/>
        <v>5</v>
      </c>
      <c r="J655" s="14">
        <f t="shared" ca="1" si="65"/>
        <v>63</v>
      </c>
      <c r="K655" s="12" t="s">
        <v>41</v>
      </c>
      <c r="L655" s="15">
        <v>103</v>
      </c>
      <c r="M655" s="25" t="s">
        <v>40</v>
      </c>
      <c r="N655">
        <v>141</v>
      </c>
    </row>
    <row r="656" spans="1:14">
      <c r="A656" s="25">
        <f t="shared" si="60"/>
        <v>211</v>
      </c>
      <c r="B656" s="67" t="s">
        <v>17</v>
      </c>
      <c r="C656" s="67" t="s">
        <v>900</v>
      </c>
      <c r="D656" s="67" t="s">
        <v>208</v>
      </c>
      <c r="E656" s="22">
        <f t="shared" ca="1" si="61"/>
        <v>40951</v>
      </c>
      <c r="F656" s="11">
        <f>DATE(80,11,27)</f>
        <v>29552</v>
      </c>
      <c r="G656" s="12">
        <f t="shared" ca="1" si="62"/>
        <v>32</v>
      </c>
      <c r="H656" s="12">
        <f t="shared" ca="1" si="63"/>
        <v>-9</v>
      </c>
      <c r="I656" s="13">
        <f t="shared" ca="1" si="64"/>
        <v>-15</v>
      </c>
      <c r="J656" s="14">
        <f t="shared" ca="1" si="65"/>
        <v>31</v>
      </c>
      <c r="K656" s="12" t="s">
        <v>41</v>
      </c>
      <c r="L656" s="15">
        <v>103</v>
      </c>
      <c r="M656" s="25" t="s">
        <v>44</v>
      </c>
      <c r="N656">
        <v>141</v>
      </c>
    </row>
    <row r="657" spans="1:14">
      <c r="A657" s="25">
        <f t="shared" si="60"/>
        <v>212</v>
      </c>
      <c r="B657" s="67" t="s">
        <v>17</v>
      </c>
      <c r="C657" s="67" t="s">
        <v>901</v>
      </c>
      <c r="D657" s="67" t="s">
        <v>423</v>
      </c>
      <c r="E657" s="22">
        <f t="shared" ca="1" si="61"/>
        <v>40951</v>
      </c>
      <c r="F657" s="11">
        <f>DATE(47,2,19)</f>
        <v>17217</v>
      </c>
      <c r="G657" s="12">
        <f t="shared" ca="1" si="62"/>
        <v>65</v>
      </c>
      <c r="H657" s="12">
        <f t="shared" ca="1" si="63"/>
        <v>0</v>
      </c>
      <c r="I657" s="13">
        <f t="shared" ca="1" si="64"/>
        <v>-7</v>
      </c>
      <c r="J657" s="14">
        <f t="shared" ca="1" si="65"/>
        <v>64</v>
      </c>
      <c r="K657" s="12" t="s">
        <v>41</v>
      </c>
      <c r="L657" s="15">
        <v>104</v>
      </c>
      <c r="M657" s="25" t="s">
        <v>40</v>
      </c>
      <c r="N657">
        <v>141</v>
      </c>
    </row>
    <row r="658" spans="1:14">
      <c r="A658" s="25">
        <f t="shared" si="60"/>
        <v>213</v>
      </c>
      <c r="B658" s="67" t="s">
        <v>17</v>
      </c>
      <c r="C658" s="67" t="s">
        <v>62</v>
      </c>
      <c r="D658" s="67" t="s">
        <v>114</v>
      </c>
      <c r="E658" s="22">
        <f t="shared" ca="1" si="61"/>
        <v>40951</v>
      </c>
      <c r="F658" s="11">
        <f>DATE(66,12,26)</f>
        <v>24467</v>
      </c>
      <c r="G658" s="12">
        <f t="shared" ca="1" si="62"/>
        <v>46</v>
      </c>
      <c r="H658" s="12">
        <f t="shared" ca="1" si="63"/>
        <v>-10</v>
      </c>
      <c r="I658" s="13">
        <f t="shared" ca="1" si="64"/>
        <v>-14</v>
      </c>
      <c r="J658" s="14">
        <f t="shared" ca="1" si="65"/>
        <v>45</v>
      </c>
      <c r="K658" s="12" t="s">
        <v>41</v>
      </c>
      <c r="L658" s="15">
        <v>104</v>
      </c>
      <c r="M658" s="25" t="s">
        <v>40</v>
      </c>
      <c r="N658">
        <v>141</v>
      </c>
    </row>
    <row r="659" spans="1:14" ht="15.75" thickBot="1">
      <c r="A659" s="26">
        <f t="shared" si="60"/>
        <v>214</v>
      </c>
      <c r="B659" s="67" t="s">
        <v>17</v>
      </c>
      <c r="C659" s="68" t="s">
        <v>902</v>
      </c>
      <c r="D659" s="68" t="s">
        <v>114</v>
      </c>
      <c r="E659" s="23">
        <f t="shared" ca="1" si="61"/>
        <v>40951</v>
      </c>
      <c r="F659" s="16">
        <f>DATE(96,10,25)</f>
        <v>35363</v>
      </c>
      <c r="G659" s="17">
        <f t="shared" ca="1" si="62"/>
        <v>16</v>
      </c>
      <c r="H659" s="17">
        <f t="shared" ca="1" si="63"/>
        <v>-8</v>
      </c>
      <c r="I659" s="18">
        <f t="shared" ca="1" si="64"/>
        <v>-13</v>
      </c>
      <c r="J659" s="19">
        <f t="shared" ca="1" si="65"/>
        <v>15</v>
      </c>
      <c r="K659" s="17" t="s">
        <v>41</v>
      </c>
      <c r="L659" s="20">
        <v>104</v>
      </c>
      <c r="M659" s="26" t="s">
        <v>44</v>
      </c>
      <c r="N659">
        <v>141</v>
      </c>
    </row>
    <row r="660" spans="1:14">
      <c r="A660" s="24">
        <f t="shared" si="60"/>
        <v>215</v>
      </c>
      <c r="B660" s="66" t="s">
        <v>17</v>
      </c>
      <c r="C660" s="66" t="s">
        <v>826</v>
      </c>
      <c r="D660" s="66" t="s">
        <v>903</v>
      </c>
      <c r="E660" s="21">
        <f t="shared" ca="1" si="61"/>
        <v>40951</v>
      </c>
      <c r="F660" s="6">
        <f>DATE(78,3,9)</f>
        <v>28558</v>
      </c>
      <c r="G660" s="7">
        <f t="shared" ca="1" si="62"/>
        <v>34</v>
      </c>
      <c r="H660" s="7">
        <f t="shared" ca="1" si="63"/>
        <v>-1</v>
      </c>
      <c r="I660" s="8">
        <f t="shared" ca="1" si="64"/>
        <v>3</v>
      </c>
      <c r="J660" s="9">
        <f t="shared" ca="1" si="65"/>
        <v>33</v>
      </c>
      <c r="K660" s="7" t="s">
        <v>41</v>
      </c>
      <c r="L660" s="10">
        <v>104</v>
      </c>
      <c r="M660" s="24" t="s">
        <v>40</v>
      </c>
      <c r="N660">
        <v>142</v>
      </c>
    </row>
    <row r="661" spans="1:14">
      <c r="A661" s="25">
        <f t="shared" si="60"/>
        <v>216</v>
      </c>
      <c r="B661" s="67" t="s">
        <v>17</v>
      </c>
      <c r="C661" s="67" t="s">
        <v>904</v>
      </c>
      <c r="D661" s="67" t="s">
        <v>903</v>
      </c>
      <c r="E661" s="22">
        <f t="shared" ca="1" si="61"/>
        <v>40951</v>
      </c>
      <c r="F661" s="11">
        <f>DATE(2000,3,31)</f>
        <v>36616</v>
      </c>
      <c r="G661" s="12">
        <f t="shared" ca="1" si="62"/>
        <v>12</v>
      </c>
      <c r="H661" s="12">
        <f t="shared" ca="1" si="63"/>
        <v>-1</v>
      </c>
      <c r="I661" s="13">
        <f t="shared" ca="1" si="64"/>
        <v>-19</v>
      </c>
      <c r="J661" s="14">
        <f t="shared" ca="1" si="65"/>
        <v>11</v>
      </c>
      <c r="K661" s="12" t="s">
        <v>41</v>
      </c>
      <c r="L661" s="15">
        <v>104</v>
      </c>
      <c r="M661" s="25" t="s">
        <v>44</v>
      </c>
      <c r="N661">
        <v>142</v>
      </c>
    </row>
    <row r="662" spans="1:14">
      <c r="A662" s="25">
        <f t="shared" si="60"/>
        <v>217</v>
      </c>
      <c r="B662" s="67" t="s">
        <v>17</v>
      </c>
      <c r="C662" s="67" t="s">
        <v>402</v>
      </c>
      <c r="D662" s="67" t="s">
        <v>305</v>
      </c>
      <c r="E662" s="22">
        <f t="shared" ca="1" si="61"/>
        <v>40951</v>
      </c>
      <c r="F662" s="11">
        <f>DATE(79,2,8)</f>
        <v>28894</v>
      </c>
      <c r="G662" s="12">
        <f t="shared" ca="1" si="62"/>
        <v>33</v>
      </c>
      <c r="H662" s="12">
        <f t="shared" ca="1" si="63"/>
        <v>0</v>
      </c>
      <c r="I662" s="13">
        <f t="shared" ca="1" si="64"/>
        <v>4</v>
      </c>
      <c r="J662" s="14">
        <f t="shared" ca="1" si="65"/>
        <v>33</v>
      </c>
      <c r="K662" s="12" t="s">
        <v>41</v>
      </c>
      <c r="L662" s="15">
        <v>104</v>
      </c>
      <c r="M662" s="25" t="s">
        <v>40</v>
      </c>
      <c r="N662">
        <v>142</v>
      </c>
    </row>
    <row r="663" spans="1:14" ht="15.75" thickBot="1">
      <c r="A663" s="26">
        <f t="shared" si="60"/>
        <v>218</v>
      </c>
      <c r="B663" s="67" t="s">
        <v>17</v>
      </c>
      <c r="C663" s="68" t="s">
        <v>906</v>
      </c>
      <c r="D663" s="68" t="s">
        <v>305</v>
      </c>
      <c r="E663" s="23">
        <f t="shared" ca="1" si="61"/>
        <v>40951</v>
      </c>
      <c r="F663" s="16">
        <f>DATE(2002,5,27)</f>
        <v>37403</v>
      </c>
      <c r="G663" s="17">
        <f t="shared" ca="1" si="62"/>
        <v>10</v>
      </c>
      <c r="H663" s="17">
        <f t="shared" ca="1" si="63"/>
        <v>-3</v>
      </c>
      <c r="I663" s="18">
        <f t="shared" ca="1" si="64"/>
        <v>-15</v>
      </c>
      <c r="J663" s="19">
        <f t="shared" ca="1" si="65"/>
        <v>9</v>
      </c>
      <c r="K663" s="17" t="s">
        <v>41</v>
      </c>
      <c r="L663" s="20">
        <v>104</v>
      </c>
      <c r="M663" s="26" t="s">
        <v>44</v>
      </c>
      <c r="N663">
        <v>142</v>
      </c>
    </row>
    <row r="664" spans="1:14">
      <c r="A664" s="25">
        <f t="shared" si="60"/>
        <v>219</v>
      </c>
      <c r="B664" s="67" t="s">
        <v>17</v>
      </c>
      <c r="C664" s="67" t="s">
        <v>908</v>
      </c>
      <c r="D664" s="67" t="s">
        <v>452</v>
      </c>
      <c r="E664" s="22">
        <f t="shared" ca="1" si="61"/>
        <v>40951</v>
      </c>
      <c r="F664" s="11">
        <f>DATE(75,7,12)</f>
        <v>27587</v>
      </c>
      <c r="G664" s="12">
        <f t="shared" ca="1" si="62"/>
        <v>37</v>
      </c>
      <c r="H664" s="12">
        <f t="shared" ca="1" si="63"/>
        <v>-5</v>
      </c>
      <c r="I664" s="13">
        <f t="shared" ca="1" si="64"/>
        <v>0</v>
      </c>
      <c r="J664" s="14">
        <f t="shared" ca="1" si="65"/>
        <v>36</v>
      </c>
      <c r="K664" s="12" t="s">
        <v>41</v>
      </c>
      <c r="L664" s="15">
        <v>104</v>
      </c>
      <c r="M664" s="25" t="s">
        <v>40</v>
      </c>
      <c r="N664">
        <v>143</v>
      </c>
    </row>
    <row r="665" spans="1:14">
      <c r="A665" s="25">
        <f t="shared" si="60"/>
        <v>220</v>
      </c>
      <c r="B665" s="67" t="s">
        <v>17</v>
      </c>
      <c r="C665" s="67" t="s">
        <v>68</v>
      </c>
      <c r="D665" s="67" t="s">
        <v>910</v>
      </c>
      <c r="E665" s="22">
        <f t="shared" ca="1" si="61"/>
        <v>40951</v>
      </c>
      <c r="F665" s="11">
        <f>DATE(64,9,13)</f>
        <v>23633</v>
      </c>
      <c r="G665" s="12">
        <f t="shared" ca="1" si="62"/>
        <v>48</v>
      </c>
      <c r="H665" s="12">
        <f t="shared" ca="1" si="63"/>
        <v>-7</v>
      </c>
      <c r="I665" s="13">
        <f t="shared" ca="1" si="64"/>
        <v>-1</v>
      </c>
      <c r="J665" s="14">
        <f t="shared" ca="1" si="65"/>
        <v>47</v>
      </c>
      <c r="K665" s="12" t="s">
        <v>41</v>
      </c>
      <c r="L665" s="15">
        <v>105</v>
      </c>
      <c r="M665" s="25" t="s">
        <v>40</v>
      </c>
      <c r="N665">
        <v>143</v>
      </c>
    </row>
    <row r="666" spans="1:14">
      <c r="A666" s="25">
        <f t="shared" si="60"/>
        <v>221</v>
      </c>
      <c r="B666" s="67" t="s">
        <v>17</v>
      </c>
      <c r="C666" s="67" t="s">
        <v>430</v>
      </c>
      <c r="D666" s="67" t="s">
        <v>623</v>
      </c>
      <c r="E666" s="22">
        <f t="shared" ca="1" si="61"/>
        <v>40951</v>
      </c>
      <c r="F666" s="11">
        <f>DATE(51,7,13)</f>
        <v>18822</v>
      </c>
      <c r="G666" s="12">
        <f t="shared" ca="1" si="62"/>
        <v>61</v>
      </c>
      <c r="H666" s="12">
        <f t="shared" ca="1" si="63"/>
        <v>-5</v>
      </c>
      <c r="I666" s="13">
        <f t="shared" ca="1" si="64"/>
        <v>-1</v>
      </c>
      <c r="J666" s="14">
        <f t="shared" ca="1" si="65"/>
        <v>60</v>
      </c>
      <c r="K666" s="12" t="s">
        <v>41</v>
      </c>
      <c r="L666" s="15">
        <v>105</v>
      </c>
      <c r="M666" s="25" t="s">
        <v>40</v>
      </c>
      <c r="N666">
        <v>143</v>
      </c>
    </row>
    <row r="667" spans="1:14">
      <c r="A667" s="25">
        <f t="shared" si="60"/>
        <v>222</v>
      </c>
      <c r="B667" s="67" t="s">
        <v>17</v>
      </c>
      <c r="C667" s="67" t="s">
        <v>368</v>
      </c>
      <c r="D667" s="67" t="s">
        <v>623</v>
      </c>
      <c r="E667" s="22">
        <f t="shared" ca="1" si="61"/>
        <v>40951</v>
      </c>
      <c r="F667" s="11">
        <f>DATE(68,12,9)</f>
        <v>25181</v>
      </c>
      <c r="G667" s="12">
        <f t="shared" ca="1" si="62"/>
        <v>44</v>
      </c>
      <c r="H667" s="12">
        <f t="shared" ca="1" si="63"/>
        <v>-10</v>
      </c>
      <c r="I667" s="13">
        <f t="shared" ca="1" si="64"/>
        <v>3</v>
      </c>
      <c r="J667" s="14">
        <f t="shared" ca="1" si="65"/>
        <v>43</v>
      </c>
      <c r="K667" s="12" t="s">
        <v>41</v>
      </c>
      <c r="L667" s="15">
        <v>105</v>
      </c>
      <c r="M667" s="25" t="s">
        <v>44</v>
      </c>
      <c r="N667">
        <v>143</v>
      </c>
    </row>
    <row r="668" spans="1:14">
      <c r="A668" s="25">
        <f t="shared" si="60"/>
        <v>223</v>
      </c>
      <c r="B668" s="67" t="s">
        <v>17</v>
      </c>
      <c r="C668" s="67" t="s">
        <v>192</v>
      </c>
      <c r="D668" s="67" t="s">
        <v>913</v>
      </c>
      <c r="E668" s="22">
        <f t="shared" ca="1" si="61"/>
        <v>40951</v>
      </c>
      <c r="F668" s="11">
        <f>DATE(80,11,26)</f>
        <v>29551</v>
      </c>
      <c r="G668" s="12">
        <f t="shared" ca="1" si="62"/>
        <v>32</v>
      </c>
      <c r="H668" s="12">
        <f t="shared" ca="1" si="63"/>
        <v>-9</v>
      </c>
      <c r="I668" s="13">
        <f t="shared" ca="1" si="64"/>
        <v>-14</v>
      </c>
      <c r="J668" s="14">
        <f t="shared" ca="1" si="65"/>
        <v>31</v>
      </c>
      <c r="K668" s="12" t="s">
        <v>41</v>
      </c>
      <c r="L668" s="15">
        <v>105</v>
      </c>
      <c r="M668" s="25" t="s">
        <v>40</v>
      </c>
      <c r="N668">
        <v>143</v>
      </c>
    </row>
    <row r="669" spans="1:14">
      <c r="A669" s="25">
        <f t="shared" si="60"/>
        <v>224</v>
      </c>
      <c r="B669" s="67" t="s">
        <v>17</v>
      </c>
      <c r="C669" s="67" t="s">
        <v>451</v>
      </c>
      <c r="D669" s="67" t="s">
        <v>914</v>
      </c>
      <c r="E669" s="22">
        <f t="shared" ca="1" si="61"/>
        <v>40951</v>
      </c>
      <c r="F669" s="11">
        <f>DATE(46,7,21)</f>
        <v>17004</v>
      </c>
      <c r="G669" s="12">
        <f t="shared" ca="1" si="62"/>
        <v>66</v>
      </c>
      <c r="H669" s="12">
        <f t="shared" ca="1" si="63"/>
        <v>-5</v>
      </c>
      <c r="I669" s="13">
        <f t="shared" ca="1" si="64"/>
        <v>-9</v>
      </c>
      <c r="J669" s="14">
        <f t="shared" ca="1" si="65"/>
        <v>65</v>
      </c>
      <c r="K669" s="12" t="s">
        <v>41</v>
      </c>
      <c r="L669" s="15">
        <v>105</v>
      </c>
      <c r="M669" s="25" t="s">
        <v>40</v>
      </c>
      <c r="N669">
        <v>143</v>
      </c>
    </row>
    <row r="670" spans="1:14" ht="15.75" thickBot="1">
      <c r="A670" s="26">
        <f t="shared" si="60"/>
        <v>225</v>
      </c>
      <c r="B670" s="67" t="s">
        <v>17</v>
      </c>
      <c r="C670" s="68" t="s">
        <v>915</v>
      </c>
      <c r="D670" s="68" t="s">
        <v>748</v>
      </c>
      <c r="E670" s="23">
        <f t="shared" ca="1" si="61"/>
        <v>40951</v>
      </c>
      <c r="F670" s="16">
        <f>DATE(74,9,14)</f>
        <v>27286</v>
      </c>
      <c r="G670" s="17">
        <f t="shared" ca="1" si="62"/>
        <v>38</v>
      </c>
      <c r="H670" s="17">
        <f t="shared" ca="1" si="63"/>
        <v>-7</v>
      </c>
      <c r="I670" s="18">
        <f t="shared" ca="1" si="64"/>
        <v>-2</v>
      </c>
      <c r="J670" s="19">
        <f t="shared" ca="1" si="65"/>
        <v>37</v>
      </c>
      <c r="K670" s="17" t="s">
        <v>41</v>
      </c>
      <c r="L670" s="20">
        <v>105</v>
      </c>
      <c r="M670" s="26" t="s">
        <v>40</v>
      </c>
      <c r="N670">
        <v>143</v>
      </c>
    </row>
    <row r="671" spans="1:14">
      <c r="A671" s="24">
        <f t="shared" si="60"/>
        <v>226</v>
      </c>
      <c r="B671" s="66" t="s">
        <v>17</v>
      </c>
      <c r="C671" s="66" t="s">
        <v>774</v>
      </c>
      <c r="D671" s="66" t="s">
        <v>748</v>
      </c>
      <c r="E671" s="21">
        <f t="shared" ca="1" si="61"/>
        <v>40951</v>
      </c>
      <c r="F671" s="6">
        <f>DATE(98,7,30)</f>
        <v>36006</v>
      </c>
      <c r="G671" s="7">
        <f t="shared" ca="1" si="62"/>
        <v>14</v>
      </c>
      <c r="H671" s="7">
        <f t="shared" ca="1" si="63"/>
        <v>-5</v>
      </c>
      <c r="I671" s="8">
        <f t="shared" ca="1" si="64"/>
        <v>-18</v>
      </c>
      <c r="J671" s="9">
        <f t="shared" ca="1" si="65"/>
        <v>13</v>
      </c>
      <c r="K671" s="7" t="s">
        <v>41</v>
      </c>
      <c r="L671" s="10">
        <v>105</v>
      </c>
      <c r="M671" s="24" t="s">
        <v>44</v>
      </c>
      <c r="N671">
        <v>144</v>
      </c>
    </row>
    <row r="672" spans="1:14">
      <c r="A672" s="25">
        <f t="shared" si="60"/>
        <v>227</v>
      </c>
      <c r="B672" s="67" t="s">
        <v>17</v>
      </c>
      <c r="C672" s="67" t="s">
        <v>303</v>
      </c>
      <c r="D672" s="67" t="s">
        <v>748</v>
      </c>
      <c r="E672" s="22">
        <f t="shared" ca="1" si="61"/>
        <v>40951</v>
      </c>
      <c r="F672" s="11">
        <f>DATE(2001,12,28)</f>
        <v>37253</v>
      </c>
      <c r="G672" s="12">
        <f t="shared" ca="1" si="62"/>
        <v>11</v>
      </c>
      <c r="H672" s="12">
        <f t="shared" ca="1" si="63"/>
        <v>-10</v>
      </c>
      <c r="I672" s="13">
        <f t="shared" ca="1" si="64"/>
        <v>-16</v>
      </c>
      <c r="J672" s="14">
        <f t="shared" ca="1" si="65"/>
        <v>10</v>
      </c>
      <c r="K672" s="12" t="s">
        <v>41</v>
      </c>
      <c r="L672" s="15">
        <v>105</v>
      </c>
      <c r="M672" s="25" t="s">
        <v>44</v>
      </c>
      <c r="N672">
        <v>144</v>
      </c>
    </row>
    <row r="673" spans="1:14">
      <c r="A673" s="25">
        <f t="shared" si="60"/>
        <v>228</v>
      </c>
      <c r="B673" s="67" t="s">
        <v>17</v>
      </c>
      <c r="C673" s="67" t="s">
        <v>917</v>
      </c>
      <c r="D673" s="67" t="s">
        <v>610</v>
      </c>
      <c r="E673" s="22">
        <f t="shared" ca="1" si="61"/>
        <v>40951</v>
      </c>
      <c r="F673" s="11">
        <f>DATE(69,9,16)</f>
        <v>25462</v>
      </c>
      <c r="G673" s="12">
        <f t="shared" ca="1" si="62"/>
        <v>43</v>
      </c>
      <c r="H673" s="12">
        <f t="shared" ca="1" si="63"/>
        <v>-7</v>
      </c>
      <c r="I673" s="13">
        <f t="shared" ca="1" si="64"/>
        <v>-4</v>
      </c>
      <c r="J673" s="14">
        <f t="shared" ca="1" si="65"/>
        <v>42</v>
      </c>
      <c r="K673" s="12" t="s">
        <v>41</v>
      </c>
      <c r="L673" s="15">
        <v>106</v>
      </c>
      <c r="M673" s="25" t="s">
        <v>40</v>
      </c>
      <c r="N673">
        <v>144</v>
      </c>
    </row>
    <row r="674" spans="1:14" ht="15.75" thickBot="1">
      <c r="A674" s="26">
        <f t="shared" si="60"/>
        <v>229</v>
      </c>
      <c r="B674" s="67" t="s">
        <v>17</v>
      </c>
      <c r="C674" s="68" t="s">
        <v>73</v>
      </c>
      <c r="D674" s="68" t="s">
        <v>610</v>
      </c>
      <c r="E674" s="23">
        <f t="shared" ca="1" si="61"/>
        <v>40951</v>
      </c>
      <c r="F674" s="16">
        <f>DATE(93,12,13)</f>
        <v>34316</v>
      </c>
      <c r="G674" s="17">
        <f t="shared" ca="1" si="62"/>
        <v>19</v>
      </c>
      <c r="H674" s="17">
        <f t="shared" ca="1" si="63"/>
        <v>-10</v>
      </c>
      <c r="I674" s="18">
        <f t="shared" ca="1" si="64"/>
        <v>-1</v>
      </c>
      <c r="J674" s="19">
        <f t="shared" ca="1" si="65"/>
        <v>18</v>
      </c>
      <c r="K674" s="17" t="s">
        <v>41</v>
      </c>
      <c r="L674" s="20">
        <v>106</v>
      </c>
      <c r="M674" s="26" t="s">
        <v>44</v>
      </c>
      <c r="N674">
        <v>144</v>
      </c>
    </row>
    <row r="675" spans="1:14">
      <c r="A675" s="24">
        <f t="shared" si="60"/>
        <v>230</v>
      </c>
      <c r="B675" s="66" t="s">
        <v>17</v>
      </c>
      <c r="C675" s="66" t="s">
        <v>111</v>
      </c>
      <c r="D675" s="66" t="s">
        <v>918</v>
      </c>
      <c r="E675" s="21">
        <f t="shared" ca="1" si="61"/>
        <v>40951</v>
      </c>
      <c r="F675" s="6">
        <f>DATE(48,10,8)</f>
        <v>17814</v>
      </c>
      <c r="G675" s="7">
        <f t="shared" ca="1" si="62"/>
        <v>64</v>
      </c>
      <c r="H675" s="7">
        <f t="shared" ca="1" si="63"/>
        <v>-8</v>
      </c>
      <c r="I675" s="8">
        <f t="shared" ca="1" si="64"/>
        <v>4</v>
      </c>
      <c r="J675" s="9">
        <f t="shared" ca="1" si="65"/>
        <v>63</v>
      </c>
      <c r="K675" s="7" t="s">
        <v>41</v>
      </c>
      <c r="L675" s="10">
        <v>106</v>
      </c>
      <c r="M675" s="24" t="s">
        <v>40</v>
      </c>
      <c r="N675">
        <v>145</v>
      </c>
    </row>
    <row r="676" spans="1:14">
      <c r="A676" s="25">
        <f t="shared" si="60"/>
        <v>231</v>
      </c>
      <c r="B676" s="67" t="s">
        <v>17</v>
      </c>
      <c r="C676" s="67" t="s">
        <v>919</v>
      </c>
      <c r="D676" s="67" t="s">
        <v>918</v>
      </c>
      <c r="E676" s="22">
        <f t="shared" ca="1" si="61"/>
        <v>40951</v>
      </c>
      <c r="F676" s="11">
        <f>DATE(78,2,23)</f>
        <v>28544</v>
      </c>
      <c r="G676" s="12">
        <f t="shared" ca="1" si="62"/>
        <v>34</v>
      </c>
      <c r="H676" s="12">
        <f t="shared" ca="1" si="63"/>
        <v>0</v>
      </c>
      <c r="I676" s="13">
        <f t="shared" ca="1" si="64"/>
        <v>-11</v>
      </c>
      <c r="J676" s="14">
        <f t="shared" ca="1" si="65"/>
        <v>33</v>
      </c>
      <c r="K676" s="12" t="s">
        <v>41</v>
      </c>
      <c r="L676" s="15">
        <v>106</v>
      </c>
      <c r="M676" s="25" t="s">
        <v>44</v>
      </c>
      <c r="N676">
        <v>145</v>
      </c>
    </row>
    <row r="677" spans="1:14" ht="15.75" thickBot="1">
      <c r="A677" s="26">
        <f t="shared" si="60"/>
        <v>232</v>
      </c>
      <c r="B677" s="67" t="s">
        <v>17</v>
      </c>
      <c r="C677" s="68" t="s">
        <v>920</v>
      </c>
      <c r="D677" s="68" t="s">
        <v>918</v>
      </c>
      <c r="E677" s="23">
        <f t="shared" ca="1" si="61"/>
        <v>40951</v>
      </c>
      <c r="F677" s="16">
        <f>DATE(85,1,22)</f>
        <v>31069</v>
      </c>
      <c r="G677" s="17">
        <f t="shared" ca="1" si="62"/>
        <v>27</v>
      </c>
      <c r="H677" s="17">
        <f t="shared" ca="1" si="63"/>
        <v>1</v>
      </c>
      <c r="I677" s="18">
        <f t="shared" ca="1" si="64"/>
        <v>-10</v>
      </c>
      <c r="J677" s="19">
        <f t="shared" ca="1" si="65"/>
        <v>27</v>
      </c>
      <c r="K677" s="17" t="s">
        <v>41</v>
      </c>
      <c r="L677" s="20">
        <v>106</v>
      </c>
      <c r="M677" s="26" t="s">
        <v>44</v>
      </c>
      <c r="N677">
        <v>145</v>
      </c>
    </row>
    <row r="678" spans="1:14">
      <c r="A678" s="25">
        <f t="shared" si="60"/>
        <v>233</v>
      </c>
      <c r="B678" s="67" t="s">
        <v>17</v>
      </c>
      <c r="C678" s="67" t="s">
        <v>565</v>
      </c>
      <c r="D678" s="67" t="s">
        <v>918</v>
      </c>
      <c r="E678" s="22">
        <f t="shared" ca="1" si="61"/>
        <v>40951</v>
      </c>
      <c r="F678" s="11">
        <f>DATE(78,9,10)</f>
        <v>28743</v>
      </c>
      <c r="G678" s="12">
        <f t="shared" ca="1" si="62"/>
        <v>34</v>
      </c>
      <c r="H678" s="12">
        <f t="shared" ca="1" si="63"/>
        <v>-7</v>
      </c>
      <c r="I678" s="13">
        <f t="shared" ca="1" si="64"/>
        <v>2</v>
      </c>
      <c r="J678" s="14">
        <f t="shared" ca="1" si="65"/>
        <v>33</v>
      </c>
      <c r="K678" s="12" t="s">
        <v>41</v>
      </c>
      <c r="L678" s="15">
        <v>106</v>
      </c>
      <c r="M678" s="25" t="s">
        <v>44</v>
      </c>
      <c r="N678">
        <v>146</v>
      </c>
    </row>
    <row r="679" spans="1:14">
      <c r="A679" s="25">
        <f t="shared" si="60"/>
        <v>234</v>
      </c>
      <c r="B679" s="67" t="s">
        <v>17</v>
      </c>
      <c r="C679" s="67" t="s">
        <v>921</v>
      </c>
      <c r="D679" s="67" t="s">
        <v>899</v>
      </c>
      <c r="E679" s="22">
        <f t="shared" ca="1" si="61"/>
        <v>40951</v>
      </c>
      <c r="F679" s="11">
        <f>DATE(40,2,15)</f>
        <v>14656</v>
      </c>
      <c r="G679" s="12">
        <f t="shared" ca="1" si="62"/>
        <v>72</v>
      </c>
      <c r="H679" s="12">
        <f t="shared" ca="1" si="63"/>
        <v>0</v>
      </c>
      <c r="I679" s="13">
        <f t="shared" ca="1" si="64"/>
        <v>-3</v>
      </c>
      <c r="J679" s="14">
        <f t="shared" ca="1" si="65"/>
        <v>71</v>
      </c>
      <c r="K679" s="12" t="s">
        <v>41</v>
      </c>
      <c r="L679" s="15">
        <v>106</v>
      </c>
      <c r="M679" s="25" t="s">
        <v>40</v>
      </c>
      <c r="N679">
        <v>146</v>
      </c>
    </row>
    <row r="680" spans="1:14">
      <c r="A680" s="25">
        <f t="shared" si="60"/>
        <v>235</v>
      </c>
      <c r="B680" s="67" t="s">
        <v>17</v>
      </c>
      <c r="C680" s="67" t="s">
        <v>800</v>
      </c>
      <c r="D680" s="67" t="s">
        <v>181</v>
      </c>
      <c r="E680" s="22">
        <f t="shared" ca="1" si="61"/>
        <v>40951</v>
      </c>
      <c r="F680" s="11">
        <f>DATE(68,2,10)</f>
        <v>24878</v>
      </c>
      <c r="G680" s="12">
        <f t="shared" ca="1" si="62"/>
        <v>44</v>
      </c>
      <c r="H680" s="12">
        <f t="shared" ca="1" si="63"/>
        <v>0</v>
      </c>
      <c r="I680" s="13">
        <f t="shared" ca="1" si="64"/>
        <v>2</v>
      </c>
      <c r="J680" s="14">
        <f t="shared" ca="1" si="65"/>
        <v>44</v>
      </c>
      <c r="K680" s="12" t="s">
        <v>41</v>
      </c>
      <c r="L680" s="15">
        <v>106</v>
      </c>
      <c r="M680" s="25" t="s">
        <v>40</v>
      </c>
      <c r="N680">
        <v>146</v>
      </c>
    </row>
    <row r="681" spans="1:14">
      <c r="A681" s="25">
        <f t="shared" si="60"/>
        <v>236</v>
      </c>
      <c r="B681" s="67" t="s">
        <v>17</v>
      </c>
      <c r="C681" s="67" t="s">
        <v>924</v>
      </c>
      <c r="D681" s="67" t="s">
        <v>922</v>
      </c>
      <c r="E681" s="22">
        <f t="shared" ca="1" si="61"/>
        <v>40951</v>
      </c>
      <c r="F681" s="11">
        <f>DATE(66,4,15)</f>
        <v>24212</v>
      </c>
      <c r="G681" s="12">
        <f t="shared" ca="1" si="62"/>
        <v>46</v>
      </c>
      <c r="H681" s="12">
        <f t="shared" ca="1" si="63"/>
        <v>-2</v>
      </c>
      <c r="I681" s="13">
        <f t="shared" ca="1" si="64"/>
        <v>-3</v>
      </c>
      <c r="J681" s="14">
        <f t="shared" ca="1" si="65"/>
        <v>45</v>
      </c>
      <c r="K681" s="12" t="s">
        <v>41</v>
      </c>
      <c r="L681" s="15">
        <v>107</v>
      </c>
      <c r="M681" s="25" t="s">
        <v>40</v>
      </c>
      <c r="N681">
        <v>146</v>
      </c>
    </row>
    <row r="682" spans="1:14" ht="15.75" thickBot="1">
      <c r="A682" s="26">
        <f t="shared" si="60"/>
        <v>237</v>
      </c>
      <c r="B682" s="67" t="s">
        <v>17</v>
      </c>
      <c r="C682" s="68" t="s">
        <v>925</v>
      </c>
      <c r="D682" s="68" t="s">
        <v>109</v>
      </c>
      <c r="E682" s="23">
        <f t="shared" ca="1" si="61"/>
        <v>40951</v>
      </c>
      <c r="F682" s="16">
        <f>DATE(59,7,14)</f>
        <v>21745</v>
      </c>
      <c r="G682" s="17">
        <f t="shared" ca="1" si="62"/>
        <v>53</v>
      </c>
      <c r="H682" s="17">
        <f t="shared" ca="1" si="63"/>
        <v>-5</v>
      </c>
      <c r="I682" s="18">
        <f t="shared" ca="1" si="64"/>
        <v>-2</v>
      </c>
      <c r="J682" s="19">
        <f t="shared" ca="1" si="65"/>
        <v>52</v>
      </c>
      <c r="K682" s="17" t="s">
        <v>41</v>
      </c>
      <c r="L682" s="20">
        <v>107</v>
      </c>
      <c r="M682" s="26" t="s">
        <v>40</v>
      </c>
      <c r="N682">
        <v>146</v>
      </c>
    </row>
    <row r="683" spans="1:14">
      <c r="A683" s="24">
        <f t="shared" si="60"/>
        <v>238</v>
      </c>
      <c r="B683" s="66" t="s">
        <v>17</v>
      </c>
      <c r="C683" s="66" t="s">
        <v>125</v>
      </c>
      <c r="D683" s="66" t="s">
        <v>109</v>
      </c>
      <c r="E683" s="21">
        <f t="shared" ca="1" si="61"/>
        <v>40951</v>
      </c>
      <c r="F683" s="6">
        <f>DATE(85,9,19)</f>
        <v>31309</v>
      </c>
      <c r="G683" s="7">
        <f t="shared" ca="1" si="62"/>
        <v>27</v>
      </c>
      <c r="H683" s="7">
        <f t="shared" ca="1" si="63"/>
        <v>-7</v>
      </c>
      <c r="I683" s="8">
        <f t="shared" ca="1" si="64"/>
        <v>-7</v>
      </c>
      <c r="J683" s="9">
        <f t="shared" ca="1" si="65"/>
        <v>26</v>
      </c>
      <c r="K683" s="7" t="s">
        <v>41</v>
      </c>
      <c r="L683" s="10">
        <v>107</v>
      </c>
      <c r="M683" s="24" t="s">
        <v>44</v>
      </c>
      <c r="N683">
        <v>147</v>
      </c>
    </row>
    <row r="684" spans="1:14">
      <c r="A684" s="25">
        <f t="shared" si="60"/>
        <v>239</v>
      </c>
      <c r="B684" s="67" t="s">
        <v>17</v>
      </c>
      <c r="C684" s="67" t="s">
        <v>926</v>
      </c>
      <c r="D684" s="67" t="s">
        <v>266</v>
      </c>
      <c r="E684" s="22">
        <f t="shared" ca="1" si="61"/>
        <v>40951</v>
      </c>
      <c r="F684" s="11">
        <f>DATE(54,5,25)</f>
        <v>19869</v>
      </c>
      <c r="G684" s="12">
        <f t="shared" ca="1" si="62"/>
        <v>58</v>
      </c>
      <c r="H684" s="12">
        <f t="shared" ca="1" si="63"/>
        <v>-3</v>
      </c>
      <c r="I684" s="13">
        <f t="shared" ca="1" si="64"/>
        <v>-13</v>
      </c>
      <c r="J684" s="14">
        <f t="shared" ca="1" si="65"/>
        <v>57</v>
      </c>
      <c r="K684" s="12" t="s">
        <v>41</v>
      </c>
      <c r="L684" s="15">
        <v>107</v>
      </c>
      <c r="M684" s="25" t="s">
        <v>40</v>
      </c>
      <c r="N684">
        <v>147</v>
      </c>
    </row>
    <row r="685" spans="1:14">
      <c r="A685" s="25">
        <f t="shared" si="60"/>
        <v>240</v>
      </c>
      <c r="B685" s="67" t="s">
        <v>17</v>
      </c>
      <c r="C685" s="67" t="s">
        <v>165</v>
      </c>
      <c r="D685" s="67" t="s">
        <v>305</v>
      </c>
      <c r="E685" s="22">
        <f t="shared" ca="1" si="61"/>
        <v>40951</v>
      </c>
      <c r="F685" s="11">
        <f>DATE(82,2,27)</f>
        <v>30009</v>
      </c>
      <c r="G685" s="12">
        <f t="shared" ca="1" si="62"/>
        <v>30</v>
      </c>
      <c r="H685" s="12">
        <f t="shared" ca="1" si="63"/>
        <v>0</v>
      </c>
      <c r="I685" s="13">
        <f t="shared" ca="1" si="64"/>
        <v>-15</v>
      </c>
      <c r="J685" s="14">
        <f t="shared" ca="1" si="65"/>
        <v>29</v>
      </c>
      <c r="K685" s="12" t="s">
        <v>41</v>
      </c>
      <c r="L685" s="15">
        <v>107</v>
      </c>
      <c r="M685" s="25" t="s">
        <v>40</v>
      </c>
      <c r="N685">
        <v>147</v>
      </c>
    </row>
    <row r="686" spans="1:14">
      <c r="A686" s="25">
        <f t="shared" si="60"/>
        <v>241</v>
      </c>
      <c r="B686" s="67" t="s">
        <v>18</v>
      </c>
      <c r="C686" s="67" t="s">
        <v>83</v>
      </c>
      <c r="D686" s="67" t="s">
        <v>315</v>
      </c>
      <c r="E686" s="22">
        <f t="shared" ca="1" si="61"/>
        <v>40951</v>
      </c>
      <c r="F686" s="11">
        <f>DATE(61,12,12)</f>
        <v>22627</v>
      </c>
      <c r="G686" s="12">
        <f t="shared" ca="1" si="62"/>
        <v>51</v>
      </c>
      <c r="H686" s="12">
        <f t="shared" ca="1" si="63"/>
        <v>-10</v>
      </c>
      <c r="I686" s="13">
        <f t="shared" ca="1" si="64"/>
        <v>0</v>
      </c>
      <c r="J686" s="14">
        <f t="shared" ca="1" si="65"/>
        <v>50</v>
      </c>
      <c r="K686" s="12" t="s">
        <v>41</v>
      </c>
      <c r="L686" s="15">
        <v>108</v>
      </c>
      <c r="M686" s="25" t="s">
        <v>40</v>
      </c>
      <c r="N686">
        <v>147</v>
      </c>
    </row>
    <row r="687" spans="1:14" ht="15.75" thickBot="1">
      <c r="A687" s="26">
        <f t="shared" si="60"/>
        <v>242</v>
      </c>
      <c r="B687" s="67" t="s">
        <v>18</v>
      </c>
      <c r="C687" s="68" t="s">
        <v>530</v>
      </c>
      <c r="D687" s="68" t="s">
        <v>927</v>
      </c>
      <c r="E687" s="23">
        <f t="shared" ca="1" si="61"/>
        <v>40951</v>
      </c>
      <c r="F687" s="16">
        <f>DATE(81,5,6)</f>
        <v>29712</v>
      </c>
      <c r="G687" s="17">
        <f t="shared" ca="1" si="62"/>
        <v>31</v>
      </c>
      <c r="H687" s="17">
        <f t="shared" ca="1" si="63"/>
        <v>-3</v>
      </c>
      <c r="I687" s="18">
        <f t="shared" ca="1" si="64"/>
        <v>6</v>
      </c>
      <c r="J687" s="19">
        <f t="shared" ca="1" si="65"/>
        <v>30</v>
      </c>
      <c r="K687" s="17" t="s">
        <v>41</v>
      </c>
      <c r="L687" s="20">
        <v>108</v>
      </c>
      <c r="M687" s="26" t="s">
        <v>40</v>
      </c>
      <c r="N687">
        <v>147</v>
      </c>
    </row>
    <row r="688" spans="1:14">
      <c r="A688" s="24">
        <f t="shared" si="60"/>
        <v>243</v>
      </c>
      <c r="B688" s="66" t="s">
        <v>18</v>
      </c>
      <c r="C688" s="66" t="s">
        <v>929</v>
      </c>
      <c r="D688" s="66" t="s">
        <v>315</v>
      </c>
      <c r="E688" s="21">
        <f t="shared" ca="1" si="61"/>
        <v>40951</v>
      </c>
      <c r="F688" s="6">
        <f>DATE(2004,8,20)</f>
        <v>38219</v>
      </c>
      <c r="G688" s="7">
        <f t="shared" ca="1" si="62"/>
        <v>8</v>
      </c>
      <c r="H688" s="7">
        <f t="shared" ca="1" si="63"/>
        <v>-6</v>
      </c>
      <c r="I688" s="8">
        <f t="shared" ca="1" si="64"/>
        <v>-8</v>
      </c>
      <c r="J688" s="9">
        <f t="shared" ca="1" si="65"/>
        <v>7</v>
      </c>
      <c r="K688" s="7" t="s">
        <v>41</v>
      </c>
      <c r="L688" s="10">
        <v>108</v>
      </c>
      <c r="M688" s="24" t="s">
        <v>44</v>
      </c>
      <c r="N688">
        <v>148</v>
      </c>
    </row>
    <row r="689" spans="1:14">
      <c r="A689" s="25">
        <f t="shared" si="60"/>
        <v>244</v>
      </c>
      <c r="B689" s="67" t="s">
        <v>18</v>
      </c>
      <c r="C689" s="67" t="s">
        <v>319</v>
      </c>
      <c r="D689" s="67" t="s">
        <v>930</v>
      </c>
      <c r="E689" s="22">
        <f t="shared" ca="1" si="61"/>
        <v>40951</v>
      </c>
      <c r="F689" s="11">
        <f>DATE(66,10,26)</f>
        <v>24406</v>
      </c>
      <c r="G689" s="12">
        <f t="shared" ca="1" si="62"/>
        <v>46</v>
      </c>
      <c r="H689" s="12">
        <f t="shared" ca="1" si="63"/>
        <v>-8</v>
      </c>
      <c r="I689" s="13">
        <f t="shared" ca="1" si="64"/>
        <v>-14</v>
      </c>
      <c r="J689" s="14">
        <f t="shared" ca="1" si="65"/>
        <v>45</v>
      </c>
      <c r="K689" s="12" t="s">
        <v>41</v>
      </c>
      <c r="L689" s="15">
        <v>108</v>
      </c>
      <c r="M689" s="25" t="s">
        <v>40</v>
      </c>
      <c r="N689">
        <v>148</v>
      </c>
    </row>
    <row r="690" spans="1:14">
      <c r="A690" s="25">
        <f t="shared" si="60"/>
        <v>245</v>
      </c>
      <c r="B690" s="67" t="s">
        <v>18</v>
      </c>
      <c r="C690" s="67" t="s">
        <v>649</v>
      </c>
      <c r="D690" s="67" t="s">
        <v>927</v>
      </c>
      <c r="E690" s="22">
        <f t="shared" ca="1" si="61"/>
        <v>40951</v>
      </c>
      <c r="F690" s="11">
        <f>DATE(68,6,10)</f>
        <v>24999</v>
      </c>
      <c r="G690" s="12">
        <f t="shared" ca="1" si="62"/>
        <v>44</v>
      </c>
      <c r="H690" s="12">
        <f t="shared" ca="1" si="63"/>
        <v>-4</v>
      </c>
      <c r="I690" s="13">
        <f t="shared" ca="1" si="64"/>
        <v>2</v>
      </c>
      <c r="J690" s="14">
        <f t="shared" ca="1" si="65"/>
        <v>43</v>
      </c>
      <c r="K690" s="12" t="s">
        <v>41</v>
      </c>
      <c r="L690" s="15">
        <v>108</v>
      </c>
      <c r="M690" s="25" t="s">
        <v>40</v>
      </c>
      <c r="N690">
        <v>148</v>
      </c>
    </row>
    <row r="691" spans="1:14">
      <c r="A691" s="25">
        <f t="shared" si="60"/>
        <v>246</v>
      </c>
      <c r="B691" s="67" t="s">
        <v>18</v>
      </c>
      <c r="C691" s="67" t="s">
        <v>211</v>
      </c>
      <c r="D691" s="67" t="s">
        <v>927</v>
      </c>
      <c r="E691" s="22">
        <f t="shared" ca="1" si="61"/>
        <v>40951</v>
      </c>
      <c r="F691" s="11">
        <f>DATE(95,2,12)</f>
        <v>34742</v>
      </c>
      <c r="G691" s="12">
        <f t="shared" ca="1" si="62"/>
        <v>17</v>
      </c>
      <c r="H691" s="12">
        <f t="shared" ca="1" si="63"/>
        <v>0</v>
      </c>
      <c r="I691" s="13">
        <f t="shared" ca="1" si="64"/>
        <v>0</v>
      </c>
      <c r="J691" s="14">
        <f t="shared" ca="1" si="65"/>
        <v>17</v>
      </c>
      <c r="K691" s="12" t="s">
        <v>41</v>
      </c>
      <c r="L691" s="15">
        <v>108</v>
      </c>
      <c r="M691" s="25" t="s">
        <v>44</v>
      </c>
      <c r="N691">
        <v>148</v>
      </c>
    </row>
    <row r="692" spans="1:14" ht="15.75" thickBot="1">
      <c r="A692" s="26">
        <f t="shared" si="60"/>
        <v>247</v>
      </c>
      <c r="B692" s="67" t="s">
        <v>18</v>
      </c>
      <c r="C692" s="68" t="s">
        <v>287</v>
      </c>
      <c r="D692" s="68" t="s">
        <v>933</v>
      </c>
      <c r="E692" s="23">
        <f t="shared" ca="1" si="61"/>
        <v>40951</v>
      </c>
      <c r="F692" s="33"/>
      <c r="G692" s="17">
        <f t="shared" ca="1" si="62"/>
        <v>112</v>
      </c>
      <c r="H692" s="17">
        <f t="shared" ca="1" si="63"/>
        <v>1</v>
      </c>
      <c r="I692" s="18">
        <f t="shared" ca="1" si="64"/>
        <v>12</v>
      </c>
      <c r="J692" s="19">
        <f t="shared" ca="1" si="65"/>
        <v>112</v>
      </c>
      <c r="K692" s="17" t="s">
        <v>41</v>
      </c>
      <c r="L692" s="20">
        <v>109</v>
      </c>
      <c r="M692" s="26" t="s">
        <v>40</v>
      </c>
      <c r="N692">
        <v>148</v>
      </c>
    </row>
    <row r="693" spans="1:14">
      <c r="A693" s="25">
        <f t="shared" si="60"/>
        <v>248</v>
      </c>
      <c r="B693" s="67" t="s">
        <v>18</v>
      </c>
      <c r="C693" s="67" t="s">
        <v>145</v>
      </c>
      <c r="D693" s="67" t="s">
        <v>933</v>
      </c>
      <c r="E693" s="22">
        <f t="shared" ca="1" si="61"/>
        <v>40951</v>
      </c>
      <c r="F693" s="32"/>
      <c r="G693" s="12">
        <f t="shared" ca="1" si="62"/>
        <v>112</v>
      </c>
      <c r="H693" s="12">
        <f t="shared" ca="1" si="63"/>
        <v>1</v>
      </c>
      <c r="I693" s="13">
        <f t="shared" ca="1" si="64"/>
        <v>12</v>
      </c>
      <c r="J693" s="14">
        <f t="shared" ca="1" si="65"/>
        <v>112</v>
      </c>
      <c r="K693" s="12" t="s">
        <v>41</v>
      </c>
      <c r="L693" s="15">
        <v>109</v>
      </c>
      <c r="M693" s="25" t="s">
        <v>44</v>
      </c>
      <c r="N693">
        <v>149</v>
      </c>
    </row>
    <row r="694" spans="1:14">
      <c r="A694" s="25">
        <f t="shared" si="60"/>
        <v>249</v>
      </c>
      <c r="B694" s="67" t="s">
        <v>18</v>
      </c>
      <c r="C694" s="67" t="s">
        <v>430</v>
      </c>
      <c r="D694" s="67" t="s">
        <v>93</v>
      </c>
      <c r="E694" s="22">
        <f t="shared" ca="1" si="61"/>
        <v>40951</v>
      </c>
      <c r="F694" s="11">
        <f>DATE(72,11,22)</f>
        <v>26625</v>
      </c>
      <c r="G694" s="12">
        <f t="shared" ca="1" si="62"/>
        <v>40</v>
      </c>
      <c r="H694" s="12">
        <f t="shared" ca="1" si="63"/>
        <v>-9</v>
      </c>
      <c r="I694" s="13">
        <f t="shared" ca="1" si="64"/>
        <v>-10</v>
      </c>
      <c r="J694" s="14">
        <f t="shared" ca="1" si="65"/>
        <v>39</v>
      </c>
      <c r="K694" s="12" t="s">
        <v>41</v>
      </c>
      <c r="L694" s="15">
        <v>109</v>
      </c>
      <c r="M694" s="25" t="s">
        <v>40</v>
      </c>
      <c r="N694">
        <v>149</v>
      </c>
    </row>
    <row r="695" spans="1:14">
      <c r="A695" s="25">
        <f t="shared" si="60"/>
        <v>250</v>
      </c>
      <c r="B695" s="67" t="s">
        <v>18</v>
      </c>
      <c r="C695" s="67" t="s">
        <v>936</v>
      </c>
      <c r="D695" s="67" t="s">
        <v>414</v>
      </c>
      <c r="E695" s="22">
        <f t="shared" ca="1" si="61"/>
        <v>40951</v>
      </c>
      <c r="F695" s="11">
        <f>DATE(66,10,7)</f>
        <v>24387</v>
      </c>
      <c r="G695" s="12">
        <f t="shared" ca="1" si="62"/>
        <v>46</v>
      </c>
      <c r="H695" s="12">
        <f t="shared" ca="1" si="63"/>
        <v>-8</v>
      </c>
      <c r="I695" s="13">
        <f t="shared" ca="1" si="64"/>
        <v>5</v>
      </c>
      <c r="J695" s="14">
        <f t="shared" ca="1" si="65"/>
        <v>45</v>
      </c>
      <c r="K695" s="12" t="s">
        <v>41</v>
      </c>
      <c r="L695" s="15">
        <v>109</v>
      </c>
      <c r="M695" s="25" t="s">
        <v>40</v>
      </c>
      <c r="N695">
        <v>149</v>
      </c>
    </row>
    <row r="696" spans="1:14" ht="15.75" thickBot="1">
      <c r="A696" s="26">
        <f t="shared" si="60"/>
        <v>251</v>
      </c>
      <c r="B696" s="67" t="s">
        <v>18</v>
      </c>
      <c r="C696" s="68" t="s">
        <v>937</v>
      </c>
      <c r="D696" s="68" t="s">
        <v>414</v>
      </c>
      <c r="E696" s="23">
        <f t="shared" ca="1" si="61"/>
        <v>40951</v>
      </c>
      <c r="F696" s="16">
        <f>DATE(87,12,6)</f>
        <v>32117</v>
      </c>
      <c r="G696" s="17">
        <f t="shared" ca="1" si="62"/>
        <v>25</v>
      </c>
      <c r="H696" s="17">
        <f t="shared" ca="1" si="63"/>
        <v>-10</v>
      </c>
      <c r="I696" s="18">
        <f t="shared" ca="1" si="64"/>
        <v>6</v>
      </c>
      <c r="J696" s="19">
        <f t="shared" ca="1" si="65"/>
        <v>24</v>
      </c>
      <c r="K696" s="17" t="s">
        <v>41</v>
      </c>
      <c r="L696" s="20">
        <v>109</v>
      </c>
      <c r="M696" s="26" t="s">
        <v>44</v>
      </c>
      <c r="N696">
        <v>149</v>
      </c>
    </row>
    <row r="697" spans="1:14">
      <c r="A697" s="24">
        <f t="shared" si="60"/>
        <v>252</v>
      </c>
      <c r="B697" s="66" t="s">
        <v>19</v>
      </c>
      <c r="C697" s="66" t="s">
        <v>939</v>
      </c>
      <c r="D697" s="66" t="s">
        <v>938</v>
      </c>
      <c r="E697" s="21">
        <f t="shared" ca="1" si="61"/>
        <v>40951</v>
      </c>
      <c r="F697" s="6">
        <f>DATE(46,3,9)</f>
        <v>16870</v>
      </c>
      <c r="G697" s="7">
        <f t="shared" ca="1" si="62"/>
        <v>66</v>
      </c>
      <c r="H697" s="7">
        <f t="shared" ca="1" si="63"/>
        <v>-1</v>
      </c>
      <c r="I697" s="8">
        <f t="shared" ca="1" si="64"/>
        <v>3</v>
      </c>
      <c r="J697" s="9">
        <f t="shared" ca="1" si="65"/>
        <v>65</v>
      </c>
      <c r="K697" s="7" t="s">
        <v>41</v>
      </c>
      <c r="L697" s="10">
        <v>110</v>
      </c>
      <c r="M697" s="24" t="s">
        <v>40</v>
      </c>
      <c r="N697">
        <v>150</v>
      </c>
    </row>
    <row r="698" spans="1:14">
      <c r="A698" s="25">
        <f t="shared" si="60"/>
        <v>253</v>
      </c>
      <c r="B698" s="67" t="s">
        <v>19</v>
      </c>
      <c r="C698" s="67" t="s">
        <v>400</v>
      </c>
      <c r="D698" s="67" t="s">
        <v>829</v>
      </c>
      <c r="E698" s="22">
        <f t="shared" ca="1" si="61"/>
        <v>40951</v>
      </c>
      <c r="F698" s="32"/>
      <c r="G698" s="12">
        <f t="shared" ca="1" si="62"/>
        <v>112</v>
      </c>
      <c r="H698" s="12">
        <f t="shared" ca="1" si="63"/>
        <v>1</v>
      </c>
      <c r="I698" s="13">
        <f t="shared" ca="1" si="64"/>
        <v>12</v>
      </c>
      <c r="J698" s="14">
        <f t="shared" ca="1" si="65"/>
        <v>112</v>
      </c>
      <c r="K698" s="12" t="s">
        <v>41</v>
      </c>
      <c r="L698" s="15">
        <v>110</v>
      </c>
      <c r="M698" s="25" t="s">
        <v>40</v>
      </c>
      <c r="N698">
        <v>150</v>
      </c>
    </row>
    <row r="699" spans="1:14">
      <c r="A699" s="25">
        <f t="shared" si="60"/>
        <v>254</v>
      </c>
      <c r="B699" s="67" t="s">
        <v>19</v>
      </c>
      <c r="C699" s="67" t="s">
        <v>175</v>
      </c>
      <c r="D699" s="67" t="s">
        <v>623</v>
      </c>
      <c r="E699" s="22">
        <f t="shared" ca="1" si="61"/>
        <v>40951</v>
      </c>
      <c r="F699" s="11">
        <f>DATE(72,4,7)</f>
        <v>26396</v>
      </c>
      <c r="G699" s="12">
        <f t="shared" ca="1" si="62"/>
        <v>40</v>
      </c>
      <c r="H699" s="12">
        <f t="shared" ca="1" si="63"/>
        <v>-2</v>
      </c>
      <c r="I699" s="13">
        <f t="shared" ca="1" si="64"/>
        <v>5</v>
      </c>
      <c r="J699" s="14">
        <f t="shared" ca="1" si="65"/>
        <v>39</v>
      </c>
      <c r="K699" s="12" t="s">
        <v>41</v>
      </c>
      <c r="L699" s="15">
        <v>110</v>
      </c>
      <c r="M699" s="25" t="s">
        <v>40</v>
      </c>
      <c r="N699">
        <v>150</v>
      </c>
    </row>
    <row r="700" spans="1:14" ht="15.75" thickBot="1">
      <c r="A700" s="26">
        <f t="shared" si="60"/>
        <v>255</v>
      </c>
      <c r="B700" s="67" t="s">
        <v>19</v>
      </c>
      <c r="C700" s="68" t="s">
        <v>122</v>
      </c>
      <c r="D700" s="68" t="s">
        <v>940</v>
      </c>
      <c r="E700" s="23">
        <f t="shared" ca="1" si="61"/>
        <v>40951</v>
      </c>
      <c r="F700" s="16">
        <f>DATE(72,5,24)</f>
        <v>26443</v>
      </c>
      <c r="G700" s="17">
        <f t="shared" ca="1" si="62"/>
        <v>40</v>
      </c>
      <c r="H700" s="17">
        <f t="shared" ca="1" si="63"/>
        <v>-3</v>
      </c>
      <c r="I700" s="18">
        <f t="shared" ca="1" si="64"/>
        <v>-12</v>
      </c>
      <c r="J700" s="19">
        <f t="shared" ca="1" si="65"/>
        <v>39</v>
      </c>
      <c r="K700" s="17" t="s">
        <v>41</v>
      </c>
      <c r="L700" s="20">
        <v>110</v>
      </c>
      <c r="M700" s="26" t="s">
        <v>40</v>
      </c>
      <c r="N700">
        <v>150</v>
      </c>
    </row>
    <row r="701" spans="1:14">
      <c r="A701" s="24">
        <f t="shared" si="60"/>
        <v>256</v>
      </c>
      <c r="B701" s="66" t="s">
        <v>19</v>
      </c>
      <c r="C701" s="66" t="s">
        <v>941</v>
      </c>
      <c r="D701" s="66" t="s">
        <v>940</v>
      </c>
      <c r="E701" s="21">
        <f t="shared" ca="1" si="61"/>
        <v>40951</v>
      </c>
      <c r="F701" s="6">
        <f>DATE(99,5,31)</f>
        <v>36311</v>
      </c>
      <c r="G701" s="7">
        <f t="shared" ca="1" si="62"/>
        <v>13</v>
      </c>
      <c r="H701" s="7">
        <f t="shared" ca="1" si="63"/>
        <v>-3</v>
      </c>
      <c r="I701" s="8">
        <f t="shared" ca="1" si="64"/>
        <v>-19</v>
      </c>
      <c r="J701" s="9">
        <f t="shared" ca="1" si="65"/>
        <v>12</v>
      </c>
      <c r="K701" s="7" t="s">
        <v>41</v>
      </c>
      <c r="L701" s="10">
        <v>110</v>
      </c>
      <c r="M701" s="24" t="s">
        <v>44</v>
      </c>
      <c r="N701">
        <v>151</v>
      </c>
    </row>
    <row r="702" spans="1:14">
      <c r="A702" s="25">
        <f t="shared" ref="A702:A765" si="66">A701+1</f>
        <v>257</v>
      </c>
      <c r="B702" s="67" t="s">
        <v>19</v>
      </c>
      <c r="C702" s="67" t="s">
        <v>626</v>
      </c>
      <c r="D702" s="67" t="s">
        <v>943</v>
      </c>
      <c r="E702" s="22">
        <f t="shared" ca="1" si="61"/>
        <v>40951</v>
      </c>
      <c r="F702" s="11">
        <f>DATE(39,12,5)</f>
        <v>14584</v>
      </c>
      <c r="G702" s="12">
        <f t="shared" ca="1" si="62"/>
        <v>73</v>
      </c>
      <c r="H702" s="12">
        <f t="shared" ca="1" si="63"/>
        <v>-10</v>
      </c>
      <c r="I702" s="13">
        <f t="shared" ca="1" si="64"/>
        <v>7</v>
      </c>
      <c r="J702" s="14">
        <f t="shared" ca="1" si="65"/>
        <v>72</v>
      </c>
      <c r="K702" s="12" t="s">
        <v>41</v>
      </c>
      <c r="L702" s="15">
        <v>111</v>
      </c>
      <c r="M702" s="25" t="s">
        <v>40</v>
      </c>
      <c r="N702">
        <v>151</v>
      </c>
    </row>
    <row r="703" spans="1:14">
      <c r="A703" s="25">
        <f t="shared" si="66"/>
        <v>258</v>
      </c>
      <c r="B703" s="67" t="s">
        <v>19</v>
      </c>
      <c r="C703" s="67" t="s">
        <v>945</v>
      </c>
      <c r="D703" s="67" t="s">
        <v>944</v>
      </c>
      <c r="E703" s="22">
        <f t="shared" ca="1" si="61"/>
        <v>40951</v>
      </c>
      <c r="F703" s="11">
        <f>DATE(69,4,21)</f>
        <v>25314</v>
      </c>
      <c r="G703" s="12">
        <f t="shared" ca="1" si="62"/>
        <v>43</v>
      </c>
      <c r="H703" s="12">
        <f t="shared" ca="1" si="63"/>
        <v>-2</v>
      </c>
      <c r="I703" s="13">
        <f t="shared" ca="1" si="64"/>
        <v>-9</v>
      </c>
      <c r="J703" s="14">
        <f t="shared" ca="1" si="65"/>
        <v>42</v>
      </c>
      <c r="K703" s="12" t="s">
        <v>41</v>
      </c>
      <c r="L703" s="15">
        <v>111</v>
      </c>
      <c r="M703" s="25" t="s">
        <v>40</v>
      </c>
      <c r="N703">
        <v>151</v>
      </c>
    </row>
    <row r="704" spans="1:14" ht="15.75" thickBot="1">
      <c r="A704" s="26">
        <f t="shared" si="66"/>
        <v>259</v>
      </c>
      <c r="B704" s="67" t="s">
        <v>19</v>
      </c>
      <c r="C704" s="68" t="s">
        <v>218</v>
      </c>
      <c r="D704" s="68" t="s">
        <v>743</v>
      </c>
      <c r="E704" s="23">
        <f t="shared" ca="1" si="61"/>
        <v>40951</v>
      </c>
      <c r="F704" s="16">
        <f>DATE(56,5,4)</f>
        <v>20579</v>
      </c>
      <c r="G704" s="17">
        <f t="shared" ca="1" si="62"/>
        <v>56</v>
      </c>
      <c r="H704" s="17">
        <f t="shared" ca="1" si="63"/>
        <v>-3</v>
      </c>
      <c r="I704" s="18">
        <f t="shared" ca="1" si="64"/>
        <v>8</v>
      </c>
      <c r="J704" s="19">
        <f t="shared" ca="1" si="65"/>
        <v>55</v>
      </c>
      <c r="K704" s="17" t="s">
        <v>41</v>
      </c>
      <c r="L704" s="20">
        <v>111</v>
      </c>
      <c r="M704" s="26" t="s">
        <v>40</v>
      </c>
      <c r="N704">
        <v>151</v>
      </c>
    </row>
    <row r="705" spans="1:14">
      <c r="A705" s="25">
        <f t="shared" si="66"/>
        <v>260</v>
      </c>
      <c r="B705" s="67" t="s">
        <v>19</v>
      </c>
      <c r="C705" s="67" t="s">
        <v>102</v>
      </c>
      <c r="D705" s="67" t="s">
        <v>947</v>
      </c>
      <c r="E705" s="22">
        <f t="shared" ref="E705:E768" ca="1" si="67">TODAY()</f>
        <v>40951</v>
      </c>
      <c r="F705" s="11">
        <f>DATE(60,4,30)</f>
        <v>22036</v>
      </c>
      <c r="G705" s="12">
        <f t="shared" ref="G705:G768" ca="1" si="68">YEAR(E705)-YEAR(F705)</f>
        <v>52</v>
      </c>
      <c r="H705" s="12">
        <f t="shared" ref="H705:H768" ca="1" si="69">MONTH(E705)-MONTH(F705)</f>
        <v>-2</v>
      </c>
      <c r="I705" s="13">
        <f t="shared" ref="I705:I768" ca="1" si="70">DAY(E705)-DAY(F705)</f>
        <v>-18</v>
      </c>
      <c r="J705" s="14">
        <f t="shared" ref="J705:J768" ca="1" si="71">IF(H705&lt;0,G705-1,IF(H705&gt;0,G705,IF(I705&lt;0,G705-1,G705)))</f>
        <v>51</v>
      </c>
      <c r="K705" s="12" t="s">
        <v>41</v>
      </c>
      <c r="L705" s="15">
        <v>111</v>
      </c>
      <c r="M705" s="25" t="s">
        <v>40</v>
      </c>
      <c r="N705">
        <v>152</v>
      </c>
    </row>
    <row r="706" spans="1:14">
      <c r="A706" s="25">
        <f t="shared" si="66"/>
        <v>261</v>
      </c>
      <c r="B706" s="67" t="s">
        <v>19</v>
      </c>
      <c r="C706" s="67" t="s">
        <v>344</v>
      </c>
      <c r="D706" s="67" t="s">
        <v>947</v>
      </c>
      <c r="E706" s="22">
        <f t="shared" ca="1" si="67"/>
        <v>40951</v>
      </c>
      <c r="F706" s="11">
        <f>DATE(84,5,12)</f>
        <v>30814</v>
      </c>
      <c r="G706" s="12">
        <f t="shared" ca="1" si="68"/>
        <v>28</v>
      </c>
      <c r="H706" s="12">
        <f t="shared" ca="1" si="69"/>
        <v>-3</v>
      </c>
      <c r="I706" s="13">
        <f t="shared" ca="1" si="70"/>
        <v>0</v>
      </c>
      <c r="J706" s="14">
        <f t="shared" ca="1" si="71"/>
        <v>27</v>
      </c>
      <c r="K706" s="12" t="s">
        <v>41</v>
      </c>
      <c r="L706" s="15">
        <v>111</v>
      </c>
      <c r="M706" s="25" t="s">
        <v>44</v>
      </c>
      <c r="N706">
        <v>152</v>
      </c>
    </row>
    <row r="707" spans="1:14">
      <c r="A707" s="25">
        <f t="shared" si="66"/>
        <v>262</v>
      </c>
      <c r="B707" s="67" t="s">
        <v>19</v>
      </c>
      <c r="C707" s="67" t="s">
        <v>948</v>
      </c>
      <c r="D707" s="67" t="s">
        <v>947</v>
      </c>
      <c r="E707" s="22">
        <f t="shared" ca="1" si="67"/>
        <v>40951</v>
      </c>
      <c r="F707" s="11">
        <f>DATE(86,4,30)</f>
        <v>31532</v>
      </c>
      <c r="G707" s="12">
        <f t="shared" ca="1" si="68"/>
        <v>26</v>
      </c>
      <c r="H707" s="12">
        <f t="shared" ca="1" si="69"/>
        <v>-2</v>
      </c>
      <c r="I707" s="13">
        <f t="shared" ca="1" si="70"/>
        <v>-18</v>
      </c>
      <c r="J707" s="14">
        <f t="shared" ca="1" si="71"/>
        <v>25</v>
      </c>
      <c r="K707" s="12" t="s">
        <v>41</v>
      </c>
      <c r="L707" s="15">
        <v>111</v>
      </c>
      <c r="M707" s="25" t="s">
        <v>44</v>
      </c>
      <c r="N707">
        <v>152</v>
      </c>
    </row>
    <row r="708" spans="1:14" ht="15.75" thickBot="1">
      <c r="A708" s="26">
        <f t="shared" si="66"/>
        <v>263</v>
      </c>
      <c r="B708" s="67" t="s">
        <v>19</v>
      </c>
      <c r="C708" s="68" t="s">
        <v>949</v>
      </c>
      <c r="D708" s="68" t="s">
        <v>947</v>
      </c>
      <c r="E708" s="23">
        <f t="shared" ca="1" si="67"/>
        <v>40951</v>
      </c>
      <c r="F708" s="16">
        <f>DATE(89,9,25)</f>
        <v>32776</v>
      </c>
      <c r="G708" s="17">
        <f t="shared" ca="1" si="68"/>
        <v>23</v>
      </c>
      <c r="H708" s="17">
        <f t="shared" ca="1" si="69"/>
        <v>-7</v>
      </c>
      <c r="I708" s="18">
        <f t="shared" ca="1" si="70"/>
        <v>-13</v>
      </c>
      <c r="J708" s="19">
        <f t="shared" ca="1" si="71"/>
        <v>22</v>
      </c>
      <c r="K708" s="17" t="s">
        <v>41</v>
      </c>
      <c r="L708" s="20">
        <v>111</v>
      </c>
      <c r="M708" s="26" t="s">
        <v>44</v>
      </c>
      <c r="N708">
        <v>152</v>
      </c>
    </row>
    <row r="709" spans="1:14">
      <c r="A709" s="25">
        <f t="shared" si="66"/>
        <v>264</v>
      </c>
      <c r="B709" s="67" t="s">
        <v>19</v>
      </c>
      <c r="C709" s="67" t="s">
        <v>530</v>
      </c>
      <c r="D709" s="67" t="s">
        <v>93</v>
      </c>
      <c r="E709" s="22">
        <f t="shared" ca="1" si="67"/>
        <v>40951</v>
      </c>
      <c r="F709" s="11">
        <f>DATE(71,4,29)</f>
        <v>26052</v>
      </c>
      <c r="G709" s="12">
        <f t="shared" ca="1" si="68"/>
        <v>41</v>
      </c>
      <c r="H709" s="12">
        <f t="shared" ca="1" si="69"/>
        <v>-2</v>
      </c>
      <c r="I709" s="13">
        <f t="shared" ca="1" si="70"/>
        <v>-17</v>
      </c>
      <c r="J709" s="14">
        <f t="shared" ca="1" si="71"/>
        <v>40</v>
      </c>
      <c r="K709" s="12" t="s">
        <v>41</v>
      </c>
      <c r="L709" s="15">
        <v>112</v>
      </c>
      <c r="M709" s="25" t="s">
        <v>40</v>
      </c>
      <c r="N709">
        <v>153</v>
      </c>
    </row>
    <row r="710" spans="1:14">
      <c r="A710" s="25">
        <f t="shared" si="66"/>
        <v>265</v>
      </c>
      <c r="B710" s="67" t="s">
        <v>19</v>
      </c>
      <c r="C710" s="67" t="s">
        <v>952</v>
      </c>
      <c r="D710" s="67" t="s">
        <v>93</v>
      </c>
      <c r="E710" s="22">
        <f t="shared" ca="1" si="67"/>
        <v>40951</v>
      </c>
      <c r="F710" s="11">
        <f>DATE(94,12,8)</f>
        <v>34676</v>
      </c>
      <c r="G710" s="12">
        <f t="shared" ca="1" si="68"/>
        <v>18</v>
      </c>
      <c r="H710" s="12">
        <f t="shared" ca="1" si="69"/>
        <v>-10</v>
      </c>
      <c r="I710" s="13">
        <f t="shared" ca="1" si="70"/>
        <v>4</v>
      </c>
      <c r="J710" s="14">
        <f t="shared" ca="1" si="71"/>
        <v>17</v>
      </c>
      <c r="K710" s="12" t="s">
        <v>41</v>
      </c>
      <c r="L710" s="15">
        <v>112</v>
      </c>
      <c r="M710" s="25" t="s">
        <v>44</v>
      </c>
      <c r="N710">
        <v>153</v>
      </c>
    </row>
    <row r="711" spans="1:14">
      <c r="A711" s="25">
        <f t="shared" si="66"/>
        <v>266</v>
      </c>
      <c r="B711" s="67" t="s">
        <v>19</v>
      </c>
      <c r="C711" s="67" t="s">
        <v>955</v>
      </c>
      <c r="D711" s="67" t="s">
        <v>951</v>
      </c>
      <c r="E711" s="22">
        <f t="shared" ca="1" si="67"/>
        <v>40951</v>
      </c>
      <c r="F711" s="11">
        <f>DATE(45,6,2)</f>
        <v>16590</v>
      </c>
      <c r="G711" s="12">
        <f t="shared" ca="1" si="68"/>
        <v>67</v>
      </c>
      <c r="H711" s="12">
        <f t="shared" ca="1" si="69"/>
        <v>-4</v>
      </c>
      <c r="I711" s="13">
        <f t="shared" ca="1" si="70"/>
        <v>10</v>
      </c>
      <c r="J711" s="14">
        <f t="shared" ca="1" si="71"/>
        <v>66</v>
      </c>
      <c r="K711" s="12" t="s">
        <v>41</v>
      </c>
      <c r="L711" s="15">
        <v>112</v>
      </c>
      <c r="M711" s="25" t="s">
        <v>40</v>
      </c>
      <c r="N711">
        <v>153</v>
      </c>
    </row>
    <row r="712" spans="1:14">
      <c r="A712" s="25">
        <f t="shared" si="66"/>
        <v>267</v>
      </c>
      <c r="B712" s="67" t="s">
        <v>19</v>
      </c>
      <c r="C712" s="67" t="s">
        <v>831</v>
      </c>
      <c r="D712" s="67" t="s">
        <v>956</v>
      </c>
      <c r="E712" s="22">
        <f t="shared" ca="1" si="67"/>
        <v>40951</v>
      </c>
      <c r="F712" s="11">
        <f>DATE(44,3,1)</f>
        <v>16132</v>
      </c>
      <c r="G712" s="12">
        <f t="shared" ca="1" si="68"/>
        <v>68</v>
      </c>
      <c r="H712" s="12">
        <f t="shared" ca="1" si="69"/>
        <v>-1</v>
      </c>
      <c r="I712" s="13">
        <f t="shared" ca="1" si="70"/>
        <v>11</v>
      </c>
      <c r="J712" s="14">
        <f t="shared" ca="1" si="71"/>
        <v>67</v>
      </c>
      <c r="K712" s="12" t="s">
        <v>41</v>
      </c>
      <c r="L712" s="15">
        <v>112</v>
      </c>
      <c r="M712" s="25" t="s">
        <v>40</v>
      </c>
      <c r="N712">
        <v>153</v>
      </c>
    </row>
    <row r="713" spans="1:14">
      <c r="A713" s="25">
        <f t="shared" si="66"/>
        <v>268</v>
      </c>
      <c r="B713" s="67" t="s">
        <v>19</v>
      </c>
      <c r="C713" s="67" t="s">
        <v>409</v>
      </c>
      <c r="D713" s="67" t="s">
        <v>208</v>
      </c>
      <c r="E713" s="22">
        <f t="shared" ca="1" si="67"/>
        <v>40951</v>
      </c>
      <c r="F713" s="11">
        <f>DATE(77,3,24)</f>
        <v>28208</v>
      </c>
      <c r="G713" s="12">
        <f t="shared" ca="1" si="68"/>
        <v>35</v>
      </c>
      <c r="H713" s="12">
        <f t="shared" ca="1" si="69"/>
        <v>-1</v>
      </c>
      <c r="I713" s="13">
        <f t="shared" ca="1" si="70"/>
        <v>-12</v>
      </c>
      <c r="J713" s="14">
        <f t="shared" ca="1" si="71"/>
        <v>34</v>
      </c>
      <c r="K713" s="12" t="s">
        <v>41</v>
      </c>
      <c r="L713" s="15">
        <v>112</v>
      </c>
      <c r="M713" s="25" t="s">
        <v>40</v>
      </c>
      <c r="N713">
        <v>153</v>
      </c>
    </row>
    <row r="714" spans="1:14">
      <c r="A714" s="25">
        <f t="shared" si="66"/>
        <v>269</v>
      </c>
      <c r="B714" s="67" t="s">
        <v>19</v>
      </c>
      <c r="C714" s="67" t="s">
        <v>957</v>
      </c>
      <c r="D714" s="67" t="s">
        <v>208</v>
      </c>
      <c r="E714" s="22">
        <f t="shared" ca="1" si="67"/>
        <v>40951</v>
      </c>
      <c r="F714" s="11">
        <f>DATE(2003,5,5)</f>
        <v>37746</v>
      </c>
      <c r="G714" s="12">
        <f t="shared" ca="1" si="68"/>
        <v>9</v>
      </c>
      <c r="H714" s="12">
        <f t="shared" ca="1" si="69"/>
        <v>-3</v>
      </c>
      <c r="I714" s="13">
        <f t="shared" ca="1" si="70"/>
        <v>7</v>
      </c>
      <c r="J714" s="14">
        <f t="shared" ca="1" si="71"/>
        <v>8</v>
      </c>
      <c r="K714" s="12" t="s">
        <v>41</v>
      </c>
      <c r="L714" s="15">
        <v>112</v>
      </c>
      <c r="M714" s="25" t="s">
        <v>44</v>
      </c>
      <c r="N714">
        <v>153</v>
      </c>
    </row>
    <row r="715" spans="1:14">
      <c r="A715" s="25">
        <f t="shared" si="66"/>
        <v>270</v>
      </c>
      <c r="B715" s="67" t="s">
        <v>20</v>
      </c>
      <c r="C715" s="67" t="s">
        <v>958</v>
      </c>
      <c r="D715" s="67" t="s">
        <v>521</v>
      </c>
      <c r="E715" s="22">
        <f t="shared" ca="1" si="67"/>
        <v>40951</v>
      </c>
      <c r="F715" s="11">
        <f>DATE(82,2,20)</f>
        <v>30002</v>
      </c>
      <c r="G715" s="12">
        <f t="shared" ca="1" si="68"/>
        <v>30</v>
      </c>
      <c r="H715" s="12">
        <f t="shared" ca="1" si="69"/>
        <v>0</v>
      </c>
      <c r="I715" s="13">
        <f t="shared" ca="1" si="70"/>
        <v>-8</v>
      </c>
      <c r="J715" s="14">
        <f t="shared" ca="1" si="71"/>
        <v>29</v>
      </c>
      <c r="K715" s="12" t="s">
        <v>41</v>
      </c>
      <c r="L715" s="15">
        <v>113</v>
      </c>
      <c r="M715" s="25" t="s">
        <v>40</v>
      </c>
      <c r="N715">
        <v>153</v>
      </c>
    </row>
    <row r="716" spans="1:14">
      <c r="A716" s="25">
        <f t="shared" si="66"/>
        <v>271</v>
      </c>
      <c r="B716" s="67" t="s">
        <v>20</v>
      </c>
      <c r="C716" s="67" t="s">
        <v>125</v>
      </c>
      <c r="D716" s="67" t="s">
        <v>961</v>
      </c>
      <c r="E716" s="22">
        <f t="shared" ca="1" si="67"/>
        <v>40951</v>
      </c>
      <c r="F716" s="11">
        <f>DATE(84,1,16)</f>
        <v>30697</v>
      </c>
      <c r="G716" s="12">
        <f t="shared" ca="1" si="68"/>
        <v>28</v>
      </c>
      <c r="H716" s="12">
        <f t="shared" ca="1" si="69"/>
        <v>1</v>
      </c>
      <c r="I716" s="13">
        <f t="shared" ca="1" si="70"/>
        <v>-4</v>
      </c>
      <c r="J716" s="14">
        <f t="shared" ca="1" si="71"/>
        <v>28</v>
      </c>
      <c r="K716" s="12" t="s">
        <v>41</v>
      </c>
      <c r="L716" s="15">
        <v>113</v>
      </c>
      <c r="M716" s="25" t="s">
        <v>40</v>
      </c>
      <c r="N716">
        <v>153</v>
      </c>
    </row>
    <row r="717" spans="1:14" ht="15.75" thickBot="1">
      <c r="A717" s="26">
        <f t="shared" si="66"/>
        <v>272</v>
      </c>
      <c r="B717" s="67" t="s">
        <v>20</v>
      </c>
      <c r="C717" s="68" t="s">
        <v>963</v>
      </c>
      <c r="D717" s="68" t="s">
        <v>962</v>
      </c>
      <c r="E717" s="23">
        <f t="shared" ca="1" si="67"/>
        <v>40951</v>
      </c>
      <c r="F717" s="16">
        <f>DATE(56,9,4)</f>
        <v>20702</v>
      </c>
      <c r="G717" s="17">
        <f t="shared" ca="1" si="68"/>
        <v>56</v>
      </c>
      <c r="H717" s="17">
        <f t="shared" ca="1" si="69"/>
        <v>-7</v>
      </c>
      <c r="I717" s="18">
        <f t="shared" ca="1" si="70"/>
        <v>8</v>
      </c>
      <c r="J717" s="19">
        <f t="shared" ca="1" si="71"/>
        <v>55</v>
      </c>
      <c r="K717" s="17" t="s">
        <v>41</v>
      </c>
      <c r="L717" s="20">
        <v>113</v>
      </c>
      <c r="M717" s="26" t="s">
        <v>40</v>
      </c>
      <c r="N717">
        <v>153</v>
      </c>
    </row>
    <row r="718" spans="1:14" ht="15.75" thickBot="1">
      <c r="A718" s="26">
        <f t="shared" si="66"/>
        <v>273</v>
      </c>
      <c r="B718" s="68" t="s">
        <v>20</v>
      </c>
      <c r="C718" s="68" t="s">
        <v>211</v>
      </c>
      <c r="D718" s="68" t="s">
        <v>964</v>
      </c>
      <c r="E718" s="23">
        <f t="shared" ca="1" si="67"/>
        <v>40951</v>
      </c>
      <c r="F718" s="16">
        <f>DATE(79,8,28)</f>
        <v>29095</v>
      </c>
      <c r="G718" s="17">
        <f t="shared" ca="1" si="68"/>
        <v>33</v>
      </c>
      <c r="H718" s="17">
        <f t="shared" ca="1" si="69"/>
        <v>-6</v>
      </c>
      <c r="I718" s="18">
        <f t="shared" ca="1" si="70"/>
        <v>-16</v>
      </c>
      <c r="J718" s="19">
        <f t="shared" ca="1" si="71"/>
        <v>32</v>
      </c>
      <c r="K718" s="17" t="s">
        <v>41</v>
      </c>
      <c r="L718" s="20">
        <v>113</v>
      </c>
      <c r="M718" s="26" t="s">
        <v>40</v>
      </c>
      <c r="N718">
        <v>154</v>
      </c>
    </row>
    <row r="719" spans="1:14">
      <c r="A719" s="24">
        <f t="shared" si="66"/>
        <v>274</v>
      </c>
      <c r="B719" s="66" t="s">
        <v>20</v>
      </c>
      <c r="C719" s="66" t="s">
        <v>113</v>
      </c>
      <c r="D719" s="66" t="s">
        <v>315</v>
      </c>
      <c r="E719" s="21">
        <f t="shared" ca="1" si="67"/>
        <v>40951</v>
      </c>
      <c r="F719" s="6">
        <f>DATE(66,2,2)</f>
        <v>24140</v>
      </c>
      <c r="G719" s="7">
        <f t="shared" ca="1" si="68"/>
        <v>46</v>
      </c>
      <c r="H719" s="7">
        <f t="shared" ca="1" si="69"/>
        <v>0</v>
      </c>
      <c r="I719" s="8">
        <f t="shared" ca="1" si="70"/>
        <v>10</v>
      </c>
      <c r="J719" s="9">
        <f t="shared" ca="1" si="71"/>
        <v>46</v>
      </c>
      <c r="K719" s="7" t="s">
        <v>41</v>
      </c>
      <c r="L719" s="10">
        <v>114</v>
      </c>
      <c r="M719" s="24" t="s">
        <v>40</v>
      </c>
      <c r="N719">
        <v>155</v>
      </c>
    </row>
    <row r="720" spans="1:14">
      <c r="A720" s="25">
        <f t="shared" si="66"/>
        <v>275</v>
      </c>
      <c r="B720" s="67" t="s">
        <v>20</v>
      </c>
      <c r="C720" s="67" t="s">
        <v>180</v>
      </c>
      <c r="D720" s="67" t="s">
        <v>315</v>
      </c>
      <c r="E720" s="22">
        <f t="shared" ca="1" si="67"/>
        <v>40951</v>
      </c>
      <c r="F720" s="11">
        <f>DATE(90,5,11)</f>
        <v>33004</v>
      </c>
      <c r="G720" s="12">
        <f t="shared" ca="1" si="68"/>
        <v>22</v>
      </c>
      <c r="H720" s="12">
        <f t="shared" ca="1" si="69"/>
        <v>-3</v>
      </c>
      <c r="I720" s="13">
        <f t="shared" ca="1" si="70"/>
        <v>1</v>
      </c>
      <c r="J720" s="14">
        <f t="shared" ca="1" si="71"/>
        <v>21</v>
      </c>
      <c r="K720" s="12" t="s">
        <v>41</v>
      </c>
      <c r="L720" s="15">
        <v>114</v>
      </c>
      <c r="M720" s="25" t="s">
        <v>44</v>
      </c>
      <c r="N720">
        <v>155</v>
      </c>
    </row>
    <row r="721" spans="1:14">
      <c r="A721" s="25">
        <f t="shared" si="66"/>
        <v>276</v>
      </c>
      <c r="B721" s="67" t="s">
        <v>20</v>
      </c>
      <c r="C721" s="67" t="s">
        <v>113</v>
      </c>
      <c r="D721" s="67" t="s">
        <v>77</v>
      </c>
      <c r="E721" s="22">
        <f t="shared" ca="1" si="67"/>
        <v>40951</v>
      </c>
      <c r="F721" s="32"/>
      <c r="G721" s="12">
        <f t="shared" ca="1" si="68"/>
        <v>112</v>
      </c>
      <c r="H721" s="12">
        <f t="shared" ca="1" si="69"/>
        <v>1</v>
      </c>
      <c r="I721" s="13">
        <f t="shared" ca="1" si="70"/>
        <v>12</v>
      </c>
      <c r="J721" s="14">
        <f t="shared" ca="1" si="71"/>
        <v>112</v>
      </c>
      <c r="K721" s="12" t="s">
        <v>41</v>
      </c>
      <c r="L721" s="15">
        <v>114</v>
      </c>
      <c r="M721" s="25" t="s">
        <v>44</v>
      </c>
      <c r="N721">
        <v>155</v>
      </c>
    </row>
    <row r="722" spans="1:14">
      <c r="A722" s="25">
        <f t="shared" si="66"/>
        <v>277</v>
      </c>
      <c r="B722" s="67" t="s">
        <v>20</v>
      </c>
      <c r="C722" s="67" t="s">
        <v>552</v>
      </c>
      <c r="D722" s="67" t="s">
        <v>967</v>
      </c>
      <c r="E722" s="22">
        <f t="shared" ca="1" si="67"/>
        <v>40951</v>
      </c>
      <c r="F722" s="11">
        <f>DATE(47,1,30)</f>
        <v>17197</v>
      </c>
      <c r="G722" s="12">
        <f t="shared" ca="1" si="68"/>
        <v>65</v>
      </c>
      <c r="H722" s="12">
        <f t="shared" ca="1" si="69"/>
        <v>1</v>
      </c>
      <c r="I722" s="13">
        <f t="shared" ca="1" si="70"/>
        <v>-18</v>
      </c>
      <c r="J722" s="14">
        <f t="shared" ca="1" si="71"/>
        <v>65</v>
      </c>
      <c r="K722" s="12" t="s">
        <v>41</v>
      </c>
      <c r="L722" s="15">
        <v>114</v>
      </c>
      <c r="M722" s="25" t="s">
        <v>40</v>
      </c>
      <c r="N722">
        <v>155</v>
      </c>
    </row>
    <row r="723" spans="1:14">
      <c r="A723" s="25">
        <f t="shared" si="66"/>
        <v>278</v>
      </c>
      <c r="B723" s="67" t="s">
        <v>20</v>
      </c>
      <c r="C723" s="67" t="s">
        <v>968</v>
      </c>
      <c r="D723" s="67" t="s">
        <v>969</v>
      </c>
      <c r="E723" s="22">
        <f t="shared" ca="1" si="67"/>
        <v>40951</v>
      </c>
      <c r="F723" s="11">
        <f>DATE(23,10,23)</f>
        <v>8697</v>
      </c>
      <c r="G723" s="12">
        <f t="shared" ca="1" si="68"/>
        <v>89</v>
      </c>
      <c r="H723" s="12">
        <f t="shared" ca="1" si="69"/>
        <v>-8</v>
      </c>
      <c r="I723" s="13">
        <f t="shared" ca="1" si="70"/>
        <v>-11</v>
      </c>
      <c r="J723" s="14">
        <f t="shared" ca="1" si="71"/>
        <v>88</v>
      </c>
      <c r="K723" s="12" t="s">
        <v>41</v>
      </c>
      <c r="L723" s="15">
        <v>114</v>
      </c>
      <c r="M723" s="25" t="s">
        <v>40</v>
      </c>
      <c r="N723">
        <v>155</v>
      </c>
    </row>
    <row r="724" spans="1:14">
      <c r="A724" s="25">
        <f t="shared" si="66"/>
        <v>279</v>
      </c>
      <c r="B724" s="67" t="s">
        <v>20</v>
      </c>
      <c r="C724" s="67" t="s">
        <v>779</v>
      </c>
      <c r="D724" s="67" t="s">
        <v>970</v>
      </c>
      <c r="E724" s="22">
        <f t="shared" ca="1" si="67"/>
        <v>40951</v>
      </c>
      <c r="F724" s="11">
        <f>DATE(74,8,9)</f>
        <v>27250</v>
      </c>
      <c r="G724" s="12">
        <f t="shared" ca="1" si="68"/>
        <v>38</v>
      </c>
      <c r="H724" s="12">
        <f t="shared" ca="1" si="69"/>
        <v>-6</v>
      </c>
      <c r="I724" s="13">
        <f t="shared" ca="1" si="70"/>
        <v>3</v>
      </c>
      <c r="J724" s="14">
        <f t="shared" ca="1" si="71"/>
        <v>37</v>
      </c>
      <c r="K724" s="12" t="s">
        <v>41</v>
      </c>
      <c r="L724" s="15">
        <v>114</v>
      </c>
      <c r="M724" s="25" t="s">
        <v>40</v>
      </c>
      <c r="N724">
        <v>155</v>
      </c>
    </row>
    <row r="725" spans="1:14">
      <c r="A725" s="25">
        <f t="shared" si="66"/>
        <v>280</v>
      </c>
      <c r="B725" s="67" t="s">
        <v>20</v>
      </c>
      <c r="C725" s="67" t="s">
        <v>480</v>
      </c>
      <c r="D725" s="67" t="s">
        <v>70</v>
      </c>
      <c r="E725" s="22">
        <f t="shared" ca="1" si="67"/>
        <v>40951</v>
      </c>
      <c r="F725" s="32"/>
      <c r="G725" s="12">
        <f t="shared" ca="1" si="68"/>
        <v>112</v>
      </c>
      <c r="H725" s="12">
        <f t="shared" ca="1" si="69"/>
        <v>1</v>
      </c>
      <c r="I725" s="13">
        <f t="shared" ca="1" si="70"/>
        <v>12</v>
      </c>
      <c r="J725" s="14">
        <f t="shared" ca="1" si="71"/>
        <v>112</v>
      </c>
      <c r="K725" s="12" t="s">
        <v>41</v>
      </c>
      <c r="L725" s="15">
        <v>115</v>
      </c>
      <c r="M725" s="25" t="s">
        <v>40</v>
      </c>
      <c r="N725">
        <v>155</v>
      </c>
    </row>
    <row r="726" spans="1:14">
      <c r="A726" s="25">
        <f t="shared" si="66"/>
        <v>281</v>
      </c>
      <c r="B726" s="67" t="s">
        <v>20</v>
      </c>
      <c r="C726" s="67" t="s">
        <v>810</v>
      </c>
      <c r="D726" s="67" t="s">
        <v>892</v>
      </c>
      <c r="E726" s="22">
        <f t="shared" ca="1" si="67"/>
        <v>40951</v>
      </c>
      <c r="F726" s="11">
        <f>DATE(66,2,26)</f>
        <v>24164</v>
      </c>
      <c r="G726" s="12">
        <f t="shared" ca="1" si="68"/>
        <v>46</v>
      </c>
      <c r="H726" s="12">
        <f t="shared" ca="1" si="69"/>
        <v>0</v>
      </c>
      <c r="I726" s="13">
        <f t="shared" ca="1" si="70"/>
        <v>-14</v>
      </c>
      <c r="J726" s="14">
        <f t="shared" ca="1" si="71"/>
        <v>45</v>
      </c>
      <c r="K726" s="12" t="s">
        <v>41</v>
      </c>
      <c r="L726" s="15">
        <v>115</v>
      </c>
      <c r="M726" s="25" t="s">
        <v>40</v>
      </c>
      <c r="N726">
        <v>155</v>
      </c>
    </row>
    <row r="727" spans="1:14" ht="15.75" thickBot="1">
      <c r="A727" s="26">
        <f t="shared" si="66"/>
        <v>282</v>
      </c>
      <c r="B727" s="67" t="s">
        <v>20</v>
      </c>
      <c r="C727" s="68" t="s">
        <v>976</v>
      </c>
      <c r="D727" s="68" t="s">
        <v>975</v>
      </c>
      <c r="E727" s="23">
        <f t="shared" ca="1" si="67"/>
        <v>40951</v>
      </c>
      <c r="F727" s="16">
        <f>DATE(71,5,1)</f>
        <v>26054</v>
      </c>
      <c r="G727" s="17">
        <f t="shared" ca="1" si="68"/>
        <v>41</v>
      </c>
      <c r="H727" s="17">
        <f t="shared" ca="1" si="69"/>
        <v>-3</v>
      </c>
      <c r="I727" s="18">
        <f t="shared" ca="1" si="70"/>
        <v>11</v>
      </c>
      <c r="J727" s="19">
        <f t="shared" ca="1" si="71"/>
        <v>40</v>
      </c>
      <c r="K727" s="17" t="s">
        <v>41</v>
      </c>
      <c r="L727" s="20">
        <v>115</v>
      </c>
      <c r="M727" s="26" t="s">
        <v>40</v>
      </c>
      <c r="N727">
        <v>155</v>
      </c>
    </row>
    <row r="728" spans="1:14">
      <c r="A728" s="25">
        <f t="shared" si="66"/>
        <v>283</v>
      </c>
      <c r="B728" s="67" t="s">
        <v>20</v>
      </c>
      <c r="C728" s="67" t="s">
        <v>979</v>
      </c>
      <c r="D728" s="67" t="s">
        <v>975</v>
      </c>
      <c r="E728" s="22">
        <f t="shared" ca="1" si="67"/>
        <v>40951</v>
      </c>
      <c r="F728" s="11">
        <f>DATE(96,12,18)</f>
        <v>35417</v>
      </c>
      <c r="G728" s="12">
        <f t="shared" ca="1" si="68"/>
        <v>16</v>
      </c>
      <c r="H728" s="12">
        <f t="shared" ca="1" si="69"/>
        <v>-10</v>
      </c>
      <c r="I728" s="13">
        <f t="shared" ca="1" si="70"/>
        <v>-6</v>
      </c>
      <c r="J728" s="14">
        <f t="shared" ca="1" si="71"/>
        <v>15</v>
      </c>
      <c r="K728" s="12" t="s">
        <v>41</v>
      </c>
      <c r="L728" s="15">
        <v>115</v>
      </c>
      <c r="M728" s="25" t="s">
        <v>44</v>
      </c>
      <c r="N728">
        <v>156</v>
      </c>
    </row>
    <row r="729" spans="1:14">
      <c r="A729" s="25">
        <f t="shared" si="66"/>
        <v>284</v>
      </c>
      <c r="B729" s="67" t="s">
        <v>20</v>
      </c>
      <c r="C729" s="67" t="s">
        <v>980</v>
      </c>
      <c r="D729" s="67" t="s">
        <v>193</v>
      </c>
      <c r="E729" s="22">
        <f t="shared" ca="1" si="67"/>
        <v>40951</v>
      </c>
      <c r="F729" s="11">
        <f>DATE(51,12,24)</f>
        <v>18986</v>
      </c>
      <c r="G729" s="12">
        <f t="shared" ca="1" si="68"/>
        <v>61</v>
      </c>
      <c r="H729" s="12">
        <f t="shared" ca="1" si="69"/>
        <v>-10</v>
      </c>
      <c r="I729" s="13">
        <f t="shared" ca="1" si="70"/>
        <v>-12</v>
      </c>
      <c r="J729" s="14">
        <f t="shared" ca="1" si="71"/>
        <v>60</v>
      </c>
      <c r="K729" s="12" t="s">
        <v>41</v>
      </c>
      <c r="L729" s="15">
        <v>115</v>
      </c>
      <c r="M729" s="25" t="s">
        <v>40</v>
      </c>
      <c r="N729">
        <v>156</v>
      </c>
    </row>
    <row r="730" spans="1:14">
      <c r="A730" s="25">
        <f t="shared" si="66"/>
        <v>285</v>
      </c>
      <c r="B730" s="67" t="s">
        <v>20</v>
      </c>
      <c r="C730" s="67" t="s">
        <v>981</v>
      </c>
      <c r="D730" s="67" t="s">
        <v>193</v>
      </c>
      <c r="E730" s="22">
        <f t="shared" ca="1" si="67"/>
        <v>40951</v>
      </c>
      <c r="F730" s="11">
        <f>DATE(83,11,1)</f>
        <v>30621</v>
      </c>
      <c r="G730" s="12">
        <f t="shared" ca="1" si="68"/>
        <v>29</v>
      </c>
      <c r="H730" s="12">
        <f t="shared" ca="1" si="69"/>
        <v>-9</v>
      </c>
      <c r="I730" s="13">
        <f t="shared" ca="1" si="70"/>
        <v>11</v>
      </c>
      <c r="J730" s="14">
        <f t="shared" ca="1" si="71"/>
        <v>28</v>
      </c>
      <c r="K730" s="12" t="s">
        <v>41</v>
      </c>
      <c r="L730" s="15">
        <v>115</v>
      </c>
      <c r="M730" s="25" t="s">
        <v>44</v>
      </c>
      <c r="N730">
        <v>156</v>
      </c>
    </row>
    <row r="731" spans="1:14">
      <c r="A731" s="25">
        <f t="shared" si="66"/>
        <v>286</v>
      </c>
      <c r="B731" s="67" t="s">
        <v>20</v>
      </c>
      <c r="C731" s="67" t="s">
        <v>62</v>
      </c>
      <c r="D731" s="67" t="s">
        <v>439</v>
      </c>
      <c r="E731" s="22">
        <f t="shared" ca="1" si="67"/>
        <v>40951</v>
      </c>
      <c r="F731" s="11">
        <f>DATE(65,4,28)</f>
        <v>23860</v>
      </c>
      <c r="G731" s="12">
        <f t="shared" ca="1" si="68"/>
        <v>47</v>
      </c>
      <c r="H731" s="12">
        <f t="shared" ca="1" si="69"/>
        <v>-2</v>
      </c>
      <c r="I731" s="13">
        <f t="shared" ca="1" si="70"/>
        <v>-16</v>
      </c>
      <c r="J731" s="14">
        <f t="shared" ca="1" si="71"/>
        <v>46</v>
      </c>
      <c r="K731" s="12" t="s">
        <v>41</v>
      </c>
      <c r="L731" s="15">
        <v>116</v>
      </c>
      <c r="M731" s="25" t="s">
        <v>40</v>
      </c>
      <c r="N731">
        <v>156</v>
      </c>
    </row>
    <row r="732" spans="1:14">
      <c r="A732" s="25">
        <f t="shared" si="66"/>
        <v>287</v>
      </c>
      <c r="B732" s="67" t="s">
        <v>20</v>
      </c>
      <c r="C732" s="67" t="s">
        <v>175</v>
      </c>
      <c r="D732" s="67" t="s">
        <v>142</v>
      </c>
      <c r="E732" s="22">
        <f t="shared" ca="1" si="67"/>
        <v>40951</v>
      </c>
      <c r="F732" s="11">
        <f>DATE(73,3,16)</f>
        <v>26739</v>
      </c>
      <c r="G732" s="12">
        <f t="shared" ca="1" si="68"/>
        <v>39</v>
      </c>
      <c r="H732" s="12">
        <f t="shared" ca="1" si="69"/>
        <v>-1</v>
      </c>
      <c r="I732" s="13">
        <f t="shared" ca="1" si="70"/>
        <v>-4</v>
      </c>
      <c r="J732" s="14">
        <f t="shared" ca="1" si="71"/>
        <v>38</v>
      </c>
      <c r="K732" s="12" t="s">
        <v>41</v>
      </c>
      <c r="L732" s="15">
        <v>116</v>
      </c>
      <c r="M732" s="25" t="s">
        <v>40</v>
      </c>
      <c r="N732">
        <v>156</v>
      </c>
    </row>
    <row r="733" spans="1:14" ht="15.75" thickBot="1">
      <c r="A733" s="26">
        <f t="shared" si="66"/>
        <v>288</v>
      </c>
      <c r="B733" s="67" t="s">
        <v>20</v>
      </c>
      <c r="C733" s="68" t="s">
        <v>206</v>
      </c>
      <c r="D733" s="68" t="s">
        <v>885</v>
      </c>
      <c r="E733" s="23">
        <f t="shared" ca="1" si="67"/>
        <v>40951</v>
      </c>
      <c r="F733" s="16">
        <f>DATE(2001,7,30)</f>
        <v>37102</v>
      </c>
      <c r="G733" s="17">
        <f t="shared" ca="1" si="68"/>
        <v>11</v>
      </c>
      <c r="H733" s="17">
        <f t="shared" ca="1" si="69"/>
        <v>-5</v>
      </c>
      <c r="I733" s="18">
        <f t="shared" ca="1" si="70"/>
        <v>-18</v>
      </c>
      <c r="J733" s="19">
        <f t="shared" ca="1" si="71"/>
        <v>10</v>
      </c>
      <c r="K733" s="17" t="s">
        <v>41</v>
      </c>
      <c r="L733" s="20">
        <v>116</v>
      </c>
      <c r="M733" s="26" t="s">
        <v>44</v>
      </c>
      <c r="N733">
        <v>156</v>
      </c>
    </row>
    <row r="734" spans="1:14">
      <c r="A734" s="24">
        <f t="shared" si="66"/>
        <v>289</v>
      </c>
      <c r="B734" s="66" t="s">
        <v>20</v>
      </c>
      <c r="C734" s="66" t="s">
        <v>194</v>
      </c>
      <c r="D734" s="66" t="s">
        <v>367</v>
      </c>
      <c r="E734" s="21">
        <f t="shared" ca="1" si="67"/>
        <v>40951</v>
      </c>
      <c r="F734" s="6">
        <f>DATE(68,12,18)</f>
        <v>25190</v>
      </c>
      <c r="G734" s="7">
        <f t="shared" ca="1" si="68"/>
        <v>44</v>
      </c>
      <c r="H734" s="7">
        <f t="shared" ca="1" si="69"/>
        <v>-10</v>
      </c>
      <c r="I734" s="8">
        <f t="shared" ca="1" si="70"/>
        <v>-6</v>
      </c>
      <c r="J734" s="9">
        <f t="shared" ca="1" si="71"/>
        <v>43</v>
      </c>
      <c r="K734" s="7" t="s">
        <v>41</v>
      </c>
      <c r="L734" s="10">
        <v>116</v>
      </c>
      <c r="M734" s="24" t="s">
        <v>40</v>
      </c>
      <c r="N734">
        <v>157</v>
      </c>
    </row>
    <row r="735" spans="1:14">
      <c r="A735" s="25">
        <f t="shared" si="66"/>
        <v>290</v>
      </c>
      <c r="B735" s="67" t="s">
        <v>20</v>
      </c>
      <c r="C735" s="67" t="s">
        <v>626</v>
      </c>
      <c r="D735" s="67" t="s">
        <v>341</v>
      </c>
      <c r="E735" s="22">
        <f t="shared" ca="1" si="67"/>
        <v>40951</v>
      </c>
      <c r="F735" s="11">
        <f>DATE(70,7,1)</f>
        <v>25750</v>
      </c>
      <c r="G735" s="12">
        <f t="shared" ca="1" si="68"/>
        <v>42</v>
      </c>
      <c r="H735" s="12">
        <f t="shared" ca="1" si="69"/>
        <v>-5</v>
      </c>
      <c r="I735" s="13">
        <f t="shared" ca="1" si="70"/>
        <v>11</v>
      </c>
      <c r="J735" s="14">
        <f t="shared" ca="1" si="71"/>
        <v>41</v>
      </c>
      <c r="K735" s="12" t="s">
        <v>41</v>
      </c>
      <c r="L735" s="15">
        <v>116</v>
      </c>
      <c r="M735" s="25" t="s">
        <v>40</v>
      </c>
      <c r="N735">
        <v>157</v>
      </c>
    </row>
    <row r="736" spans="1:14">
      <c r="A736" s="25">
        <f t="shared" si="66"/>
        <v>291</v>
      </c>
      <c r="B736" s="67" t="s">
        <v>20</v>
      </c>
      <c r="C736" s="67" t="s">
        <v>613</v>
      </c>
      <c r="D736" s="67" t="s">
        <v>341</v>
      </c>
      <c r="E736" s="22">
        <f t="shared" ca="1" si="67"/>
        <v>40951</v>
      </c>
      <c r="F736" s="11">
        <f>DATE(98,1,28)</f>
        <v>35823</v>
      </c>
      <c r="G736" s="12">
        <f t="shared" ca="1" si="68"/>
        <v>14</v>
      </c>
      <c r="H736" s="12">
        <f t="shared" ca="1" si="69"/>
        <v>1</v>
      </c>
      <c r="I736" s="13">
        <f t="shared" ca="1" si="70"/>
        <v>-16</v>
      </c>
      <c r="J736" s="14">
        <f t="shared" ca="1" si="71"/>
        <v>14</v>
      </c>
      <c r="K736" s="12" t="s">
        <v>41</v>
      </c>
      <c r="L736" s="15">
        <v>116</v>
      </c>
      <c r="M736" s="25" t="s">
        <v>40</v>
      </c>
      <c r="N736">
        <v>157</v>
      </c>
    </row>
    <row r="737" spans="1:14">
      <c r="A737" s="25">
        <f t="shared" si="66"/>
        <v>292</v>
      </c>
      <c r="B737" s="67" t="s">
        <v>20</v>
      </c>
      <c r="C737" s="67" t="s">
        <v>202</v>
      </c>
      <c r="D737" s="67" t="s">
        <v>341</v>
      </c>
      <c r="E737" s="22">
        <f t="shared" ca="1" si="67"/>
        <v>40951</v>
      </c>
      <c r="F737" s="11">
        <f>DATE(2002,5,27)</f>
        <v>37403</v>
      </c>
      <c r="G737" s="12">
        <f t="shared" ca="1" si="68"/>
        <v>10</v>
      </c>
      <c r="H737" s="12">
        <f t="shared" ca="1" si="69"/>
        <v>-3</v>
      </c>
      <c r="I737" s="13">
        <f t="shared" ca="1" si="70"/>
        <v>-15</v>
      </c>
      <c r="J737" s="14">
        <f t="shared" ca="1" si="71"/>
        <v>9</v>
      </c>
      <c r="K737" s="12" t="s">
        <v>41</v>
      </c>
      <c r="L737" s="15">
        <v>116</v>
      </c>
      <c r="M737" s="25" t="s">
        <v>40</v>
      </c>
      <c r="N737">
        <v>157</v>
      </c>
    </row>
    <row r="738" spans="1:14">
      <c r="A738" s="25">
        <f t="shared" si="66"/>
        <v>293</v>
      </c>
      <c r="B738" s="67" t="s">
        <v>20</v>
      </c>
      <c r="C738" s="67" t="s">
        <v>810</v>
      </c>
      <c r="D738" s="67" t="s">
        <v>277</v>
      </c>
      <c r="E738" s="22">
        <f t="shared" ca="1" si="67"/>
        <v>40951</v>
      </c>
      <c r="F738" s="11">
        <f>DATE(66,12,6)</f>
        <v>24447</v>
      </c>
      <c r="G738" s="12">
        <f t="shared" ca="1" si="68"/>
        <v>46</v>
      </c>
      <c r="H738" s="12">
        <f t="shared" ca="1" si="69"/>
        <v>-10</v>
      </c>
      <c r="I738" s="13">
        <f t="shared" ca="1" si="70"/>
        <v>6</v>
      </c>
      <c r="J738" s="14">
        <f t="shared" ca="1" si="71"/>
        <v>45</v>
      </c>
      <c r="K738" s="12" t="s">
        <v>41</v>
      </c>
      <c r="L738" s="15">
        <v>116</v>
      </c>
      <c r="M738" s="25" t="s">
        <v>40</v>
      </c>
      <c r="N738">
        <v>157</v>
      </c>
    </row>
    <row r="739" spans="1:14">
      <c r="A739" s="25">
        <f t="shared" si="66"/>
        <v>294</v>
      </c>
      <c r="B739" s="67" t="s">
        <v>20</v>
      </c>
      <c r="C739" s="67" t="s">
        <v>261</v>
      </c>
      <c r="D739" s="67" t="s">
        <v>208</v>
      </c>
      <c r="E739" s="22">
        <f t="shared" ca="1" si="67"/>
        <v>40951</v>
      </c>
      <c r="F739" s="11">
        <f>DATE(55,4,28)</f>
        <v>20207</v>
      </c>
      <c r="G739" s="12">
        <f t="shared" ca="1" si="68"/>
        <v>57</v>
      </c>
      <c r="H739" s="12">
        <f t="shared" ca="1" si="69"/>
        <v>-2</v>
      </c>
      <c r="I739" s="13">
        <f t="shared" ca="1" si="70"/>
        <v>-16</v>
      </c>
      <c r="J739" s="14">
        <f t="shared" ca="1" si="71"/>
        <v>56</v>
      </c>
      <c r="K739" s="12" t="s">
        <v>41</v>
      </c>
      <c r="L739" s="15">
        <v>117</v>
      </c>
      <c r="M739" s="25" t="s">
        <v>40</v>
      </c>
      <c r="N739">
        <v>157</v>
      </c>
    </row>
    <row r="740" spans="1:14" ht="15.75" thickBot="1">
      <c r="A740" s="26">
        <f t="shared" si="66"/>
        <v>295</v>
      </c>
      <c r="B740" s="67" t="s">
        <v>20</v>
      </c>
      <c r="C740" s="68" t="s">
        <v>246</v>
      </c>
      <c r="D740" s="68" t="s">
        <v>208</v>
      </c>
      <c r="E740" s="23">
        <f t="shared" ca="1" si="67"/>
        <v>40951</v>
      </c>
      <c r="F740" s="16">
        <f>DATE(86,1,23)</f>
        <v>31435</v>
      </c>
      <c r="G740" s="17">
        <f t="shared" ca="1" si="68"/>
        <v>26</v>
      </c>
      <c r="H740" s="17">
        <f t="shared" ca="1" si="69"/>
        <v>1</v>
      </c>
      <c r="I740" s="18">
        <f t="shared" ca="1" si="70"/>
        <v>-11</v>
      </c>
      <c r="J740" s="19">
        <f t="shared" ca="1" si="71"/>
        <v>26</v>
      </c>
      <c r="K740" s="17" t="s">
        <v>41</v>
      </c>
      <c r="L740" s="20">
        <v>117</v>
      </c>
      <c r="M740" s="26" t="s">
        <v>44</v>
      </c>
      <c r="N740">
        <v>157</v>
      </c>
    </row>
    <row r="741" spans="1:14">
      <c r="A741" s="24">
        <f t="shared" si="66"/>
        <v>296</v>
      </c>
      <c r="B741" s="66" t="s">
        <v>20</v>
      </c>
      <c r="C741" s="66" t="s">
        <v>503</v>
      </c>
      <c r="D741" s="66" t="s">
        <v>983</v>
      </c>
      <c r="E741" s="21">
        <f t="shared" ca="1" si="67"/>
        <v>40951</v>
      </c>
      <c r="F741" s="45"/>
      <c r="G741" s="7">
        <f t="shared" ca="1" si="68"/>
        <v>112</v>
      </c>
      <c r="H741" s="7">
        <f t="shared" ca="1" si="69"/>
        <v>1</v>
      </c>
      <c r="I741" s="8">
        <f t="shared" ca="1" si="70"/>
        <v>12</v>
      </c>
      <c r="J741" s="9">
        <f t="shared" ca="1" si="71"/>
        <v>112</v>
      </c>
      <c r="K741" s="7" t="s">
        <v>41</v>
      </c>
      <c r="L741" s="10">
        <v>117</v>
      </c>
      <c r="M741" s="24" t="s">
        <v>44</v>
      </c>
      <c r="N741">
        <v>158</v>
      </c>
    </row>
    <row r="742" spans="1:14">
      <c r="A742" s="25">
        <f t="shared" si="66"/>
        <v>297</v>
      </c>
      <c r="B742" s="67" t="s">
        <v>20</v>
      </c>
      <c r="C742" s="67" t="s">
        <v>984</v>
      </c>
      <c r="D742" s="67" t="s">
        <v>983</v>
      </c>
      <c r="E742" s="22">
        <f t="shared" ca="1" si="67"/>
        <v>40951</v>
      </c>
      <c r="F742" s="32"/>
      <c r="G742" s="12">
        <f t="shared" ca="1" si="68"/>
        <v>112</v>
      </c>
      <c r="H742" s="12">
        <f t="shared" ca="1" si="69"/>
        <v>1</v>
      </c>
      <c r="I742" s="13">
        <f t="shared" ca="1" si="70"/>
        <v>12</v>
      </c>
      <c r="J742" s="14">
        <f t="shared" ca="1" si="71"/>
        <v>112</v>
      </c>
      <c r="K742" s="12" t="s">
        <v>41</v>
      </c>
      <c r="L742" s="15">
        <v>117</v>
      </c>
      <c r="M742" s="25" t="s">
        <v>44</v>
      </c>
      <c r="N742">
        <v>158</v>
      </c>
    </row>
    <row r="743" spans="1:14">
      <c r="A743" s="25">
        <f t="shared" si="66"/>
        <v>298</v>
      </c>
      <c r="B743" s="67" t="s">
        <v>20</v>
      </c>
      <c r="C743" s="67" t="s">
        <v>200</v>
      </c>
      <c r="D743" s="67" t="s">
        <v>591</v>
      </c>
      <c r="E743" s="22">
        <f t="shared" ca="1" si="67"/>
        <v>40951</v>
      </c>
      <c r="F743" s="11">
        <f>DATE(54,11,23)</f>
        <v>20051</v>
      </c>
      <c r="G743" s="12">
        <f t="shared" ca="1" si="68"/>
        <v>58</v>
      </c>
      <c r="H743" s="12">
        <f t="shared" ca="1" si="69"/>
        <v>-9</v>
      </c>
      <c r="I743" s="13">
        <f t="shared" ca="1" si="70"/>
        <v>-11</v>
      </c>
      <c r="J743" s="14">
        <f t="shared" ca="1" si="71"/>
        <v>57</v>
      </c>
      <c r="K743" s="12" t="s">
        <v>41</v>
      </c>
      <c r="L743" s="15">
        <v>117</v>
      </c>
      <c r="M743" s="25" t="s">
        <v>40</v>
      </c>
      <c r="N743">
        <v>158</v>
      </c>
    </row>
    <row r="744" spans="1:14" ht="15.75" thickBot="1">
      <c r="A744" s="26">
        <f t="shared" si="66"/>
        <v>299</v>
      </c>
      <c r="B744" s="67" t="s">
        <v>20</v>
      </c>
      <c r="C744" s="68" t="s">
        <v>987</v>
      </c>
      <c r="D744" s="68" t="s">
        <v>591</v>
      </c>
      <c r="E744" s="23">
        <f t="shared" ca="1" si="67"/>
        <v>40951</v>
      </c>
      <c r="F744" s="16">
        <f>DATE(94,2,24)</f>
        <v>34389</v>
      </c>
      <c r="G744" s="17">
        <f t="shared" ca="1" si="68"/>
        <v>18</v>
      </c>
      <c r="H744" s="17">
        <f t="shared" ca="1" si="69"/>
        <v>0</v>
      </c>
      <c r="I744" s="18">
        <f t="shared" ca="1" si="70"/>
        <v>-12</v>
      </c>
      <c r="J744" s="19">
        <f t="shared" ca="1" si="71"/>
        <v>17</v>
      </c>
      <c r="K744" s="17" t="s">
        <v>41</v>
      </c>
      <c r="L744" s="20">
        <v>117</v>
      </c>
      <c r="M744" s="26" t="s">
        <v>44</v>
      </c>
      <c r="N744">
        <v>158</v>
      </c>
    </row>
    <row r="745" spans="1:14">
      <c r="A745" s="25">
        <f t="shared" si="66"/>
        <v>300</v>
      </c>
      <c r="B745" s="67" t="s">
        <v>20</v>
      </c>
      <c r="C745" s="67" t="s">
        <v>988</v>
      </c>
      <c r="D745" s="67" t="s">
        <v>99</v>
      </c>
      <c r="E745" s="22">
        <f t="shared" ca="1" si="67"/>
        <v>40951</v>
      </c>
      <c r="F745" s="11">
        <f>DATE(40,9,11)</f>
        <v>14865</v>
      </c>
      <c r="G745" s="12">
        <f t="shared" ca="1" si="68"/>
        <v>72</v>
      </c>
      <c r="H745" s="12">
        <f t="shared" ca="1" si="69"/>
        <v>-7</v>
      </c>
      <c r="I745" s="13">
        <f t="shared" ca="1" si="70"/>
        <v>1</v>
      </c>
      <c r="J745" s="14">
        <f t="shared" ca="1" si="71"/>
        <v>71</v>
      </c>
      <c r="K745" s="12" t="s">
        <v>41</v>
      </c>
      <c r="L745" s="15">
        <v>118</v>
      </c>
      <c r="M745" s="25" t="s">
        <v>40</v>
      </c>
      <c r="N745">
        <v>159</v>
      </c>
    </row>
    <row r="746" spans="1:14">
      <c r="A746" s="25">
        <f t="shared" si="66"/>
        <v>301</v>
      </c>
      <c r="B746" s="67" t="s">
        <v>20</v>
      </c>
      <c r="C746" s="67" t="s">
        <v>583</v>
      </c>
      <c r="D746" s="67" t="s">
        <v>210</v>
      </c>
      <c r="E746" s="22">
        <f t="shared" ca="1" si="67"/>
        <v>40951</v>
      </c>
      <c r="F746" s="11">
        <f>DATE(75,1,25)</f>
        <v>27419</v>
      </c>
      <c r="G746" s="12">
        <f t="shared" ca="1" si="68"/>
        <v>37</v>
      </c>
      <c r="H746" s="12">
        <f t="shared" ca="1" si="69"/>
        <v>1</v>
      </c>
      <c r="I746" s="13">
        <f t="shared" ca="1" si="70"/>
        <v>-13</v>
      </c>
      <c r="J746" s="14">
        <f t="shared" ca="1" si="71"/>
        <v>37</v>
      </c>
      <c r="K746" s="12" t="s">
        <v>41</v>
      </c>
      <c r="L746" s="15">
        <v>118</v>
      </c>
      <c r="M746" s="25" t="s">
        <v>40</v>
      </c>
      <c r="N746">
        <v>159</v>
      </c>
    </row>
    <row r="747" spans="1:14">
      <c r="A747" s="25">
        <f t="shared" si="66"/>
        <v>302</v>
      </c>
      <c r="B747" s="67" t="s">
        <v>20</v>
      </c>
      <c r="C747" s="67" t="s">
        <v>145</v>
      </c>
      <c r="D747" s="67" t="s">
        <v>210</v>
      </c>
      <c r="E747" s="22">
        <f t="shared" ca="1" si="67"/>
        <v>40951</v>
      </c>
      <c r="F747" s="11">
        <f>DATE(95,12,31)</f>
        <v>35064</v>
      </c>
      <c r="G747" s="12">
        <f t="shared" ca="1" si="68"/>
        <v>17</v>
      </c>
      <c r="H747" s="12">
        <f t="shared" ca="1" si="69"/>
        <v>-10</v>
      </c>
      <c r="I747" s="13">
        <f t="shared" ca="1" si="70"/>
        <v>-19</v>
      </c>
      <c r="J747" s="14">
        <f t="shared" ca="1" si="71"/>
        <v>16</v>
      </c>
      <c r="K747" s="12" t="s">
        <v>41</v>
      </c>
      <c r="L747" s="15">
        <v>118</v>
      </c>
      <c r="M747" s="25" t="s">
        <v>44</v>
      </c>
      <c r="N747">
        <v>159</v>
      </c>
    </row>
    <row r="748" spans="1:14" ht="15.75" thickBot="1">
      <c r="A748" s="26">
        <f t="shared" si="66"/>
        <v>303</v>
      </c>
      <c r="B748" s="67" t="s">
        <v>20</v>
      </c>
      <c r="C748" s="68" t="s">
        <v>167</v>
      </c>
      <c r="D748" s="68" t="s">
        <v>989</v>
      </c>
      <c r="E748" s="23">
        <f t="shared" ca="1" si="67"/>
        <v>40951</v>
      </c>
      <c r="F748" s="16">
        <f>DATE(77,3,23)</f>
        <v>28207</v>
      </c>
      <c r="G748" s="17">
        <f t="shared" ca="1" si="68"/>
        <v>35</v>
      </c>
      <c r="H748" s="17">
        <f t="shared" ca="1" si="69"/>
        <v>-1</v>
      </c>
      <c r="I748" s="18">
        <f t="shared" ca="1" si="70"/>
        <v>-11</v>
      </c>
      <c r="J748" s="19">
        <f t="shared" ca="1" si="71"/>
        <v>34</v>
      </c>
      <c r="K748" s="17" t="s">
        <v>41</v>
      </c>
      <c r="L748" s="20">
        <v>118</v>
      </c>
      <c r="M748" s="26" t="s">
        <v>40</v>
      </c>
      <c r="N748">
        <v>159</v>
      </c>
    </row>
    <row r="749" spans="1:14">
      <c r="A749" s="24">
        <f t="shared" si="66"/>
        <v>304</v>
      </c>
      <c r="B749" s="66" t="s">
        <v>20</v>
      </c>
      <c r="C749" s="66" t="s">
        <v>991</v>
      </c>
      <c r="D749" s="66" t="s">
        <v>463</v>
      </c>
      <c r="E749" s="21">
        <f t="shared" ca="1" si="67"/>
        <v>40951</v>
      </c>
      <c r="F749" s="45"/>
      <c r="G749" s="7">
        <f t="shared" ca="1" si="68"/>
        <v>112</v>
      </c>
      <c r="H749" s="7">
        <f t="shared" ca="1" si="69"/>
        <v>1</v>
      </c>
      <c r="I749" s="8">
        <f t="shared" ca="1" si="70"/>
        <v>12</v>
      </c>
      <c r="J749" s="9">
        <f t="shared" ca="1" si="71"/>
        <v>112</v>
      </c>
      <c r="K749" s="7" t="s">
        <v>41</v>
      </c>
      <c r="L749" s="10">
        <v>118</v>
      </c>
      <c r="M749" s="24" t="s">
        <v>40</v>
      </c>
      <c r="N749">
        <v>160</v>
      </c>
    </row>
    <row r="750" spans="1:14" ht="15.75" thickBot="1">
      <c r="A750" s="26">
        <f t="shared" si="66"/>
        <v>305</v>
      </c>
      <c r="B750" s="67" t="s">
        <v>20</v>
      </c>
      <c r="C750" s="68" t="s">
        <v>992</v>
      </c>
      <c r="D750" s="68" t="s">
        <v>463</v>
      </c>
      <c r="E750" s="23">
        <f t="shared" ca="1" si="67"/>
        <v>40951</v>
      </c>
      <c r="F750" s="16">
        <f>DATE(89,12,8)</f>
        <v>32850</v>
      </c>
      <c r="G750" s="17">
        <f t="shared" ca="1" si="68"/>
        <v>23</v>
      </c>
      <c r="H750" s="17">
        <f t="shared" ca="1" si="69"/>
        <v>-10</v>
      </c>
      <c r="I750" s="18">
        <f t="shared" ca="1" si="70"/>
        <v>4</v>
      </c>
      <c r="J750" s="19">
        <f t="shared" ca="1" si="71"/>
        <v>22</v>
      </c>
      <c r="K750" s="17" t="s">
        <v>41</v>
      </c>
      <c r="L750" s="20">
        <v>118</v>
      </c>
      <c r="M750" s="26" t="s">
        <v>44</v>
      </c>
      <c r="N750">
        <v>160</v>
      </c>
    </row>
    <row r="751" spans="1:14">
      <c r="A751" s="24">
        <f t="shared" si="66"/>
        <v>306</v>
      </c>
      <c r="B751" s="66" t="s">
        <v>20</v>
      </c>
      <c r="C751" s="66" t="s">
        <v>993</v>
      </c>
      <c r="D751" s="66" t="s">
        <v>463</v>
      </c>
      <c r="E751" s="21">
        <f t="shared" ca="1" si="67"/>
        <v>40951</v>
      </c>
      <c r="F751" s="6">
        <f>DATE(91,1,19)</f>
        <v>33257</v>
      </c>
      <c r="G751" s="7">
        <f t="shared" ca="1" si="68"/>
        <v>21</v>
      </c>
      <c r="H751" s="7">
        <f t="shared" ca="1" si="69"/>
        <v>1</v>
      </c>
      <c r="I751" s="8">
        <f t="shared" ca="1" si="70"/>
        <v>-7</v>
      </c>
      <c r="J751" s="9">
        <f t="shared" ca="1" si="71"/>
        <v>21</v>
      </c>
      <c r="K751" s="7" t="s">
        <v>41</v>
      </c>
      <c r="L751" s="10">
        <v>118</v>
      </c>
      <c r="M751" s="24" t="s">
        <v>44</v>
      </c>
      <c r="N751">
        <v>161</v>
      </c>
    </row>
    <row r="752" spans="1:14" ht="15.75" thickBot="1">
      <c r="A752" s="26">
        <f t="shared" si="66"/>
        <v>307</v>
      </c>
      <c r="B752" s="67" t="s">
        <v>20</v>
      </c>
      <c r="C752" s="68" t="s">
        <v>722</v>
      </c>
      <c r="D752" s="68" t="s">
        <v>463</v>
      </c>
      <c r="E752" s="23">
        <f t="shared" ca="1" si="67"/>
        <v>40951</v>
      </c>
      <c r="F752" s="16">
        <f>DATE(93,2,3)</f>
        <v>34003</v>
      </c>
      <c r="G752" s="17">
        <f t="shared" ca="1" si="68"/>
        <v>19</v>
      </c>
      <c r="H752" s="17">
        <f t="shared" ca="1" si="69"/>
        <v>0</v>
      </c>
      <c r="I752" s="18">
        <f t="shared" ca="1" si="70"/>
        <v>9</v>
      </c>
      <c r="J752" s="19">
        <f t="shared" ca="1" si="71"/>
        <v>19</v>
      </c>
      <c r="K752" s="17" t="s">
        <v>41</v>
      </c>
      <c r="L752" s="20">
        <v>118</v>
      </c>
      <c r="M752" s="26" t="s">
        <v>44</v>
      </c>
      <c r="N752">
        <v>161</v>
      </c>
    </row>
    <row r="753" spans="1:14">
      <c r="A753" s="24">
        <f t="shared" si="66"/>
        <v>308</v>
      </c>
      <c r="B753" s="66" t="s">
        <v>20</v>
      </c>
      <c r="C753" s="66" t="s">
        <v>990</v>
      </c>
      <c r="D753" s="66" t="s">
        <v>903</v>
      </c>
      <c r="E753" s="21">
        <f t="shared" ca="1" si="67"/>
        <v>40951</v>
      </c>
      <c r="F753" s="6">
        <f>DATE(57,3,16)</f>
        <v>20895</v>
      </c>
      <c r="G753" s="7">
        <f t="shared" ca="1" si="68"/>
        <v>55</v>
      </c>
      <c r="H753" s="7">
        <f t="shared" ca="1" si="69"/>
        <v>-1</v>
      </c>
      <c r="I753" s="8">
        <f t="shared" ca="1" si="70"/>
        <v>-4</v>
      </c>
      <c r="J753" s="9">
        <f t="shared" ca="1" si="71"/>
        <v>54</v>
      </c>
      <c r="K753" s="7" t="s">
        <v>41</v>
      </c>
      <c r="L753" s="10">
        <v>118</v>
      </c>
      <c r="M753" s="24" t="s">
        <v>40</v>
      </c>
      <c r="N753">
        <v>162</v>
      </c>
    </row>
    <row r="754" spans="1:14">
      <c r="A754" s="25">
        <f t="shared" si="66"/>
        <v>309</v>
      </c>
      <c r="B754" s="67" t="s">
        <v>20</v>
      </c>
      <c r="C754" s="67" t="s">
        <v>920</v>
      </c>
      <c r="D754" s="67" t="s">
        <v>903</v>
      </c>
      <c r="E754" s="22">
        <f t="shared" ca="1" si="67"/>
        <v>40951</v>
      </c>
      <c r="F754" s="11">
        <f>DATE(82,6,11)</f>
        <v>30113</v>
      </c>
      <c r="G754" s="12">
        <f t="shared" ca="1" si="68"/>
        <v>30</v>
      </c>
      <c r="H754" s="12">
        <f t="shared" ca="1" si="69"/>
        <v>-4</v>
      </c>
      <c r="I754" s="13">
        <f t="shared" ca="1" si="70"/>
        <v>1</v>
      </c>
      <c r="J754" s="14">
        <f t="shared" ca="1" si="71"/>
        <v>29</v>
      </c>
      <c r="K754" s="12" t="s">
        <v>41</v>
      </c>
      <c r="L754" s="15">
        <v>118</v>
      </c>
      <c r="M754" s="25" t="s">
        <v>44</v>
      </c>
      <c r="N754">
        <v>162</v>
      </c>
    </row>
    <row r="755" spans="1:14">
      <c r="A755" s="25">
        <f t="shared" si="66"/>
        <v>310</v>
      </c>
      <c r="B755" s="67" t="s">
        <v>20</v>
      </c>
      <c r="C755" s="67" t="s">
        <v>994</v>
      </c>
      <c r="D755" s="67" t="s">
        <v>743</v>
      </c>
      <c r="E755" s="22">
        <f t="shared" ca="1" si="67"/>
        <v>40951</v>
      </c>
      <c r="F755" s="32"/>
      <c r="G755" s="12">
        <f t="shared" ca="1" si="68"/>
        <v>112</v>
      </c>
      <c r="H755" s="12">
        <f t="shared" ca="1" si="69"/>
        <v>1</v>
      </c>
      <c r="I755" s="13">
        <f t="shared" ca="1" si="70"/>
        <v>12</v>
      </c>
      <c r="J755" s="14">
        <f t="shared" ca="1" si="71"/>
        <v>112</v>
      </c>
      <c r="K755" s="12" t="s">
        <v>41</v>
      </c>
      <c r="L755" s="15">
        <v>119</v>
      </c>
      <c r="M755" s="25" t="s">
        <v>40</v>
      </c>
      <c r="N755">
        <v>162</v>
      </c>
    </row>
    <row r="756" spans="1:14">
      <c r="A756" s="25">
        <f t="shared" si="66"/>
        <v>311</v>
      </c>
      <c r="B756" s="67" t="s">
        <v>20</v>
      </c>
      <c r="C756" s="67" t="s">
        <v>487</v>
      </c>
      <c r="D756" s="67" t="s">
        <v>767</v>
      </c>
      <c r="E756" s="22">
        <f t="shared" ca="1" si="67"/>
        <v>40951</v>
      </c>
      <c r="F756" s="11">
        <f>DATE(68,12,150)</f>
        <v>25322</v>
      </c>
      <c r="G756" s="12">
        <f t="shared" ca="1" si="68"/>
        <v>43</v>
      </c>
      <c r="H756" s="12">
        <f t="shared" ca="1" si="69"/>
        <v>-2</v>
      </c>
      <c r="I756" s="13">
        <f t="shared" ca="1" si="70"/>
        <v>-17</v>
      </c>
      <c r="J756" s="14">
        <f t="shared" ca="1" si="71"/>
        <v>42</v>
      </c>
      <c r="K756" s="12" t="s">
        <v>41</v>
      </c>
      <c r="L756" s="15">
        <v>119</v>
      </c>
      <c r="M756" s="25" t="s">
        <v>40</v>
      </c>
      <c r="N756">
        <v>162</v>
      </c>
    </row>
    <row r="757" spans="1:14" ht="15.75" thickBot="1">
      <c r="A757" s="26">
        <f t="shared" si="66"/>
        <v>312</v>
      </c>
      <c r="B757" s="67" t="s">
        <v>20</v>
      </c>
      <c r="C757" s="68" t="s">
        <v>995</v>
      </c>
      <c r="D757" s="68" t="s">
        <v>767</v>
      </c>
      <c r="E757" s="23">
        <f t="shared" ca="1" si="67"/>
        <v>40951</v>
      </c>
      <c r="F757" s="16">
        <f>DATE(92,8,3)</f>
        <v>33819</v>
      </c>
      <c r="G757" s="17">
        <f t="shared" ca="1" si="68"/>
        <v>20</v>
      </c>
      <c r="H757" s="17">
        <f t="shared" ca="1" si="69"/>
        <v>-6</v>
      </c>
      <c r="I757" s="18">
        <f t="shared" ca="1" si="70"/>
        <v>9</v>
      </c>
      <c r="J757" s="19">
        <f t="shared" ca="1" si="71"/>
        <v>19</v>
      </c>
      <c r="K757" s="17" t="s">
        <v>41</v>
      </c>
      <c r="L757" s="20">
        <v>119</v>
      </c>
      <c r="M757" s="26" t="s">
        <v>44</v>
      </c>
      <c r="N757">
        <v>162</v>
      </c>
    </row>
    <row r="758" spans="1:14">
      <c r="A758" s="25">
        <f t="shared" si="66"/>
        <v>313</v>
      </c>
      <c r="B758" s="67" t="s">
        <v>20</v>
      </c>
      <c r="C758" s="67" t="s">
        <v>211</v>
      </c>
      <c r="D758" s="67" t="s">
        <v>767</v>
      </c>
      <c r="E758" s="22">
        <f t="shared" ca="1" si="67"/>
        <v>40951</v>
      </c>
      <c r="F758" s="11">
        <f>DATE(94,9,16)</f>
        <v>34593</v>
      </c>
      <c r="G758" s="12">
        <f t="shared" ca="1" si="68"/>
        <v>18</v>
      </c>
      <c r="H758" s="12">
        <f t="shared" ca="1" si="69"/>
        <v>-7</v>
      </c>
      <c r="I758" s="13">
        <f t="shared" ca="1" si="70"/>
        <v>-4</v>
      </c>
      <c r="J758" s="14">
        <f t="shared" ca="1" si="71"/>
        <v>17</v>
      </c>
      <c r="K758" s="12" t="s">
        <v>41</v>
      </c>
      <c r="L758" s="15">
        <v>119</v>
      </c>
      <c r="M758" s="25" t="s">
        <v>44</v>
      </c>
      <c r="N758">
        <v>163</v>
      </c>
    </row>
    <row r="759" spans="1:14">
      <c r="A759" s="25">
        <f t="shared" si="66"/>
        <v>314</v>
      </c>
      <c r="B759" s="67" t="s">
        <v>20</v>
      </c>
      <c r="C759" s="67" t="s">
        <v>865</v>
      </c>
      <c r="D759" s="67" t="s">
        <v>996</v>
      </c>
      <c r="E759" s="22">
        <f t="shared" ca="1" si="67"/>
        <v>40951</v>
      </c>
      <c r="F759" s="11">
        <f>DATE(60,1,17)</f>
        <v>21932</v>
      </c>
      <c r="G759" s="12">
        <f t="shared" ca="1" si="68"/>
        <v>52</v>
      </c>
      <c r="H759" s="12">
        <f t="shared" ca="1" si="69"/>
        <v>1</v>
      </c>
      <c r="I759" s="13">
        <f t="shared" ca="1" si="70"/>
        <v>-5</v>
      </c>
      <c r="J759" s="14">
        <f t="shared" ca="1" si="71"/>
        <v>52</v>
      </c>
      <c r="K759" s="12" t="s">
        <v>41</v>
      </c>
      <c r="L759" s="15">
        <v>119</v>
      </c>
      <c r="M759" s="25" t="s">
        <v>40</v>
      </c>
      <c r="N759">
        <v>163</v>
      </c>
    </row>
    <row r="760" spans="1:14" ht="15.75" thickBot="1">
      <c r="A760" s="26">
        <f t="shared" si="66"/>
        <v>315</v>
      </c>
      <c r="B760" s="67" t="s">
        <v>20</v>
      </c>
      <c r="C760" s="68" t="s">
        <v>403</v>
      </c>
      <c r="D760" s="68" t="s">
        <v>996</v>
      </c>
      <c r="E760" s="23">
        <f t="shared" ca="1" si="67"/>
        <v>40951</v>
      </c>
      <c r="F760" s="16">
        <f>DATE(83,5,24)</f>
        <v>30460</v>
      </c>
      <c r="G760" s="17">
        <f t="shared" ca="1" si="68"/>
        <v>29</v>
      </c>
      <c r="H760" s="17">
        <f t="shared" ca="1" si="69"/>
        <v>-3</v>
      </c>
      <c r="I760" s="18">
        <f t="shared" ca="1" si="70"/>
        <v>-12</v>
      </c>
      <c r="J760" s="19">
        <f t="shared" ca="1" si="71"/>
        <v>28</v>
      </c>
      <c r="K760" s="17" t="s">
        <v>41</v>
      </c>
      <c r="L760" s="20">
        <v>119</v>
      </c>
      <c r="M760" s="26" t="s">
        <v>44</v>
      </c>
      <c r="N760">
        <v>163</v>
      </c>
    </row>
    <row r="761" spans="1:14">
      <c r="A761" s="24">
        <f t="shared" si="66"/>
        <v>316</v>
      </c>
      <c r="B761" s="66" t="s">
        <v>20</v>
      </c>
      <c r="C761" s="66" t="s">
        <v>776</v>
      </c>
      <c r="D761" s="66" t="s">
        <v>996</v>
      </c>
      <c r="E761" s="21">
        <f t="shared" ca="1" si="67"/>
        <v>40951</v>
      </c>
      <c r="F761" s="6">
        <f>DATE(84,9,28)</f>
        <v>30953</v>
      </c>
      <c r="G761" s="7">
        <f t="shared" ca="1" si="68"/>
        <v>28</v>
      </c>
      <c r="H761" s="7">
        <f t="shared" ca="1" si="69"/>
        <v>-7</v>
      </c>
      <c r="I761" s="8">
        <f t="shared" ca="1" si="70"/>
        <v>-16</v>
      </c>
      <c r="J761" s="9">
        <f t="shared" ca="1" si="71"/>
        <v>27</v>
      </c>
      <c r="K761" s="7" t="s">
        <v>41</v>
      </c>
      <c r="L761" s="7">
        <v>119</v>
      </c>
      <c r="M761" s="24" t="s">
        <v>44</v>
      </c>
      <c r="N761">
        <v>164</v>
      </c>
    </row>
    <row r="762" spans="1:14">
      <c r="A762" s="25">
        <f t="shared" si="66"/>
        <v>317</v>
      </c>
      <c r="B762" s="67" t="s">
        <v>20</v>
      </c>
      <c r="C762" s="67" t="s">
        <v>62</v>
      </c>
      <c r="D762" s="67" t="s">
        <v>997</v>
      </c>
      <c r="E762" s="22">
        <f t="shared" ca="1" si="67"/>
        <v>40951</v>
      </c>
      <c r="F762" s="11">
        <f>DATE(68,2,21)</f>
        <v>24889</v>
      </c>
      <c r="G762" s="12">
        <f t="shared" ca="1" si="68"/>
        <v>44</v>
      </c>
      <c r="H762" s="12">
        <f t="shared" ca="1" si="69"/>
        <v>0</v>
      </c>
      <c r="I762" s="13">
        <f t="shared" ca="1" si="70"/>
        <v>-9</v>
      </c>
      <c r="J762" s="14">
        <f t="shared" ca="1" si="71"/>
        <v>43</v>
      </c>
      <c r="K762" s="12" t="s">
        <v>41</v>
      </c>
      <c r="L762" s="12">
        <v>119</v>
      </c>
      <c r="M762" s="25" t="s">
        <v>40</v>
      </c>
      <c r="N762">
        <v>164</v>
      </c>
    </row>
    <row r="763" spans="1:14" ht="15.75" thickBot="1">
      <c r="A763" s="26">
        <f t="shared" si="66"/>
        <v>318</v>
      </c>
      <c r="B763" s="67" t="s">
        <v>20</v>
      </c>
      <c r="C763" s="68" t="s">
        <v>998</v>
      </c>
      <c r="D763" s="68" t="s">
        <v>997</v>
      </c>
      <c r="E763" s="23">
        <f t="shared" ca="1" si="67"/>
        <v>40951</v>
      </c>
      <c r="F763" s="16">
        <f>DATE(87,11,1)</f>
        <v>32082</v>
      </c>
      <c r="G763" s="17">
        <f t="shared" ca="1" si="68"/>
        <v>25</v>
      </c>
      <c r="H763" s="17">
        <f t="shared" ca="1" si="69"/>
        <v>-9</v>
      </c>
      <c r="I763" s="18">
        <f t="shared" ca="1" si="70"/>
        <v>11</v>
      </c>
      <c r="J763" s="19">
        <f t="shared" ca="1" si="71"/>
        <v>24</v>
      </c>
      <c r="K763" s="17" t="s">
        <v>41</v>
      </c>
      <c r="L763" s="17">
        <v>119</v>
      </c>
      <c r="M763" s="26" t="s">
        <v>44</v>
      </c>
      <c r="N763">
        <v>164</v>
      </c>
    </row>
    <row r="764" spans="1:14">
      <c r="A764" s="24">
        <f t="shared" si="66"/>
        <v>319</v>
      </c>
      <c r="B764" s="66" t="s">
        <v>20</v>
      </c>
      <c r="C764" s="66" t="s">
        <v>999</v>
      </c>
      <c r="D764" s="66" t="s">
        <v>997</v>
      </c>
      <c r="E764" s="21">
        <f t="shared" ca="1" si="67"/>
        <v>40951</v>
      </c>
      <c r="F764" s="6">
        <f>DATE(94,2,24)</f>
        <v>34389</v>
      </c>
      <c r="G764" s="7">
        <f t="shared" ca="1" si="68"/>
        <v>18</v>
      </c>
      <c r="H764" s="7">
        <f t="shared" ca="1" si="69"/>
        <v>0</v>
      </c>
      <c r="I764" s="8">
        <f t="shared" ca="1" si="70"/>
        <v>-12</v>
      </c>
      <c r="J764" s="9">
        <f t="shared" ca="1" si="71"/>
        <v>17</v>
      </c>
      <c r="K764" s="7" t="s">
        <v>41</v>
      </c>
      <c r="L764" s="7">
        <v>119</v>
      </c>
      <c r="M764" s="24" t="s">
        <v>44</v>
      </c>
      <c r="N764">
        <v>165</v>
      </c>
    </row>
    <row r="765" spans="1:14">
      <c r="A765" s="25">
        <f t="shared" si="66"/>
        <v>320</v>
      </c>
      <c r="B765" s="67" t="s">
        <v>20</v>
      </c>
      <c r="C765" s="67" t="s">
        <v>986</v>
      </c>
      <c r="D765" s="67" t="s">
        <v>1000</v>
      </c>
      <c r="E765" s="22">
        <f t="shared" ca="1" si="67"/>
        <v>40951</v>
      </c>
      <c r="F765" s="11">
        <f>DATE(76,9,14)</f>
        <v>28017</v>
      </c>
      <c r="G765" s="12">
        <f t="shared" ca="1" si="68"/>
        <v>36</v>
      </c>
      <c r="H765" s="12">
        <f t="shared" ca="1" si="69"/>
        <v>-7</v>
      </c>
      <c r="I765" s="13">
        <f t="shared" ca="1" si="70"/>
        <v>-2</v>
      </c>
      <c r="J765" s="14">
        <f t="shared" ca="1" si="71"/>
        <v>35</v>
      </c>
      <c r="K765" s="12" t="s">
        <v>41</v>
      </c>
      <c r="L765">
        <v>120</v>
      </c>
      <c r="M765" s="25" t="s">
        <v>44</v>
      </c>
      <c r="N765">
        <v>165</v>
      </c>
    </row>
    <row r="766" spans="1:14">
      <c r="A766" s="25">
        <f t="shared" ref="A766:A788" si="72">A765+1</f>
        <v>321</v>
      </c>
      <c r="B766" s="67" t="s">
        <v>20</v>
      </c>
      <c r="C766" s="67" t="s">
        <v>1002</v>
      </c>
      <c r="D766" s="67" t="s">
        <v>1000</v>
      </c>
      <c r="E766" s="22">
        <f t="shared" ca="1" si="67"/>
        <v>40951</v>
      </c>
      <c r="F766" s="11">
        <f>DATE(80,7,7)</f>
        <v>29409</v>
      </c>
      <c r="G766" s="12">
        <f t="shared" ca="1" si="68"/>
        <v>32</v>
      </c>
      <c r="H766" s="12">
        <f t="shared" ca="1" si="69"/>
        <v>-5</v>
      </c>
      <c r="I766" s="13">
        <f t="shared" ca="1" si="70"/>
        <v>5</v>
      </c>
      <c r="J766" s="14">
        <f t="shared" ca="1" si="71"/>
        <v>31</v>
      </c>
      <c r="K766" s="12" t="s">
        <v>41</v>
      </c>
      <c r="L766" s="12">
        <v>120</v>
      </c>
      <c r="M766" s="25" t="s">
        <v>44</v>
      </c>
      <c r="N766">
        <v>165</v>
      </c>
    </row>
    <row r="767" spans="1:14" ht="15.75" thickBot="1">
      <c r="A767" s="26">
        <f t="shared" si="72"/>
        <v>322</v>
      </c>
      <c r="B767" s="67" t="s">
        <v>20</v>
      </c>
      <c r="C767" s="68" t="s">
        <v>1004</v>
      </c>
      <c r="D767" s="68" t="s">
        <v>60</v>
      </c>
      <c r="E767" s="23">
        <f t="shared" ca="1" si="67"/>
        <v>40951</v>
      </c>
      <c r="F767" s="16">
        <f>DATE(59,4,4)</f>
        <v>21644</v>
      </c>
      <c r="G767" s="17">
        <f t="shared" ca="1" si="68"/>
        <v>53</v>
      </c>
      <c r="H767" s="17">
        <f t="shared" ca="1" si="69"/>
        <v>-2</v>
      </c>
      <c r="I767" s="18">
        <f t="shared" ca="1" si="70"/>
        <v>8</v>
      </c>
      <c r="J767" s="19">
        <f t="shared" ca="1" si="71"/>
        <v>52</v>
      </c>
      <c r="K767" s="17" t="s">
        <v>41</v>
      </c>
      <c r="L767" s="17">
        <v>120</v>
      </c>
      <c r="M767" s="26" t="s">
        <v>44</v>
      </c>
      <c r="N767">
        <v>165</v>
      </c>
    </row>
    <row r="768" spans="1:14">
      <c r="A768" s="25">
        <f t="shared" si="72"/>
        <v>323</v>
      </c>
      <c r="B768" s="67" t="s">
        <v>20</v>
      </c>
      <c r="C768" s="67" t="s">
        <v>486</v>
      </c>
      <c r="D768" s="67" t="s">
        <v>933</v>
      </c>
      <c r="E768" s="22">
        <f t="shared" ca="1" si="67"/>
        <v>40951</v>
      </c>
      <c r="F768" s="11">
        <f>DATE(84,1,10)</f>
        <v>30691</v>
      </c>
      <c r="G768" s="12">
        <f t="shared" ca="1" si="68"/>
        <v>28</v>
      </c>
      <c r="H768" s="12">
        <f t="shared" ca="1" si="69"/>
        <v>1</v>
      </c>
      <c r="I768" s="13">
        <f t="shared" ca="1" si="70"/>
        <v>2</v>
      </c>
      <c r="J768" s="14">
        <f t="shared" ca="1" si="71"/>
        <v>28</v>
      </c>
      <c r="K768" s="12" t="s">
        <v>41</v>
      </c>
      <c r="L768" s="12">
        <v>120</v>
      </c>
      <c r="M768" s="25" t="s">
        <v>44</v>
      </c>
      <c r="N768">
        <v>166</v>
      </c>
    </row>
    <row r="769" spans="1:14">
      <c r="A769" s="25">
        <f t="shared" si="72"/>
        <v>324</v>
      </c>
      <c r="B769" s="67" t="s">
        <v>20</v>
      </c>
      <c r="C769" s="67" t="s">
        <v>1007</v>
      </c>
      <c r="D769" s="67" t="s">
        <v>933</v>
      </c>
      <c r="E769" s="22">
        <f t="shared" ref="E769:E832" ca="1" si="73">TODAY()</f>
        <v>40951</v>
      </c>
      <c r="F769" s="11">
        <f>DATE(85,2,20)</f>
        <v>31098</v>
      </c>
      <c r="G769" s="12">
        <f t="shared" ref="G769:G832" ca="1" si="74">YEAR(E769)-YEAR(F769)</f>
        <v>27</v>
      </c>
      <c r="H769" s="12">
        <f t="shared" ref="H769:H832" ca="1" si="75">MONTH(E769)-MONTH(F769)</f>
        <v>0</v>
      </c>
      <c r="I769" s="13">
        <f t="shared" ref="I769:I832" ca="1" si="76">DAY(E769)-DAY(F769)</f>
        <v>-8</v>
      </c>
      <c r="J769" s="14">
        <f t="shared" ref="J769:J832" ca="1" si="77">IF(H769&lt;0,G769-1,IF(H769&gt;0,G769,IF(I769&lt;0,G769-1,G769)))</f>
        <v>26</v>
      </c>
      <c r="K769" s="12" t="s">
        <v>41</v>
      </c>
      <c r="L769" s="12">
        <v>120</v>
      </c>
      <c r="M769" s="25" t="s">
        <v>44</v>
      </c>
      <c r="N769">
        <v>166</v>
      </c>
    </row>
    <row r="770" spans="1:14">
      <c r="A770" s="25">
        <f t="shared" si="72"/>
        <v>325</v>
      </c>
      <c r="B770" s="67" t="s">
        <v>20</v>
      </c>
      <c r="C770" s="67" t="s">
        <v>986</v>
      </c>
      <c r="D770" s="67" t="s">
        <v>507</v>
      </c>
      <c r="E770" s="22">
        <f t="shared" ca="1" si="73"/>
        <v>40951</v>
      </c>
      <c r="F770" s="11">
        <f>DATE(90,12,4)</f>
        <v>33211</v>
      </c>
      <c r="G770" s="12">
        <f t="shared" ca="1" si="74"/>
        <v>22</v>
      </c>
      <c r="H770" s="12">
        <f t="shared" ca="1" si="75"/>
        <v>-10</v>
      </c>
      <c r="I770" s="13">
        <f t="shared" ca="1" si="76"/>
        <v>8</v>
      </c>
      <c r="J770" s="14">
        <f t="shared" ca="1" si="77"/>
        <v>21</v>
      </c>
      <c r="K770" s="12" t="s">
        <v>41</v>
      </c>
      <c r="L770" s="12">
        <v>120</v>
      </c>
      <c r="M770" s="25" t="s">
        <v>44</v>
      </c>
      <c r="N770">
        <v>166</v>
      </c>
    </row>
    <row r="771" spans="1:14" ht="15.75" thickBot="1">
      <c r="A771" s="26">
        <f t="shared" si="72"/>
        <v>326</v>
      </c>
      <c r="B771" s="67" t="s">
        <v>20</v>
      </c>
      <c r="C771" s="68" t="s">
        <v>1009</v>
      </c>
      <c r="D771" s="68" t="s">
        <v>507</v>
      </c>
      <c r="E771" s="23">
        <f t="shared" ca="1" si="73"/>
        <v>40951</v>
      </c>
      <c r="F771" s="16">
        <f>DATE(96,1,10)</f>
        <v>35074</v>
      </c>
      <c r="G771" s="17">
        <f t="shared" ca="1" si="74"/>
        <v>16</v>
      </c>
      <c r="H771" s="17">
        <f t="shared" ca="1" si="75"/>
        <v>1</v>
      </c>
      <c r="I771" s="18">
        <f t="shared" ca="1" si="76"/>
        <v>2</v>
      </c>
      <c r="J771" s="19">
        <f t="shared" ca="1" si="77"/>
        <v>16</v>
      </c>
      <c r="K771" s="17" t="s">
        <v>41</v>
      </c>
      <c r="L771" s="20">
        <v>120</v>
      </c>
      <c r="M771" s="26" t="s">
        <v>44</v>
      </c>
      <c r="N771">
        <v>166</v>
      </c>
    </row>
    <row r="772" spans="1:14">
      <c r="A772" s="24">
        <f t="shared" si="72"/>
        <v>327</v>
      </c>
      <c r="B772" s="66" t="s">
        <v>20</v>
      </c>
      <c r="C772" s="66" t="s">
        <v>1010</v>
      </c>
      <c r="D772" s="66" t="s">
        <v>507</v>
      </c>
      <c r="E772" s="21">
        <f t="shared" ca="1" si="73"/>
        <v>40951</v>
      </c>
      <c r="F772" s="6">
        <f>DATE(96,1,10)</f>
        <v>35074</v>
      </c>
      <c r="G772" s="7">
        <f t="shared" ca="1" si="74"/>
        <v>16</v>
      </c>
      <c r="H772" s="7">
        <f t="shared" ca="1" si="75"/>
        <v>1</v>
      </c>
      <c r="I772" s="8">
        <f t="shared" ca="1" si="76"/>
        <v>2</v>
      </c>
      <c r="J772" s="9">
        <f t="shared" ca="1" si="77"/>
        <v>16</v>
      </c>
      <c r="K772" s="7" t="s">
        <v>41</v>
      </c>
      <c r="L772" s="10">
        <v>120</v>
      </c>
      <c r="M772" s="24" t="s">
        <v>44</v>
      </c>
      <c r="N772">
        <v>167</v>
      </c>
    </row>
    <row r="773" spans="1:14">
      <c r="A773" s="25">
        <f t="shared" si="72"/>
        <v>328</v>
      </c>
      <c r="B773" s="67" t="s">
        <v>20</v>
      </c>
      <c r="C773" s="67" t="s">
        <v>344</v>
      </c>
      <c r="D773" s="67" t="s">
        <v>93</v>
      </c>
      <c r="E773" s="22">
        <f t="shared" ca="1" si="73"/>
        <v>40951</v>
      </c>
      <c r="F773" s="11">
        <f>DATE(91,12,280)</f>
        <v>33852</v>
      </c>
      <c r="G773" s="12">
        <f t="shared" ca="1" si="74"/>
        <v>20</v>
      </c>
      <c r="H773" s="12">
        <f t="shared" ca="1" si="75"/>
        <v>-7</v>
      </c>
      <c r="I773" s="13">
        <f t="shared" ca="1" si="76"/>
        <v>7</v>
      </c>
      <c r="J773" s="14">
        <f t="shared" ca="1" si="77"/>
        <v>19</v>
      </c>
      <c r="K773" s="12" t="s">
        <v>41</v>
      </c>
      <c r="L773" s="15">
        <v>121</v>
      </c>
      <c r="M773" s="25" t="s">
        <v>44</v>
      </c>
      <c r="N773">
        <v>167</v>
      </c>
    </row>
    <row r="774" spans="1:14">
      <c r="A774" s="25">
        <f t="shared" si="72"/>
        <v>329</v>
      </c>
      <c r="B774" s="67" t="s">
        <v>20</v>
      </c>
      <c r="C774" s="67" t="s">
        <v>151</v>
      </c>
      <c r="D774" s="67" t="s">
        <v>93</v>
      </c>
      <c r="E774" s="22">
        <f t="shared" ca="1" si="73"/>
        <v>40951</v>
      </c>
      <c r="F774" s="11">
        <f>DATE(95,10,25)</f>
        <v>34997</v>
      </c>
      <c r="G774" s="12">
        <f t="shared" ca="1" si="74"/>
        <v>17</v>
      </c>
      <c r="H774" s="12">
        <f t="shared" ca="1" si="75"/>
        <v>-8</v>
      </c>
      <c r="I774" s="13">
        <f t="shared" ca="1" si="76"/>
        <v>-13</v>
      </c>
      <c r="J774" s="14">
        <f t="shared" ca="1" si="77"/>
        <v>16</v>
      </c>
      <c r="K774" s="12" t="s">
        <v>41</v>
      </c>
      <c r="L774" s="15">
        <v>121</v>
      </c>
      <c r="M774" s="25" t="s">
        <v>44</v>
      </c>
      <c r="N774">
        <v>167</v>
      </c>
    </row>
    <row r="775" spans="1:14">
      <c r="A775" s="25">
        <f t="shared" si="72"/>
        <v>330</v>
      </c>
      <c r="B775" s="67" t="s">
        <v>20</v>
      </c>
      <c r="C775" s="67" t="s">
        <v>1012</v>
      </c>
      <c r="D775" s="67" t="s">
        <v>90</v>
      </c>
      <c r="E775" s="22">
        <f t="shared" ca="1" si="73"/>
        <v>40951</v>
      </c>
      <c r="F775" s="11">
        <f>DATE(57,9,9)</f>
        <v>21072</v>
      </c>
      <c r="G775" s="12">
        <f t="shared" ca="1" si="74"/>
        <v>55</v>
      </c>
      <c r="H775" s="12">
        <f t="shared" ca="1" si="75"/>
        <v>-7</v>
      </c>
      <c r="I775" s="13">
        <f t="shared" ca="1" si="76"/>
        <v>3</v>
      </c>
      <c r="J775" s="14">
        <f t="shared" ca="1" si="77"/>
        <v>54</v>
      </c>
      <c r="K775" s="12" t="s">
        <v>41</v>
      </c>
      <c r="L775" s="15">
        <v>121</v>
      </c>
      <c r="M775" s="25" t="s">
        <v>40</v>
      </c>
      <c r="N775">
        <v>167</v>
      </c>
    </row>
    <row r="776" spans="1:14">
      <c r="A776" s="25">
        <f t="shared" si="72"/>
        <v>331</v>
      </c>
      <c r="B776" s="67" t="s">
        <v>20</v>
      </c>
      <c r="C776" s="67" t="s">
        <v>1016</v>
      </c>
      <c r="D776" s="67" t="s">
        <v>49</v>
      </c>
      <c r="E776" s="22">
        <f t="shared" ca="1" si="73"/>
        <v>40951</v>
      </c>
      <c r="F776" s="11">
        <f>DATE(95,7,21)</f>
        <v>34901</v>
      </c>
      <c r="G776" s="12">
        <f t="shared" ca="1" si="74"/>
        <v>17</v>
      </c>
      <c r="H776" s="12">
        <f t="shared" ca="1" si="75"/>
        <v>-5</v>
      </c>
      <c r="I776" s="13">
        <f t="shared" ca="1" si="76"/>
        <v>-9</v>
      </c>
      <c r="J776" s="14">
        <f t="shared" ca="1" si="77"/>
        <v>16</v>
      </c>
      <c r="K776" s="12" t="s">
        <v>41</v>
      </c>
      <c r="L776" s="15">
        <v>121</v>
      </c>
      <c r="M776" s="25" t="s">
        <v>44</v>
      </c>
      <c r="N776">
        <v>167</v>
      </c>
    </row>
    <row r="777" spans="1:14" ht="15.75" thickBot="1">
      <c r="A777" s="26">
        <f t="shared" si="72"/>
        <v>332</v>
      </c>
      <c r="B777" s="67" t="s">
        <v>20</v>
      </c>
      <c r="C777" s="68" t="s">
        <v>1017</v>
      </c>
      <c r="D777" s="68" t="s">
        <v>49</v>
      </c>
      <c r="E777" s="23">
        <f t="shared" ca="1" si="73"/>
        <v>40951</v>
      </c>
      <c r="F777" s="16">
        <f>DATE(2002,7,7)</f>
        <v>37444</v>
      </c>
      <c r="G777" s="17">
        <f t="shared" ca="1" si="74"/>
        <v>10</v>
      </c>
      <c r="H777" s="17">
        <f t="shared" ca="1" si="75"/>
        <v>-5</v>
      </c>
      <c r="I777" s="18">
        <f t="shared" ca="1" si="76"/>
        <v>5</v>
      </c>
      <c r="J777" s="19">
        <f t="shared" ca="1" si="77"/>
        <v>9</v>
      </c>
      <c r="K777" s="17" t="s">
        <v>41</v>
      </c>
      <c r="L777" s="20">
        <v>121</v>
      </c>
      <c r="M777" s="26" t="s">
        <v>44</v>
      </c>
      <c r="N777">
        <v>167</v>
      </c>
    </row>
    <row r="778" spans="1:14">
      <c r="A778" s="24">
        <f t="shared" si="72"/>
        <v>333</v>
      </c>
      <c r="B778" s="66" t="s">
        <v>20</v>
      </c>
      <c r="C778" s="66" t="s">
        <v>554</v>
      </c>
      <c r="D778" s="66" t="s">
        <v>49</v>
      </c>
      <c r="E778" s="21">
        <f t="shared" ca="1" si="73"/>
        <v>40951</v>
      </c>
      <c r="F778" s="6">
        <f>DATE(2005,5,17)</f>
        <v>38489</v>
      </c>
      <c r="G778" s="7">
        <f t="shared" ca="1" si="74"/>
        <v>7</v>
      </c>
      <c r="H778" s="7">
        <f t="shared" ca="1" si="75"/>
        <v>-3</v>
      </c>
      <c r="I778" s="8">
        <f t="shared" ca="1" si="76"/>
        <v>-5</v>
      </c>
      <c r="J778" s="9">
        <f t="shared" ca="1" si="77"/>
        <v>6</v>
      </c>
      <c r="K778" s="7" t="s">
        <v>41</v>
      </c>
      <c r="L778" s="10">
        <v>121</v>
      </c>
      <c r="M778" s="24" t="s">
        <v>44</v>
      </c>
      <c r="N778">
        <v>168</v>
      </c>
    </row>
    <row r="779" spans="1:14">
      <c r="A779" s="25">
        <f t="shared" si="72"/>
        <v>334</v>
      </c>
      <c r="B779" s="67" t="s">
        <v>20</v>
      </c>
      <c r="C779" s="67" t="s">
        <v>523</v>
      </c>
      <c r="D779" s="67" t="s">
        <v>93</v>
      </c>
      <c r="E779" s="22">
        <f t="shared" ca="1" si="73"/>
        <v>40951</v>
      </c>
      <c r="F779" s="11">
        <f>DATE(61,10,22)</f>
        <v>22576</v>
      </c>
      <c r="G779" s="12">
        <f t="shared" ca="1" si="74"/>
        <v>51</v>
      </c>
      <c r="H779" s="12">
        <f t="shared" ca="1" si="75"/>
        <v>-8</v>
      </c>
      <c r="I779" s="13">
        <f t="shared" ca="1" si="76"/>
        <v>-10</v>
      </c>
      <c r="J779" s="14">
        <f t="shared" ca="1" si="77"/>
        <v>50</v>
      </c>
      <c r="K779" s="12" t="s">
        <v>41</v>
      </c>
      <c r="L779" s="15">
        <v>122</v>
      </c>
      <c r="M779" s="25" t="s">
        <v>40</v>
      </c>
      <c r="N779">
        <v>168</v>
      </c>
    </row>
    <row r="780" spans="1:14">
      <c r="A780" s="25">
        <f t="shared" si="72"/>
        <v>335</v>
      </c>
      <c r="B780" s="67" t="s">
        <v>20</v>
      </c>
      <c r="C780" s="67" t="s">
        <v>344</v>
      </c>
      <c r="D780" s="67" t="s">
        <v>93</v>
      </c>
      <c r="E780" s="22">
        <f t="shared" ca="1" si="73"/>
        <v>40951</v>
      </c>
      <c r="F780" s="11">
        <f>DATE(88,8,19)</f>
        <v>32374</v>
      </c>
      <c r="G780" s="12">
        <f t="shared" ca="1" si="74"/>
        <v>24</v>
      </c>
      <c r="H780" s="12">
        <f t="shared" ca="1" si="75"/>
        <v>-6</v>
      </c>
      <c r="I780" s="13">
        <f t="shared" ca="1" si="76"/>
        <v>-7</v>
      </c>
      <c r="J780" s="14">
        <f t="shared" ca="1" si="77"/>
        <v>23</v>
      </c>
      <c r="K780" s="12" t="s">
        <v>41</v>
      </c>
      <c r="L780" s="15">
        <v>122</v>
      </c>
      <c r="M780" s="25" t="s">
        <v>44</v>
      </c>
      <c r="N780">
        <v>168</v>
      </c>
    </row>
    <row r="781" spans="1:14" ht="15.75" thickBot="1">
      <c r="A781" s="26">
        <f t="shared" si="72"/>
        <v>336</v>
      </c>
      <c r="B781" s="67" t="s">
        <v>20</v>
      </c>
      <c r="C781" s="68" t="s">
        <v>1019</v>
      </c>
      <c r="D781" s="68" t="s">
        <v>93</v>
      </c>
      <c r="E781" s="23">
        <f t="shared" ca="1" si="73"/>
        <v>40951</v>
      </c>
      <c r="F781" s="16">
        <f>DATE(90,11,2)</f>
        <v>33179</v>
      </c>
      <c r="G781" s="17">
        <f t="shared" ca="1" si="74"/>
        <v>22</v>
      </c>
      <c r="H781" s="17">
        <f t="shared" ca="1" si="75"/>
        <v>-9</v>
      </c>
      <c r="I781" s="18">
        <f t="shared" ca="1" si="76"/>
        <v>10</v>
      </c>
      <c r="J781" s="19">
        <f t="shared" ca="1" si="77"/>
        <v>21</v>
      </c>
      <c r="K781" s="17" t="s">
        <v>41</v>
      </c>
      <c r="L781" s="20">
        <v>122</v>
      </c>
      <c r="M781" s="26" t="s">
        <v>44</v>
      </c>
      <c r="N781">
        <v>168</v>
      </c>
    </row>
    <row r="782" spans="1:14">
      <c r="A782" s="24">
        <f t="shared" si="72"/>
        <v>337</v>
      </c>
      <c r="B782" s="66" t="s">
        <v>20</v>
      </c>
      <c r="C782" s="66" t="s">
        <v>622</v>
      </c>
      <c r="D782" s="66" t="s">
        <v>109</v>
      </c>
      <c r="E782" s="21">
        <f t="shared" ca="1" si="73"/>
        <v>40951</v>
      </c>
      <c r="F782" s="6">
        <f>DATE(69,9,1)</f>
        <v>25447</v>
      </c>
      <c r="G782" s="7">
        <f t="shared" ca="1" si="74"/>
        <v>43</v>
      </c>
      <c r="H782" s="7">
        <f t="shared" ca="1" si="75"/>
        <v>-7</v>
      </c>
      <c r="I782" s="8">
        <f t="shared" ca="1" si="76"/>
        <v>11</v>
      </c>
      <c r="J782" s="9">
        <f t="shared" ca="1" si="77"/>
        <v>42</v>
      </c>
      <c r="K782" s="7" t="s">
        <v>41</v>
      </c>
      <c r="L782" s="10">
        <v>122</v>
      </c>
      <c r="M782" s="24" t="s">
        <v>40</v>
      </c>
      <c r="N782">
        <v>169</v>
      </c>
    </row>
    <row r="783" spans="1:14" ht="15.75" thickBot="1">
      <c r="A783" s="26">
        <f t="shared" si="72"/>
        <v>338</v>
      </c>
      <c r="B783" s="67" t="s">
        <v>20</v>
      </c>
      <c r="C783" s="68" t="s">
        <v>1020</v>
      </c>
      <c r="D783" s="68" t="s">
        <v>985</v>
      </c>
      <c r="E783" s="23">
        <f t="shared" ca="1" si="73"/>
        <v>40951</v>
      </c>
      <c r="F783" s="33"/>
      <c r="G783" s="17">
        <f t="shared" ca="1" si="74"/>
        <v>112</v>
      </c>
      <c r="H783" s="17">
        <f t="shared" ca="1" si="75"/>
        <v>1</v>
      </c>
      <c r="I783" s="18">
        <f t="shared" ca="1" si="76"/>
        <v>12</v>
      </c>
      <c r="J783" s="19">
        <f t="shared" ca="1" si="77"/>
        <v>112</v>
      </c>
      <c r="K783" s="17" t="s">
        <v>41</v>
      </c>
      <c r="L783" s="20">
        <v>122</v>
      </c>
      <c r="M783" s="26" t="s">
        <v>40</v>
      </c>
      <c r="N783">
        <v>169</v>
      </c>
    </row>
    <row r="784" spans="1:14">
      <c r="A784" s="24">
        <f t="shared" si="72"/>
        <v>339</v>
      </c>
      <c r="B784" s="66" t="s">
        <v>20</v>
      </c>
      <c r="C784" s="66" t="s">
        <v>774</v>
      </c>
      <c r="D784" s="66" t="s">
        <v>109</v>
      </c>
      <c r="E784" s="21">
        <f t="shared" ca="1" si="73"/>
        <v>40951</v>
      </c>
      <c r="F784" s="6">
        <f>DATE(89,3,24)</f>
        <v>32591</v>
      </c>
      <c r="G784" s="7">
        <f t="shared" ca="1" si="74"/>
        <v>23</v>
      </c>
      <c r="H784" s="7">
        <f t="shared" ca="1" si="75"/>
        <v>-1</v>
      </c>
      <c r="I784" s="8">
        <f t="shared" ca="1" si="76"/>
        <v>-12</v>
      </c>
      <c r="J784" s="9">
        <f t="shared" ca="1" si="77"/>
        <v>22</v>
      </c>
      <c r="K784" s="7" t="s">
        <v>41</v>
      </c>
      <c r="L784" s="10">
        <v>122</v>
      </c>
      <c r="M784" s="24" t="s">
        <v>44</v>
      </c>
      <c r="N784">
        <v>170</v>
      </c>
    </row>
    <row r="785" spans="1:14">
      <c r="A785" s="25">
        <f t="shared" si="72"/>
        <v>340</v>
      </c>
      <c r="B785" s="67" t="s">
        <v>20</v>
      </c>
      <c r="C785" s="67" t="s">
        <v>1021</v>
      </c>
      <c r="D785" s="67" t="s">
        <v>109</v>
      </c>
      <c r="E785" s="22">
        <f t="shared" ca="1" si="73"/>
        <v>40951</v>
      </c>
      <c r="F785" s="11">
        <f>DATE(90,5,2)</f>
        <v>32995</v>
      </c>
      <c r="G785" s="12">
        <f t="shared" ca="1" si="74"/>
        <v>22</v>
      </c>
      <c r="H785" s="12">
        <f t="shared" ca="1" si="75"/>
        <v>-3</v>
      </c>
      <c r="I785" s="13">
        <f t="shared" ca="1" si="76"/>
        <v>10</v>
      </c>
      <c r="J785" s="14">
        <f t="shared" ca="1" si="77"/>
        <v>21</v>
      </c>
      <c r="K785" s="12" t="s">
        <v>41</v>
      </c>
      <c r="L785" s="15">
        <v>122</v>
      </c>
      <c r="M785" s="25" t="s">
        <v>44</v>
      </c>
      <c r="N785">
        <v>170</v>
      </c>
    </row>
    <row r="786" spans="1:14">
      <c r="A786" s="25">
        <f t="shared" si="72"/>
        <v>341</v>
      </c>
      <c r="B786" s="67" t="s">
        <v>20</v>
      </c>
      <c r="C786" s="67" t="s">
        <v>62</v>
      </c>
      <c r="D786" s="67" t="s">
        <v>243</v>
      </c>
      <c r="E786" s="22">
        <f t="shared" ca="1" si="73"/>
        <v>40951</v>
      </c>
      <c r="F786" s="11">
        <f>DATE(65,7,200)</f>
        <v>24123</v>
      </c>
      <c r="G786" s="12">
        <f t="shared" ca="1" si="74"/>
        <v>46</v>
      </c>
      <c r="H786" s="12">
        <f t="shared" ca="1" si="75"/>
        <v>1</v>
      </c>
      <c r="I786" s="13">
        <f t="shared" ca="1" si="76"/>
        <v>-4</v>
      </c>
      <c r="J786" s="14">
        <f t="shared" ca="1" si="77"/>
        <v>46</v>
      </c>
      <c r="K786" s="12" t="s">
        <v>41</v>
      </c>
      <c r="L786" s="15">
        <v>122</v>
      </c>
      <c r="M786" s="25" t="s">
        <v>40</v>
      </c>
      <c r="N786">
        <v>170</v>
      </c>
    </row>
    <row r="787" spans="1:14" ht="15.75" thickBot="1">
      <c r="A787" s="26">
        <f t="shared" si="72"/>
        <v>342</v>
      </c>
      <c r="B787" s="67" t="s">
        <v>20</v>
      </c>
      <c r="C787" s="68" t="s">
        <v>631</v>
      </c>
      <c r="D787" s="68" t="s">
        <v>243</v>
      </c>
      <c r="E787" s="23">
        <f t="shared" ca="1" si="73"/>
        <v>40951</v>
      </c>
      <c r="F787" s="16">
        <f>DATE(87,10,15)</f>
        <v>32065</v>
      </c>
      <c r="G787" s="17">
        <f t="shared" ca="1" si="74"/>
        <v>25</v>
      </c>
      <c r="H787" s="17">
        <f t="shared" ca="1" si="75"/>
        <v>-8</v>
      </c>
      <c r="I787" s="18">
        <f t="shared" ca="1" si="76"/>
        <v>-3</v>
      </c>
      <c r="J787" s="19">
        <f t="shared" ca="1" si="77"/>
        <v>24</v>
      </c>
      <c r="K787" s="17" t="s">
        <v>41</v>
      </c>
      <c r="L787" s="20">
        <v>122</v>
      </c>
      <c r="M787" s="26" t="s">
        <v>44</v>
      </c>
      <c r="N787">
        <v>170</v>
      </c>
    </row>
    <row r="788" spans="1:14">
      <c r="A788" s="24">
        <f t="shared" si="72"/>
        <v>343</v>
      </c>
      <c r="B788" s="66" t="s">
        <v>20</v>
      </c>
      <c r="C788" s="66" t="s">
        <v>100</v>
      </c>
      <c r="D788" s="66" t="s">
        <v>243</v>
      </c>
      <c r="E788" s="21">
        <f t="shared" ca="1" si="73"/>
        <v>40951</v>
      </c>
      <c r="F788" s="6">
        <f>DATE(87,10,150)</f>
        <v>32200</v>
      </c>
      <c r="G788" s="7">
        <f t="shared" ca="1" si="74"/>
        <v>24</v>
      </c>
      <c r="H788" s="7">
        <f t="shared" ca="1" si="75"/>
        <v>0</v>
      </c>
      <c r="I788" s="8">
        <f t="shared" ca="1" si="76"/>
        <v>-15</v>
      </c>
      <c r="J788" s="9">
        <f t="shared" ca="1" si="77"/>
        <v>23</v>
      </c>
      <c r="K788" s="7" t="s">
        <v>41</v>
      </c>
      <c r="L788" s="10">
        <v>122</v>
      </c>
      <c r="M788" s="24" t="s">
        <v>44</v>
      </c>
      <c r="N788">
        <v>171</v>
      </c>
    </row>
    <row r="789" spans="1:14">
      <c r="A789" s="25">
        <f>A787+1</f>
        <v>343</v>
      </c>
      <c r="B789" s="67" t="s">
        <v>20</v>
      </c>
      <c r="C789" s="67" t="s">
        <v>62</v>
      </c>
      <c r="D789" s="67" t="s">
        <v>767</v>
      </c>
      <c r="E789" s="22">
        <f t="shared" ca="1" si="73"/>
        <v>40951</v>
      </c>
      <c r="F789" s="11">
        <f>DATE(65,8,13)</f>
        <v>23967</v>
      </c>
      <c r="G789" s="12">
        <f t="shared" ca="1" si="74"/>
        <v>47</v>
      </c>
      <c r="H789" s="12">
        <f t="shared" ca="1" si="75"/>
        <v>-6</v>
      </c>
      <c r="I789" s="13">
        <f t="shared" ca="1" si="76"/>
        <v>-1</v>
      </c>
      <c r="J789" s="14">
        <f t="shared" ca="1" si="77"/>
        <v>46</v>
      </c>
      <c r="K789" s="12" t="s">
        <v>41</v>
      </c>
      <c r="L789" s="15">
        <v>123</v>
      </c>
      <c r="M789" s="25" t="s">
        <v>40</v>
      </c>
      <c r="N789">
        <v>171</v>
      </c>
    </row>
    <row r="790" spans="1:14">
      <c r="A790" s="25">
        <f t="shared" ref="A790:A829" si="78">A789+1</f>
        <v>344</v>
      </c>
      <c r="B790" s="67" t="s">
        <v>20</v>
      </c>
      <c r="C790" s="67" t="s">
        <v>1023</v>
      </c>
      <c r="D790" s="67" t="s">
        <v>767</v>
      </c>
      <c r="E790" s="22">
        <f t="shared" ca="1" si="73"/>
        <v>40951</v>
      </c>
      <c r="F790" s="11">
        <f>DATE(2003,9,17)</f>
        <v>37881</v>
      </c>
      <c r="G790" s="12">
        <f t="shared" ca="1" si="74"/>
        <v>9</v>
      </c>
      <c r="H790" s="12">
        <f t="shared" ca="1" si="75"/>
        <v>-7</v>
      </c>
      <c r="I790" s="13">
        <f t="shared" ca="1" si="76"/>
        <v>-5</v>
      </c>
      <c r="J790" s="14">
        <f t="shared" ca="1" si="77"/>
        <v>8</v>
      </c>
      <c r="K790" s="12" t="s">
        <v>41</v>
      </c>
      <c r="L790" s="15">
        <v>123</v>
      </c>
      <c r="M790" s="25" t="s">
        <v>44</v>
      </c>
      <c r="N790">
        <v>171</v>
      </c>
    </row>
    <row r="791" spans="1:14">
      <c r="A791" s="25">
        <f t="shared" si="78"/>
        <v>345</v>
      </c>
      <c r="B791" s="67" t="s">
        <v>20</v>
      </c>
      <c r="C791" s="67" t="s">
        <v>1025</v>
      </c>
      <c r="D791" s="67" t="s">
        <v>602</v>
      </c>
      <c r="E791" s="22">
        <f t="shared" ca="1" si="73"/>
        <v>40951</v>
      </c>
      <c r="F791" s="32">
        <f>DATE(21,1,1)</f>
        <v>7672</v>
      </c>
      <c r="G791" s="12">
        <f t="shared" ca="1" si="74"/>
        <v>91</v>
      </c>
      <c r="H791" s="12">
        <f t="shared" ca="1" si="75"/>
        <v>1</v>
      </c>
      <c r="I791" s="13">
        <f t="shared" ca="1" si="76"/>
        <v>11</v>
      </c>
      <c r="J791" s="14">
        <f t="shared" ca="1" si="77"/>
        <v>91</v>
      </c>
      <c r="K791" s="12" t="s">
        <v>41</v>
      </c>
      <c r="L791" s="15">
        <v>123</v>
      </c>
      <c r="M791" s="25" t="s">
        <v>40</v>
      </c>
      <c r="N791">
        <v>171</v>
      </c>
    </row>
    <row r="792" spans="1:14">
      <c r="A792" s="25">
        <f t="shared" si="78"/>
        <v>346</v>
      </c>
      <c r="B792" s="67" t="s">
        <v>20</v>
      </c>
      <c r="C792" s="67" t="s">
        <v>113</v>
      </c>
      <c r="D792" s="67" t="s">
        <v>1026</v>
      </c>
      <c r="E792" s="22">
        <f t="shared" ca="1" si="73"/>
        <v>40951</v>
      </c>
      <c r="F792" s="11">
        <f>DATE(61,5,6)</f>
        <v>22407</v>
      </c>
      <c r="G792" s="12">
        <f t="shared" ca="1" si="74"/>
        <v>51</v>
      </c>
      <c r="H792" s="12">
        <f t="shared" ca="1" si="75"/>
        <v>-3</v>
      </c>
      <c r="I792" s="13">
        <f t="shared" ca="1" si="76"/>
        <v>6</v>
      </c>
      <c r="J792" s="14">
        <f t="shared" ca="1" si="77"/>
        <v>50</v>
      </c>
      <c r="K792" s="12" t="s">
        <v>41</v>
      </c>
      <c r="L792" s="15">
        <v>123</v>
      </c>
      <c r="M792" s="25" t="s">
        <v>40</v>
      </c>
      <c r="N792">
        <v>171</v>
      </c>
    </row>
    <row r="793" spans="1:14">
      <c r="A793" s="25">
        <f t="shared" si="78"/>
        <v>347</v>
      </c>
      <c r="B793" s="67" t="s">
        <v>20</v>
      </c>
      <c r="C793" s="67" t="s">
        <v>74</v>
      </c>
      <c r="D793" s="67" t="s">
        <v>1026</v>
      </c>
      <c r="E793" s="22">
        <f t="shared" ca="1" si="73"/>
        <v>40951</v>
      </c>
      <c r="F793" s="11">
        <f>DATE(86,7,3)</f>
        <v>31596</v>
      </c>
      <c r="G793" s="12">
        <f t="shared" ca="1" si="74"/>
        <v>26</v>
      </c>
      <c r="H793" s="12">
        <f t="shared" ca="1" si="75"/>
        <v>-5</v>
      </c>
      <c r="I793" s="13">
        <f t="shared" ca="1" si="76"/>
        <v>9</v>
      </c>
      <c r="J793" s="14">
        <f t="shared" ca="1" si="77"/>
        <v>25</v>
      </c>
      <c r="K793" s="12" t="s">
        <v>41</v>
      </c>
      <c r="L793" s="15">
        <v>123</v>
      </c>
      <c r="M793" s="25" t="s">
        <v>44</v>
      </c>
      <c r="N793">
        <v>171</v>
      </c>
    </row>
    <row r="794" spans="1:14" ht="15.75" thickBot="1">
      <c r="A794" s="26">
        <f t="shared" si="78"/>
        <v>348</v>
      </c>
      <c r="B794" s="67" t="s">
        <v>20</v>
      </c>
      <c r="C794" s="68" t="s">
        <v>1027</v>
      </c>
      <c r="D794" s="68" t="s">
        <v>190</v>
      </c>
      <c r="E794" s="23">
        <f t="shared" ca="1" si="73"/>
        <v>40951</v>
      </c>
      <c r="F794" s="16">
        <f>DATE(65,1,29)</f>
        <v>23771</v>
      </c>
      <c r="G794" s="17">
        <f t="shared" ca="1" si="74"/>
        <v>47</v>
      </c>
      <c r="H794" s="17">
        <f t="shared" ca="1" si="75"/>
        <v>1</v>
      </c>
      <c r="I794" s="18">
        <f t="shared" ca="1" si="76"/>
        <v>-17</v>
      </c>
      <c r="J794" s="19">
        <f t="shared" ca="1" si="77"/>
        <v>47</v>
      </c>
      <c r="K794" s="17" t="s">
        <v>41</v>
      </c>
      <c r="L794" s="20">
        <v>123</v>
      </c>
      <c r="M794" s="26" t="s">
        <v>40</v>
      </c>
      <c r="N794">
        <v>171</v>
      </c>
    </row>
    <row r="795" spans="1:14">
      <c r="A795" s="24">
        <f t="shared" si="78"/>
        <v>349</v>
      </c>
      <c r="B795" s="66" t="s">
        <v>20</v>
      </c>
      <c r="C795" s="66" t="s">
        <v>1028</v>
      </c>
      <c r="D795" s="66" t="s">
        <v>190</v>
      </c>
      <c r="E795" s="21">
        <f t="shared" ca="1" si="73"/>
        <v>40951</v>
      </c>
      <c r="F795" s="6">
        <f>DATE(88,4,23)</f>
        <v>32256</v>
      </c>
      <c r="G795" s="7">
        <f t="shared" ca="1" si="74"/>
        <v>24</v>
      </c>
      <c r="H795" s="7">
        <f t="shared" ca="1" si="75"/>
        <v>-2</v>
      </c>
      <c r="I795" s="8">
        <f t="shared" ca="1" si="76"/>
        <v>-11</v>
      </c>
      <c r="J795" s="9">
        <f t="shared" ca="1" si="77"/>
        <v>23</v>
      </c>
      <c r="K795" s="7" t="s">
        <v>41</v>
      </c>
      <c r="L795" s="10">
        <v>123</v>
      </c>
      <c r="M795" s="24" t="s">
        <v>44</v>
      </c>
      <c r="N795">
        <v>172</v>
      </c>
    </row>
    <row r="796" spans="1:14">
      <c r="A796" s="25">
        <f t="shared" si="78"/>
        <v>350</v>
      </c>
      <c r="B796" s="67" t="s">
        <v>20</v>
      </c>
      <c r="C796" s="67" t="s">
        <v>792</v>
      </c>
      <c r="D796" s="67" t="s">
        <v>516</v>
      </c>
      <c r="E796" s="22">
        <f t="shared" ca="1" si="73"/>
        <v>40951</v>
      </c>
      <c r="F796" s="11">
        <f>DATE(60,11,26)</f>
        <v>22246</v>
      </c>
      <c r="G796" s="12">
        <f t="shared" ca="1" si="74"/>
        <v>52</v>
      </c>
      <c r="H796" s="12">
        <f t="shared" ca="1" si="75"/>
        <v>-9</v>
      </c>
      <c r="I796" s="13">
        <f t="shared" ca="1" si="76"/>
        <v>-14</v>
      </c>
      <c r="J796" s="14">
        <f t="shared" ca="1" si="77"/>
        <v>51</v>
      </c>
      <c r="K796" s="12" t="s">
        <v>41</v>
      </c>
      <c r="L796" s="15">
        <v>124</v>
      </c>
      <c r="M796" s="25" t="s">
        <v>40</v>
      </c>
      <c r="N796">
        <v>172</v>
      </c>
    </row>
    <row r="797" spans="1:14">
      <c r="A797" s="25">
        <f t="shared" si="78"/>
        <v>351</v>
      </c>
      <c r="B797" s="67" t="s">
        <v>20</v>
      </c>
      <c r="C797" s="67" t="s">
        <v>95</v>
      </c>
      <c r="D797" s="67" t="s">
        <v>516</v>
      </c>
      <c r="E797" s="22">
        <f t="shared" ca="1" si="73"/>
        <v>40951</v>
      </c>
      <c r="F797" s="11">
        <f>DATE(84,10,24)</f>
        <v>30979</v>
      </c>
      <c r="G797" s="12">
        <f t="shared" ca="1" si="74"/>
        <v>28</v>
      </c>
      <c r="H797" s="12">
        <f t="shared" ca="1" si="75"/>
        <v>-8</v>
      </c>
      <c r="I797" s="13">
        <f t="shared" ca="1" si="76"/>
        <v>-12</v>
      </c>
      <c r="J797" s="14">
        <f t="shared" ca="1" si="77"/>
        <v>27</v>
      </c>
      <c r="K797" s="12" t="s">
        <v>41</v>
      </c>
      <c r="L797" s="15">
        <v>124</v>
      </c>
      <c r="M797" s="25" t="s">
        <v>44</v>
      </c>
      <c r="N797">
        <v>172</v>
      </c>
    </row>
    <row r="798" spans="1:14">
      <c r="A798" s="25">
        <f t="shared" si="78"/>
        <v>352</v>
      </c>
      <c r="B798" s="67" t="s">
        <v>20</v>
      </c>
      <c r="C798" s="67" t="s">
        <v>78</v>
      </c>
      <c r="D798" s="67" t="s">
        <v>189</v>
      </c>
      <c r="E798" s="22">
        <f t="shared" ca="1" si="73"/>
        <v>40951</v>
      </c>
      <c r="F798" s="11">
        <f>DATE(48,11,28)</f>
        <v>17865</v>
      </c>
      <c r="G798" s="12">
        <f t="shared" ca="1" si="74"/>
        <v>64</v>
      </c>
      <c r="H798" s="12">
        <f t="shared" ca="1" si="75"/>
        <v>-9</v>
      </c>
      <c r="I798" s="13">
        <f t="shared" ca="1" si="76"/>
        <v>-16</v>
      </c>
      <c r="J798" s="14">
        <f t="shared" ca="1" si="77"/>
        <v>63</v>
      </c>
      <c r="K798" s="12" t="s">
        <v>41</v>
      </c>
      <c r="L798" s="15">
        <v>124</v>
      </c>
      <c r="M798" s="25" t="s">
        <v>40</v>
      </c>
      <c r="N798">
        <v>172</v>
      </c>
    </row>
    <row r="799" spans="1:14">
      <c r="A799" s="25">
        <f t="shared" si="78"/>
        <v>353</v>
      </c>
      <c r="B799" s="67" t="s">
        <v>20</v>
      </c>
      <c r="C799" s="67" t="s">
        <v>350</v>
      </c>
      <c r="D799" s="67" t="s">
        <v>189</v>
      </c>
      <c r="E799" s="22">
        <f t="shared" ca="1" si="73"/>
        <v>40951</v>
      </c>
      <c r="F799" s="11">
        <f>DATE(82,1,1)</f>
        <v>29952</v>
      </c>
      <c r="G799" s="12">
        <f t="shared" ca="1" si="74"/>
        <v>30</v>
      </c>
      <c r="H799" s="12">
        <f t="shared" ca="1" si="75"/>
        <v>1</v>
      </c>
      <c r="I799" s="13">
        <f t="shared" ca="1" si="76"/>
        <v>11</v>
      </c>
      <c r="J799" s="14">
        <f t="shared" ca="1" si="77"/>
        <v>30</v>
      </c>
      <c r="K799" s="12" t="s">
        <v>41</v>
      </c>
      <c r="L799" s="15">
        <v>124</v>
      </c>
      <c r="M799" s="25" t="s">
        <v>44</v>
      </c>
      <c r="N799">
        <v>172</v>
      </c>
    </row>
    <row r="800" spans="1:14" ht="15.75" thickBot="1">
      <c r="A800" s="26">
        <f t="shared" si="78"/>
        <v>354</v>
      </c>
      <c r="B800" s="67" t="s">
        <v>20</v>
      </c>
      <c r="C800" s="68" t="s">
        <v>477</v>
      </c>
      <c r="D800" s="68" t="s">
        <v>320</v>
      </c>
      <c r="E800" s="23">
        <f t="shared" ca="1" si="73"/>
        <v>40951</v>
      </c>
      <c r="F800" s="16">
        <f>DATE(48,7,24)</f>
        <v>17738</v>
      </c>
      <c r="G800" s="17">
        <f t="shared" ca="1" si="74"/>
        <v>64</v>
      </c>
      <c r="H800" s="17">
        <f t="shared" ca="1" si="75"/>
        <v>-5</v>
      </c>
      <c r="I800" s="18">
        <f t="shared" ca="1" si="76"/>
        <v>-12</v>
      </c>
      <c r="J800" s="19">
        <f t="shared" ca="1" si="77"/>
        <v>63</v>
      </c>
      <c r="K800" s="17" t="s">
        <v>41</v>
      </c>
      <c r="L800" s="20">
        <v>125</v>
      </c>
      <c r="M800" s="26" t="s">
        <v>40</v>
      </c>
      <c r="N800">
        <v>172</v>
      </c>
    </row>
    <row r="801" spans="1:14">
      <c r="A801" s="24">
        <f t="shared" si="78"/>
        <v>355</v>
      </c>
      <c r="B801" s="66" t="s">
        <v>20</v>
      </c>
      <c r="C801" s="66" t="s">
        <v>175</v>
      </c>
      <c r="D801" s="66" t="s">
        <v>1030</v>
      </c>
      <c r="E801" s="21">
        <f t="shared" ca="1" si="73"/>
        <v>40951</v>
      </c>
      <c r="F801" s="6">
        <f>DATE(73,3,1)</f>
        <v>26724</v>
      </c>
      <c r="G801" s="7">
        <f t="shared" ca="1" si="74"/>
        <v>39</v>
      </c>
      <c r="H801" s="7">
        <f t="shared" ca="1" si="75"/>
        <v>-1</v>
      </c>
      <c r="I801" s="8">
        <f t="shared" ca="1" si="76"/>
        <v>11</v>
      </c>
      <c r="J801" s="9">
        <f t="shared" ca="1" si="77"/>
        <v>38</v>
      </c>
      <c r="K801" s="7" t="s">
        <v>41</v>
      </c>
      <c r="L801" s="10">
        <v>125</v>
      </c>
      <c r="M801" s="24" t="s">
        <v>40</v>
      </c>
      <c r="N801">
        <v>173</v>
      </c>
    </row>
    <row r="802" spans="1:14">
      <c r="A802" s="25">
        <f t="shared" si="78"/>
        <v>356</v>
      </c>
      <c r="B802" s="67" t="s">
        <v>20</v>
      </c>
      <c r="C802" s="67" t="s">
        <v>1031</v>
      </c>
      <c r="D802" s="67" t="s">
        <v>1030</v>
      </c>
      <c r="E802" s="22">
        <f t="shared" ca="1" si="73"/>
        <v>40951</v>
      </c>
      <c r="F802" s="11">
        <f>DATE(98,2,10)</f>
        <v>35836</v>
      </c>
      <c r="G802" s="12">
        <f t="shared" ca="1" si="74"/>
        <v>14</v>
      </c>
      <c r="H802" s="12">
        <f t="shared" ca="1" si="75"/>
        <v>0</v>
      </c>
      <c r="I802" s="13">
        <f t="shared" ca="1" si="76"/>
        <v>2</v>
      </c>
      <c r="J802" s="14">
        <f t="shared" ca="1" si="77"/>
        <v>14</v>
      </c>
      <c r="K802" s="12" t="s">
        <v>41</v>
      </c>
      <c r="L802" s="15">
        <v>125</v>
      </c>
      <c r="M802" s="25" t="s">
        <v>44</v>
      </c>
      <c r="N802">
        <v>173</v>
      </c>
    </row>
    <row r="803" spans="1:14">
      <c r="A803" s="25">
        <f t="shared" si="78"/>
        <v>357</v>
      </c>
      <c r="B803" s="67" t="s">
        <v>20</v>
      </c>
      <c r="C803" s="67" t="s">
        <v>1032</v>
      </c>
      <c r="D803" s="67" t="s">
        <v>118</v>
      </c>
      <c r="E803" s="22">
        <f t="shared" ca="1" si="73"/>
        <v>40951</v>
      </c>
      <c r="F803" s="11">
        <f>DATE(79,2,8)</f>
        <v>28894</v>
      </c>
      <c r="G803" s="12">
        <f t="shared" ca="1" si="74"/>
        <v>33</v>
      </c>
      <c r="H803" s="12">
        <f t="shared" ca="1" si="75"/>
        <v>0</v>
      </c>
      <c r="I803" s="13">
        <f t="shared" ca="1" si="76"/>
        <v>4</v>
      </c>
      <c r="J803" s="14">
        <f t="shared" ca="1" si="77"/>
        <v>33</v>
      </c>
      <c r="K803" s="12" t="s">
        <v>41</v>
      </c>
      <c r="L803" s="15">
        <v>125</v>
      </c>
      <c r="M803" s="25" t="s">
        <v>40</v>
      </c>
      <c r="N803">
        <v>173</v>
      </c>
    </row>
    <row r="804" spans="1:14">
      <c r="A804" s="25">
        <f t="shared" si="78"/>
        <v>358</v>
      </c>
      <c r="B804" s="67" t="s">
        <v>20</v>
      </c>
      <c r="C804" s="67" t="s">
        <v>1033</v>
      </c>
      <c r="D804" s="67" t="s">
        <v>989</v>
      </c>
      <c r="E804" s="22">
        <f t="shared" ca="1" si="73"/>
        <v>40951</v>
      </c>
      <c r="F804" s="11">
        <f>DATE(76,6,1)</f>
        <v>27912</v>
      </c>
      <c r="G804" s="12">
        <f t="shared" ca="1" si="74"/>
        <v>36</v>
      </c>
      <c r="H804" s="12">
        <f t="shared" ca="1" si="75"/>
        <v>-4</v>
      </c>
      <c r="I804" s="13">
        <f t="shared" ca="1" si="76"/>
        <v>11</v>
      </c>
      <c r="J804" s="14">
        <f t="shared" ca="1" si="77"/>
        <v>35</v>
      </c>
      <c r="K804" s="12" t="s">
        <v>41</v>
      </c>
      <c r="L804" s="15">
        <v>125</v>
      </c>
      <c r="M804" s="25" t="s">
        <v>40</v>
      </c>
      <c r="N804">
        <v>173</v>
      </c>
    </row>
    <row r="805" spans="1:14">
      <c r="A805" s="25">
        <f t="shared" si="78"/>
        <v>359</v>
      </c>
      <c r="B805" s="67" t="s">
        <v>20</v>
      </c>
      <c r="C805" s="67" t="s">
        <v>548</v>
      </c>
      <c r="D805" s="67" t="s">
        <v>423</v>
      </c>
      <c r="E805" s="22">
        <f t="shared" ca="1" si="73"/>
        <v>40951</v>
      </c>
      <c r="F805" s="32"/>
      <c r="G805" s="12">
        <f t="shared" ca="1" si="74"/>
        <v>112</v>
      </c>
      <c r="H805" s="12">
        <f t="shared" ca="1" si="75"/>
        <v>1</v>
      </c>
      <c r="I805" s="13">
        <f t="shared" ca="1" si="76"/>
        <v>12</v>
      </c>
      <c r="J805" s="14">
        <f t="shared" ca="1" si="77"/>
        <v>112</v>
      </c>
      <c r="K805" s="12" t="s">
        <v>41</v>
      </c>
      <c r="L805" s="15">
        <v>125</v>
      </c>
      <c r="M805" s="25" t="s">
        <v>40</v>
      </c>
      <c r="N805">
        <v>173</v>
      </c>
    </row>
    <row r="806" spans="1:14" ht="15.75" thickBot="1">
      <c r="A806" s="26">
        <f t="shared" si="78"/>
        <v>360</v>
      </c>
      <c r="B806" s="67" t="s">
        <v>20</v>
      </c>
      <c r="C806" s="68" t="s">
        <v>62</v>
      </c>
      <c r="D806" s="68" t="s">
        <v>142</v>
      </c>
      <c r="E806" s="23">
        <f t="shared" ca="1" si="73"/>
        <v>40951</v>
      </c>
      <c r="F806" s="16">
        <f>DATE(61,10,10)</f>
        <v>22564</v>
      </c>
      <c r="G806" s="17">
        <f t="shared" ca="1" si="74"/>
        <v>51</v>
      </c>
      <c r="H806" s="17">
        <f t="shared" ca="1" si="75"/>
        <v>-8</v>
      </c>
      <c r="I806" s="18">
        <f t="shared" ca="1" si="76"/>
        <v>2</v>
      </c>
      <c r="J806" s="19">
        <f t="shared" ca="1" si="77"/>
        <v>50</v>
      </c>
      <c r="K806" s="17" t="s">
        <v>41</v>
      </c>
      <c r="L806" s="20">
        <v>125</v>
      </c>
      <c r="M806" s="26" t="s">
        <v>40</v>
      </c>
      <c r="N806">
        <v>173</v>
      </c>
    </row>
    <row r="807" spans="1:14">
      <c r="A807" s="24">
        <f t="shared" si="78"/>
        <v>361</v>
      </c>
      <c r="B807" s="66" t="s">
        <v>20</v>
      </c>
      <c r="C807" s="66" t="s">
        <v>1035</v>
      </c>
      <c r="D807" s="66" t="s">
        <v>142</v>
      </c>
      <c r="E807" s="21">
        <f t="shared" ca="1" si="73"/>
        <v>40951</v>
      </c>
      <c r="F807" s="6">
        <f>DATE(93,6,25)</f>
        <v>34145</v>
      </c>
      <c r="G807" s="7">
        <f t="shared" ca="1" si="74"/>
        <v>19</v>
      </c>
      <c r="H807" s="7">
        <f t="shared" ca="1" si="75"/>
        <v>-4</v>
      </c>
      <c r="I807" s="8">
        <f t="shared" ca="1" si="76"/>
        <v>-13</v>
      </c>
      <c r="J807" s="9">
        <f t="shared" ca="1" si="77"/>
        <v>18</v>
      </c>
      <c r="K807" s="7" t="s">
        <v>41</v>
      </c>
      <c r="L807" s="10">
        <v>125</v>
      </c>
      <c r="M807" s="24" t="s">
        <v>44</v>
      </c>
      <c r="N807">
        <v>174</v>
      </c>
    </row>
    <row r="808" spans="1:14">
      <c r="A808" s="25">
        <f t="shared" si="78"/>
        <v>362</v>
      </c>
      <c r="B808" s="67" t="s">
        <v>20</v>
      </c>
      <c r="C808" s="67" t="s">
        <v>1037</v>
      </c>
      <c r="D808" s="67" t="s">
        <v>94</v>
      </c>
      <c r="E808" s="22">
        <f t="shared" ca="1" si="73"/>
        <v>40951</v>
      </c>
      <c r="F808" s="32"/>
      <c r="G808" s="12">
        <f t="shared" ca="1" si="74"/>
        <v>112</v>
      </c>
      <c r="H808" s="12">
        <f t="shared" ca="1" si="75"/>
        <v>1</v>
      </c>
      <c r="I808" s="13">
        <f t="shared" ca="1" si="76"/>
        <v>12</v>
      </c>
      <c r="J808" s="14">
        <f t="shared" ca="1" si="77"/>
        <v>112</v>
      </c>
      <c r="K808" s="12" t="s">
        <v>41</v>
      </c>
      <c r="L808" s="15">
        <v>125</v>
      </c>
      <c r="M808" s="25" t="s">
        <v>44</v>
      </c>
      <c r="N808">
        <v>174</v>
      </c>
    </row>
    <row r="809" spans="1:14" ht="15.75" thickBot="1">
      <c r="A809" s="26">
        <f t="shared" si="78"/>
        <v>363</v>
      </c>
      <c r="B809" s="67" t="s">
        <v>20</v>
      </c>
      <c r="C809" s="68" t="s">
        <v>994</v>
      </c>
      <c r="D809" s="68" t="s">
        <v>94</v>
      </c>
      <c r="E809" s="23">
        <f t="shared" ca="1" si="73"/>
        <v>40951</v>
      </c>
      <c r="F809" s="33"/>
      <c r="G809" s="17">
        <f t="shared" ca="1" si="74"/>
        <v>112</v>
      </c>
      <c r="H809" s="17">
        <f t="shared" ca="1" si="75"/>
        <v>1</v>
      </c>
      <c r="I809" s="18">
        <f t="shared" ca="1" si="76"/>
        <v>12</v>
      </c>
      <c r="J809" s="19">
        <f t="shared" ca="1" si="77"/>
        <v>112</v>
      </c>
      <c r="K809" s="17" t="s">
        <v>41</v>
      </c>
      <c r="L809" s="20">
        <v>125</v>
      </c>
      <c r="M809" s="26" t="s">
        <v>44</v>
      </c>
      <c r="N809">
        <v>174</v>
      </c>
    </row>
    <row r="810" spans="1:14">
      <c r="A810" s="24">
        <f t="shared" si="78"/>
        <v>364</v>
      </c>
      <c r="B810" s="66" t="s">
        <v>20</v>
      </c>
      <c r="C810" s="66" t="s">
        <v>781</v>
      </c>
      <c r="D810" s="66" t="s">
        <v>94</v>
      </c>
      <c r="E810" s="21">
        <f t="shared" ca="1" si="73"/>
        <v>40951</v>
      </c>
      <c r="F810" s="45"/>
      <c r="G810" s="7">
        <f t="shared" ca="1" si="74"/>
        <v>112</v>
      </c>
      <c r="H810" s="7">
        <f t="shared" ca="1" si="75"/>
        <v>1</v>
      </c>
      <c r="I810" s="8">
        <f t="shared" ca="1" si="76"/>
        <v>12</v>
      </c>
      <c r="J810" s="9">
        <f t="shared" ca="1" si="77"/>
        <v>112</v>
      </c>
      <c r="K810" s="7" t="s">
        <v>41</v>
      </c>
      <c r="L810" s="10">
        <v>125</v>
      </c>
      <c r="M810" s="24" t="s">
        <v>44</v>
      </c>
      <c r="N810">
        <v>175</v>
      </c>
    </row>
    <row r="811" spans="1:14" ht="15.75" thickBot="1">
      <c r="A811" s="26">
        <f t="shared" si="78"/>
        <v>365</v>
      </c>
      <c r="B811" s="67" t="s">
        <v>20</v>
      </c>
      <c r="C811" s="68" t="s">
        <v>293</v>
      </c>
      <c r="D811" s="68" t="s">
        <v>292</v>
      </c>
      <c r="E811" s="23">
        <f t="shared" ca="1" si="73"/>
        <v>40951</v>
      </c>
      <c r="F811" s="16">
        <f>DATE(46,14,5)</f>
        <v>17203</v>
      </c>
      <c r="G811" s="17">
        <f t="shared" ca="1" si="74"/>
        <v>65</v>
      </c>
      <c r="H811" s="17">
        <f t="shared" ca="1" si="75"/>
        <v>0</v>
      </c>
      <c r="I811" s="18">
        <f t="shared" ca="1" si="76"/>
        <v>7</v>
      </c>
      <c r="J811" s="19">
        <f t="shared" ca="1" si="77"/>
        <v>65</v>
      </c>
      <c r="K811" s="17" t="s">
        <v>41</v>
      </c>
      <c r="L811" s="20">
        <v>126</v>
      </c>
      <c r="M811" s="26" t="s">
        <v>40</v>
      </c>
      <c r="N811">
        <v>175</v>
      </c>
    </row>
    <row r="812" spans="1:14">
      <c r="A812" s="24">
        <f t="shared" si="78"/>
        <v>366</v>
      </c>
      <c r="B812" s="66" t="s">
        <v>20</v>
      </c>
      <c r="C812" s="66" t="s">
        <v>295</v>
      </c>
      <c r="D812" s="66" t="s">
        <v>294</v>
      </c>
      <c r="E812" s="21">
        <f t="shared" ca="1" si="73"/>
        <v>40951</v>
      </c>
      <c r="F812" s="6">
        <f>DATE(76,1,25)</f>
        <v>27784</v>
      </c>
      <c r="G812" s="7">
        <f t="shared" ca="1" si="74"/>
        <v>36</v>
      </c>
      <c r="H812" s="7">
        <f t="shared" ca="1" si="75"/>
        <v>1</v>
      </c>
      <c r="I812" s="8">
        <f t="shared" ca="1" si="76"/>
        <v>-13</v>
      </c>
      <c r="J812" s="9">
        <f t="shared" ca="1" si="77"/>
        <v>36</v>
      </c>
      <c r="K812" s="7" t="s">
        <v>41</v>
      </c>
      <c r="L812" s="10">
        <v>126</v>
      </c>
      <c r="M812" s="24" t="s">
        <v>40</v>
      </c>
      <c r="N812">
        <v>176</v>
      </c>
    </row>
    <row r="813" spans="1:14">
      <c r="A813" s="25">
        <f t="shared" si="78"/>
        <v>367</v>
      </c>
      <c r="B813" s="67" t="s">
        <v>20</v>
      </c>
      <c r="C813" s="67" t="s">
        <v>296</v>
      </c>
      <c r="D813" s="67" t="s">
        <v>294</v>
      </c>
      <c r="E813" s="22">
        <f t="shared" ca="1" si="73"/>
        <v>40951</v>
      </c>
      <c r="F813" s="11">
        <f>DATE(2002,10,29)</f>
        <v>37558</v>
      </c>
      <c r="G813" s="12">
        <f t="shared" ca="1" si="74"/>
        <v>10</v>
      </c>
      <c r="H813" s="12">
        <f t="shared" ca="1" si="75"/>
        <v>-8</v>
      </c>
      <c r="I813" s="13">
        <f t="shared" ca="1" si="76"/>
        <v>-17</v>
      </c>
      <c r="J813" s="14">
        <f t="shared" ca="1" si="77"/>
        <v>9</v>
      </c>
      <c r="K813" s="12" t="s">
        <v>41</v>
      </c>
      <c r="L813" s="15">
        <v>126</v>
      </c>
      <c r="M813" s="25" t="s">
        <v>44</v>
      </c>
      <c r="N813">
        <v>176</v>
      </c>
    </row>
    <row r="814" spans="1:14">
      <c r="A814" s="25">
        <f t="shared" si="78"/>
        <v>368</v>
      </c>
      <c r="B814" s="67" t="s">
        <v>20</v>
      </c>
      <c r="C814" s="67" t="s">
        <v>188</v>
      </c>
      <c r="D814" s="67" t="s">
        <v>298</v>
      </c>
      <c r="E814" s="22">
        <f t="shared" ca="1" si="73"/>
        <v>40951</v>
      </c>
      <c r="F814" s="11">
        <f>DATE(42,9,8)</f>
        <v>15592</v>
      </c>
      <c r="G814" s="12">
        <f t="shared" ca="1" si="74"/>
        <v>70</v>
      </c>
      <c r="H814" s="12">
        <f t="shared" ca="1" si="75"/>
        <v>-7</v>
      </c>
      <c r="I814" s="13">
        <f t="shared" ca="1" si="76"/>
        <v>4</v>
      </c>
      <c r="J814" s="14">
        <f t="shared" ca="1" si="77"/>
        <v>69</v>
      </c>
      <c r="K814" s="12" t="s">
        <v>41</v>
      </c>
      <c r="L814" s="15">
        <v>126</v>
      </c>
      <c r="M814" s="25" t="s">
        <v>40</v>
      </c>
      <c r="N814">
        <v>176</v>
      </c>
    </row>
    <row r="815" spans="1:14" ht="15.75" thickBot="1">
      <c r="A815" s="26">
        <f t="shared" si="78"/>
        <v>369</v>
      </c>
      <c r="B815" s="67" t="s">
        <v>20</v>
      </c>
      <c r="C815" s="68" t="s">
        <v>192</v>
      </c>
      <c r="D815" s="68" t="s">
        <v>299</v>
      </c>
      <c r="E815" s="23">
        <f t="shared" ca="1" si="73"/>
        <v>40951</v>
      </c>
      <c r="F815" s="16">
        <f>DATE(71,1,13)</f>
        <v>25946</v>
      </c>
      <c r="G815" s="17">
        <f t="shared" ca="1" si="74"/>
        <v>41</v>
      </c>
      <c r="H815" s="17">
        <f t="shared" ca="1" si="75"/>
        <v>1</v>
      </c>
      <c r="I815" s="18">
        <f t="shared" ca="1" si="76"/>
        <v>-1</v>
      </c>
      <c r="J815" s="19">
        <f t="shared" ca="1" si="77"/>
        <v>41</v>
      </c>
      <c r="K815" s="17" t="s">
        <v>41</v>
      </c>
      <c r="L815" s="20">
        <v>126</v>
      </c>
      <c r="M815" s="26" t="s">
        <v>40</v>
      </c>
      <c r="N815">
        <v>176</v>
      </c>
    </row>
    <row r="816" spans="1:14">
      <c r="A816" s="24">
        <f t="shared" si="78"/>
        <v>370</v>
      </c>
      <c r="B816" s="66" t="s">
        <v>20</v>
      </c>
      <c r="C816" s="66" t="s">
        <v>300</v>
      </c>
      <c r="D816" s="66" t="s">
        <v>299</v>
      </c>
      <c r="E816" s="21">
        <f t="shared" ca="1" si="73"/>
        <v>40951</v>
      </c>
      <c r="F816" s="6">
        <f>DATE(94,9,27)</f>
        <v>34604</v>
      </c>
      <c r="G816" s="7">
        <f t="shared" ca="1" si="74"/>
        <v>18</v>
      </c>
      <c r="H816" s="7">
        <f t="shared" ca="1" si="75"/>
        <v>-7</v>
      </c>
      <c r="I816" s="8">
        <f t="shared" ca="1" si="76"/>
        <v>-15</v>
      </c>
      <c r="J816" s="9">
        <f t="shared" ca="1" si="77"/>
        <v>17</v>
      </c>
      <c r="K816" s="7" t="s">
        <v>41</v>
      </c>
      <c r="L816" s="10">
        <v>126</v>
      </c>
      <c r="M816" s="24" t="s">
        <v>44</v>
      </c>
      <c r="N816">
        <v>177</v>
      </c>
    </row>
    <row r="817" spans="1:14">
      <c r="A817" s="25">
        <f t="shared" si="78"/>
        <v>371</v>
      </c>
      <c r="B817" s="67" t="s">
        <v>20</v>
      </c>
      <c r="C817" s="67" t="s">
        <v>302</v>
      </c>
      <c r="D817" s="67" t="s">
        <v>301</v>
      </c>
      <c r="E817" s="22">
        <f t="shared" ca="1" si="73"/>
        <v>40951</v>
      </c>
      <c r="F817" s="11">
        <f>DATE(74,2,20)</f>
        <v>27080</v>
      </c>
      <c r="G817" s="12">
        <f t="shared" ca="1" si="74"/>
        <v>38</v>
      </c>
      <c r="H817" s="12">
        <f t="shared" ca="1" si="75"/>
        <v>0</v>
      </c>
      <c r="I817" s="13">
        <f t="shared" ca="1" si="76"/>
        <v>-8</v>
      </c>
      <c r="J817" s="14">
        <f t="shared" ca="1" si="77"/>
        <v>37</v>
      </c>
      <c r="K817" s="12" t="s">
        <v>41</v>
      </c>
      <c r="L817" s="15">
        <v>126</v>
      </c>
      <c r="M817" s="25" t="s">
        <v>40</v>
      </c>
      <c r="N817">
        <v>177</v>
      </c>
    </row>
    <row r="818" spans="1:14" ht="15.75" thickBot="1">
      <c r="A818" s="26">
        <f t="shared" si="78"/>
        <v>372</v>
      </c>
      <c r="B818" s="67" t="s">
        <v>20</v>
      </c>
      <c r="C818" s="68" t="s">
        <v>303</v>
      </c>
      <c r="D818" s="68" t="s">
        <v>301</v>
      </c>
      <c r="E818" s="23">
        <f t="shared" ca="1" si="73"/>
        <v>40951</v>
      </c>
      <c r="F818" s="16">
        <f>DATE(98,8,7)</f>
        <v>36014</v>
      </c>
      <c r="G818" s="17">
        <f t="shared" ca="1" si="74"/>
        <v>14</v>
      </c>
      <c r="H818" s="17">
        <f t="shared" ca="1" si="75"/>
        <v>-6</v>
      </c>
      <c r="I818" s="18">
        <f t="shared" ca="1" si="76"/>
        <v>5</v>
      </c>
      <c r="J818" s="19">
        <f t="shared" ca="1" si="77"/>
        <v>13</v>
      </c>
      <c r="K818" s="17" t="s">
        <v>41</v>
      </c>
      <c r="L818" s="20">
        <v>126</v>
      </c>
      <c r="M818" s="26" t="s">
        <v>44</v>
      </c>
      <c r="N818">
        <v>177</v>
      </c>
    </row>
    <row r="819" spans="1:14">
      <c r="A819" s="24">
        <f t="shared" si="78"/>
        <v>373</v>
      </c>
      <c r="B819" s="66" t="s">
        <v>20</v>
      </c>
      <c r="C819" s="66" t="s">
        <v>283</v>
      </c>
      <c r="D819" s="66" t="s">
        <v>136</v>
      </c>
      <c r="E819" s="21">
        <f t="shared" ca="1" si="73"/>
        <v>40951</v>
      </c>
      <c r="F819" s="6">
        <f>DATE(33,11,2)</f>
        <v>12360</v>
      </c>
      <c r="G819" s="7">
        <f t="shared" ca="1" si="74"/>
        <v>79</v>
      </c>
      <c r="H819" s="7">
        <f t="shared" ca="1" si="75"/>
        <v>-9</v>
      </c>
      <c r="I819" s="8">
        <f t="shared" ca="1" si="76"/>
        <v>10</v>
      </c>
      <c r="J819" s="9">
        <f t="shared" ca="1" si="77"/>
        <v>78</v>
      </c>
      <c r="K819" s="7" t="s">
        <v>41</v>
      </c>
      <c r="L819" s="10">
        <v>127</v>
      </c>
      <c r="M819" s="24" t="s">
        <v>40</v>
      </c>
      <c r="N819">
        <v>178</v>
      </c>
    </row>
    <row r="820" spans="1:14">
      <c r="A820" s="25">
        <f t="shared" si="78"/>
        <v>374</v>
      </c>
      <c r="B820" s="67" t="s">
        <v>20</v>
      </c>
      <c r="C820" s="67" t="s">
        <v>84</v>
      </c>
      <c r="D820" s="67" t="s">
        <v>284</v>
      </c>
      <c r="E820" s="22">
        <f t="shared" ca="1" si="73"/>
        <v>40951</v>
      </c>
      <c r="F820" s="11">
        <f>DATE(60,12,17)</f>
        <v>22267</v>
      </c>
      <c r="G820" s="12">
        <f t="shared" ca="1" si="74"/>
        <v>52</v>
      </c>
      <c r="H820" s="12">
        <f t="shared" ca="1" si="75"/>
        <v>-10</v>
      </c>
      <c r="I820" s="13">
        <f t="shared" ca="1" si="76"/>
        <v>-5</v>
      </c>
      <c r="J820" s="14">
        <f t="shared" ca="1" si="77"/>
        <v>51</v>
      </c>
      <c r="K820" s="12" t="s">
        <v>41</v>
      </c>
      <c r="L820" s="15">
        <v>127</v>
      </c>
      <c r="M820" s="25" t="s">
        <v>40</v>
      </c>
      <c r="N820">
        <v>178</v>
      </c>
    </row>
    <row r="821" spans="1:14" ht="15.75" thickBot="1">
      <c r="A821" s="26">
        <f t="shared" si="78"/>
        <v>375</v>
      </c>
      <c r="B821" s="67" t="s">
        <v>20</v>
      </c>
      <c r="C821" s="68" t="s">
        <v>84</v>
      </c>
      <c r="D821" s="68" t="s">
        <v>284</v>
      </c>
      <c r="E821" s="23">
        <f t="shared" ca="1" si="73"/>
        <v>40951</v>
      </c>
      <c r="F821" s="16">
        <f>DATE(84,9,28)</f>
        <v>30953</v>
      </c>
      <c r="G821" s="17">
        <f t="shared" ca="1" si="74"/>
        <v>28</v>
      </c>
      <c r="H821" s="17">
        <f t="shared" ca="1" si="75"/>
        <v>-7</v>
      </c>
      <c r="I821" s="18">
        <f t="shared" ca="1" si="76"/>
        <v>-16</v>
      </c>
      <c r="J821" s="19">
        <f t="shared" ca="1" si="77"/>
        <v>27</v>
      </c>
      <c r="K821" s="17" t="s">
        <v>41</v>
      </c>
      <c r="L821" s="20">
        <v>127</v>
      </c>
      <c r="M821" s="26" t="s">
        <v>44</v>
      </c>
      <c r="N821">
        <v>178</v>
      </c>
    </row>
    <row r="822" spans="1:14">
      <c r="A822" s="24">
        <f t="shared" si="78"/>
        <v>376</v>
      </c>
      <c r="B822" s="66" t="s">
        <v>20</v>
      </c>
      <c r="C822" s="66" t="s">
        <v>287</v>
      </c>
      <c r="D822" s="66" t="s">
        <v>285</v>
      </c>
      <c r="E822" s="21">
        <f t="shared" ca="1" si="73"/>
        <v>40951</v>
      </c>
      <c r="F822" s="6">
        <f>DATE(48,1,15)</f>
        <v>17547</v>
      </c>
      <c r="G822" s="7">
        <f t="shared" ca="1" si="74"/>
        <v>64</v>
      </c>
      <c r="H822" s="7">
        <f t="shared" ca="1" si="75"/>
        <v>1</v>
      </c>
      <c r="I822" s="8">
        <f t="shared" ca="1" si="76"/>
        <v>-3</v>
      </c>
      <c r="J822" s="9">
        <f t="shared" ca="1" si="77"/>
        <v>64</v>
      </c>
      <c r="K822" s="7" t="s">
        <v>41</v>
      </c>
      <c r="L822" s="10">
        <v>127</v>
      </c>
      <c r="M822" s="24" t="s">
        <v>40</v>
      </c>
      <c r="N822">
        <v>179</v>
      </c>
    </row>
    <row r="823" spans="1:14">
      <c r="A823" s="25">
        <f t="shared" si="78"/>
        <v>377</v>
      </c>
      <c r="B823" s="67" t="s">
        <v>20</v>
      </c>
      <c r="C823" s="67" t="s">
        <v>288</v>
      </c>
      <c r="D823" s="67" t="s">
        <v>135</v>
      </c>
      <c r="E823" s="22">
        <f t="shared" ca="1" si="73"/>
        <v>40951</v>
      </c>
      <c r="F823" s="11">
        <f>DATE(77,5,1)</f>
        <v>28246</v>
      </c>
      <c r="G823" s="12">
        <f t="shared" ca="1" si="74"/>
        <v>35</v>
      </c>
      <c r="H823" s="12">
        <f t="shared" ca="1" si="75"/>
        <v>-3</v>
      </c>
      <c r="I823" s="13">
        <f t="shared" ca="1" si="76"/>
        <v>11</v>
      </c>
      <c r="J823" s="14">
        <f t="shared" ca="1" si="77"/>
        <v>34</v>
      </c>
      <c r="K823" s="12" t="s">
        <v>41</v>
      </c>
      <c r="L823" s="15">
        <v>127</v>
      </c>
      <c r="M823" s="25" t="s">
        <v>40</v>
      </c>
      <c r="N823">
        <v>179</v>
      </c>
    </row>
    <row r="824" spans="1:14">
      <c r="A824" s="25">
        <f t="shared" si="78"/>
        <v>378</v>
      </c>
      <c r="B824" s="67" t="s">
        <v>20</v>
      </c>
      <c r="C824" s="67" t="s">
        <v>289</v>
      </c>
      <c r="D824" s="67" t="s">
        <v>135</v>
      </c>
      <c r="E824" s="22">
        <f t="shared" ca="1" si="73"/>
        <v>40951</v>
      </c>
      <c r="F824" s="11">
        <f>DATE(2000,10,17)</f>
        <v>36816</v>
      </c>
      <c r="G824" s="12">
        <f t="shared" ca="1" si="74"/>
        <v>12</v>
      </c>
      <c r="H824" s="12">
        <f t="shared" ca="1" si="75"/>
        <v>-8</v>
      </c>
      <c r="I824" s="13">
        <f t="shared" ca="1" si="76"/>
        <v>-5</v>
      </c>
      <c r="J824" s="14">
        <f t="shared" ca="1" si="77"/>
        <v>11</v>
      </c>
      <c r="K824" s="12" t="s">
        <v>41</v>
      </c>
      <c r="L824" s="15">
        <v>127</v>
      </c>
      <c r="M824" s="25" t="s">
        <v>44</v>
      </c>
      <c r="N824">
        <v>179</v>
      </c>
    </row>
    <row r="825" spans="1:14">
      <c r="A825" s="25">
        <f t="shared" si="78"/>
        <v>379</v>
      </c>
      <c r="B825" s="67" t="s">
        <v>20</v>
      </c>
      <c r="C825" s="67" t="s">
        <v>290</v>
      </c>
      <c r="D825" s="67" t="s">
        <v>135</v>
      </c>
      <c r="E825" s="22">
        <f t="shared" ca="1" si="73"/>
        <v>40951</v>
      </c>
      <c r="F825" s="11">
        <f>DATE(2004,7,27)</f>
        <v>38195</v>
      </c>
      <c r="G825" s="12">
        <f t="shared" ca="1" si="74"/>
        <v>8</v>
      </c>
      <c r="H825" s="12">
        <f t="shared" ca="1" si="75"/>
        <v>-5</v>
      </c>
      <c r="I825" s="13">
        <f t="shared" ca="1" si="76"/>
        <v>-15</v>
      </c>
      <c r="J825" s="14">
        <f t="shared" ca="1" si="77"/>
        <v>7</v>
      </c>
      <c r="K825" s="12" t="s">
        <v>41</v>
      </c>
      <c r="L825" s="15">
        <v>127</v>
      </c>
      <c r="M825" s="25" t="s">
        <v>44</v>
      </c>
      <c r="N825">
        <v>179</v>
      </c>
    </row>
    <row r="826" spans="1:14">
      <c r="A826" s="25">
        <f t="shared" si="78"/>
        <v>380</v>
      </c>
      <c r="B826" s="67" t="s">
        <v>0</v>
      </c>
      <c r="C826" s="67" t="s">
        <v>226</v>
      </c>
      <c r="D826" s="67" t="s">
        <v>272</v>
      </c>
      <c r="E826" s="22">
        <f t="shared" ca="1" si="73"/>
        <v>40951</v>
      </c>
      <c r="F826" s="11">
        <f>DATE(45,5,10)</f>
        <v>16567</v>
      </c>
      <c r="G826" s="12">
        <f t="shared" ca="1" si="74"/>
        <v>67</v>
      </c>
      <c r="H826" s="12">
        <f t="shared" ca="1" si="75"/>
        <v>-3</v>
      </c>
      <c r="I826" s="13">
        <f t="shared" ca="1" si="76"/>
        <v>2</v>
      </c>
      <c r="J826" s="14">
        <f t="shared" ca="1" si="77"/>
        <v>66</v>
      </c>
      <c r="K826" s="12" t="s">
        <v>41</v>
      </c>
      <c r="L826" s="15">
        <v>128</v>
      </c>
      <c r="M826" s="25" t="s">
        <v>40</v>
      </c>
      <c r="N826">
        <v>179</v>
      </c>
    </row>
    <row r="827" spans="1:14" ht="15.75" thickBot="1">
      <c r="A827" s="26">
        <f t="shared" si="78"/>
        <v>381</v>
      </c>
      <c r="B827" s="67" t="s">
        <v>0</v>
      </c>
      <c r="C827" s="68" t="s">
        <v>275</v>
      </c>
      <c r="D827" s="68" t="s">
        <v>274</v>
      </c>
      <c r="E827" s="23">
        <f t="shared" ca="1" si="73"/>
        <v>40951</v>
      </c>
      <c r="F827" s="16">
        <f>DATE(79,12,15)</f>
        <v>29204</v>
      </c>
      <c r="G827" s="17">
        <f t="shared" ca="1" si="74"/>
        <v>33</v>
      </c>
      <c r="H827" s="17">
        <f t="shared" ca="1" si="75"/>
        <v>-10</v>
      </c>
      <c r="I827" s="18">
        <f t="shared" ca="1" si="76"/>
        <v>-3</v>
      </c>
      <c r="J827" s="19">
        <f t="shared" ca="1" si="77"/>
        <v>32</v>
      </c>
      <c r="K827" s="17" t="s">
        <v>41</v>
      </c>
      <c r="L827" s="20">
        <v>128</v>
      </c>
      <c r="M827" s="26" t="s">
        <v>40</v>
      </c>
      <c r="N827">
        <v>179</v>
      </c>
    </row>
    <row r="828" spans="1:14">
      <c r="A828" s="24">
        <f t="shared" si="78"/>
        <v>382</v>
      </c>
      <c r="B828" s="66" t="s">
        <v>0</v>
      </c>
      <c r="C828" s="66" t="s">
        <v>279</v>
      </c>
      <c r="D828" s="66" t="s">
        <v>277</v>
      </c>
      <c r="E828" s="21">
        <f t="shared" ca="1" si="73"/>
        <v>40951</v>
      </c>
      <c r="F828" s="45"/>
      <c r="G828" s="7">
        <f t="shared" ca="1" si="74"/>
        <v>112</v>
      </c>
      <c r="H828" s="7">
        <f t="shared" ca="1" si="75"/>
        <v>1</v>
      </c>
      <c r="I828" s="8">
        <f t="shared" ca="1" si="76"/>
        <v>12</v>
      </c>
      <c r="J828" s="9">
        <f t="shared" ca="1" si="77"/>
        <v>112</v>
      </c>
      <c r="K828" s="7" t="s">
        <v>41</v>
      </c>
      <c r="L828" s="10">
        <v>128</v>
      </c>
      <c r="M828" s="24" t="s">
        <v>40</v>
      </c>
      <c r="N828">
        <v>180</v>
      </c>
    </row>
    <row r="829" spans="1:14">
      <c r="A829" s="25">
        <f t="shared" si="78"/>
        <v>383</v>
      </c>
      <c r="B829" s="67" t="s">
        <v>0</v>
      </c>
      <c r="C829" s="67" t="s">
        <v>280</v>
      </c>
      <c r="D829" s="67" t="s">
        <v>277</v>
      </c>
      <c r="E829" s="22">
        <f t="shared" ca="1" si="73"/>
        <v>40951</v>
      </c>
      <c r="F829" s="32"/>
      <c r="G829" s="12">
        <f t="shared" ca="1" si="74"/>
        <v>112</v>
      </c>
      <c r="H829" s="12">
        <f t="shared" ca="1" si="75"/>
        <v>1</v>
      </c>
      <c r="I829" s="13">
        <f t="shared" ca="1" si="76"/>
        <v>12</v>
      </c>
      <c r="J829" s="14">
        <f t="shared" ca="1" si="77"/>
        <v>112</v>
      </c>
      <c r="K829" s="12" t="s">
        <v>41</v>
      </c>
      <c r="L829" s="15">
        <v>128</v>
      </c>
      <c r="M829" s="25" t="s">
        <v>40</v>
      </c>
      <c r="N829">
        <v>180</v>
      </c>
    </row>
    <row r="830" spans="1:14">
      <c r="A830" s="25">
        <v>1</v>
      </c>
      <c r="B830" s="67" t="s">
        <v>46</v>
      </c>
      <c r="C830" s="71" t="s">
        <v>521</v>
      </c>
      <c r="D830" s="71" t="s">
        <v>923</v>
      </c>
      <c r="E830" s="22">
        <f t="shared" ca="1" si="73"/>
        <v>40951</v>
      </c>
      <c r="F830" s="11">
        <f>DATE(1943,2,10)</f>
        <v>15747</v>
      </c>
      <c r="G830" s="12">
        <f t="shared" ca="1" si="74"/>
        <v>69</v>
      </c>
      <c r="H830" s="12">
        <f t="shared" ca="1" si="75"/>
        <v>0</v>
      </c>
      <c r="I830" s="13">
        <f t="shared" ca="1" si="76"/>
        <v>2</v>
      </c>
      <c r="J830" s="14">
        <f t="shared" ca="1" si="77"/>
        <v>69</v>
      </c>
      <c r="K830" s="12" t="s">
        <v>40</v>
      </c>
      <c r="L830" s="15">
        <v>1</v>
      </c>
      <c r="M830" s="25" t="s">
        <v>40</v>
      </c>
      <c r="N830">
        <v>180</v>
      </c>
    </row>
    <row r="831" spans="1:14">
      <c r="A831" s="25">
        <f t="shared" ref="A831:A894" si="79">A830+1</f>
        <v>2</v>
      </c>
      <c r="B831" s="67" t="s">
        <v>46</v>
      </c>
      <c r="C831" s="71" t="s">
        <v>1038</v>
      </c>
      <c r="D831" s="71" t="s">
        <v>521</v>
      </c>
      <c r="E831" s="22">
        <f t="shared" ca="1" si="73"/>
        <v>40951</v>
      </c>
      <c r="F831" s="11">
        <f>DATE(78,6,28)</f>
        <v>28669</v>
      </c>
      <c r="G831" s="12">
        <f t="shared" ca="1" si="74"/>
        <v>34</v>
      </c>
      <c r="H831" s="12">
        <f t="shared" ca="1" si="75"/>
        <v>-4</v>
      </c>
      <c r="I831" s="13">
        <f t="shared" ca="1" si="76"/>
        <v>-16</v>
      </c>
      <c r="J831" s="14">
        <f t="shared" ca="1" si="77"/>
        <v>33</v>
      </c>
      <c r="K831" s="12" t="s">
        <v>40</v>
      </c>
      <c r="L831" s="15">
        <v>1</v>
      </c>
      <c r="M831" s="25" t="s">
        <v>40</v>
      </c>
      <c r="N831">
        <v>180</v>
      </c>
    </row>
    <row r="832" spans="1:14" ht="15.75" thickBot="1">
      <c r="A832" s="26">
        <f t="shared" si="79"/>
        <v>3</v>
      </c>
      <c r="B832" s="67" t="s">
        <v>46</v>
      </c>
      <c r="C832" s="73" t="s">
        <v>1039</v>
      </c>
      <c r="D832" s="73" t="s">
        <v>923</v>
      </c>
      <c r="E832" s="23">
        <f t="shared" ca="1" si="73"/>
        <v>40951</v>
      </c>
      <c r="F832" s="16">
        <f>DATE(51,7,1)</f>
        <v>18810</v>
      </c>
      <c r="G832" s="17">
        <f t="shared" ca="1" si="74"/>
        <v>61</v>
      </c>
      <c r="H832" s="17">
        <f t="shared" ca="1" si="75"/>
        <v>-5</v>
      </c>
      <c r="I832" s="18">
        <f t="shared" ca="1" si="76"/>
        <v>11</v>
      </c>
      <c r="J832" s="19">
        <f t="shared" ca="1" si="77"/>
        <v>60</v>
      </c>
      <c r="K832" s="17" t="s">
        <v>40</v>
      </c>
      <c r="L832" s="20">
        <v>1</v>
      </c>
      <c r="M832" s="26" t="s">
        <v>40</v>
      </c>
      <c r="N832">
        <v>180</v>
      </c>
    </row>
    <row r="833" spans="1:14">
      <c r="A833" s="24">
        <f t="shared" si="79"/>
        <v>4</v>
      </c>
      <c r="B833" s="66" t="s">
        <v>46</v>
      </c>
      <c r="C833" s="72" t="s">
        <v>693</v>
      </c>
      <c r="D833" s="72" t="s">
        <v>1039</v>
      </c>
      <c r="E833" s="21">
        <f t="shared" ref="E833:E896" ca="1" si="80">TODAY()</f>
        <v>40951</v>
      </c>
      <c r="F833" s="6">
        <f>DATE(82,1,11)</f>
        <v>29962</v>
      </c>
      <c r="G833" s="7">
        <f t="shared" ref="G833:G896" ca="1" si="81">YEAR(E833)-YEAR(F833)</f>
        <v>30</v>
      </c>
      <c r="H833" s="7">
        <f t="shared" ref="H833:H896" ca="1" si="82">MONTH(E833)-MONTH(F833)</f>
        <v>1</v>
      </c>
      <c r="I833" s="8">
        <f t="shared" ref="I833:I896" ca="1" si="83">DAY(E833)-DAY(F833)</f>
        <v>1</v>
      </c>
      <c r="J833" s="9">
        <f t="shared" ref="J833:J896" ca="1" si="84">IF(H833&lt;0,G833-1,IF(H833&gt;0,G833,IF(I833&lt;0,G833-1,G833)))</f>
        <v>30</v>
      </c>
      <c r="K833" s="7" t="s">
        <v>40</v>
      </c>
      <c r="L833" s="10">
        <v>1</v>
      </c>
      <c r="M833" s="24" t="s">
        <v>44</v>
      </c>
      <c r="N833">
        <v>181</v>
      </c>
    </row>
    <row r="834" spans="1:14">
      <c r="A834" s="25">
        <f t="shared" si="79"/>
        <v>5</v>
      </c>
      <c r="B834" s="67" t="s">
        <v>46</v>
      </c>
      <c r="C834" s="71" t="s">
        <v>305</v>
      </c>
      <c r="D834" s="71" t="s">
        <v>1039</v>
      </c>
      <c r="E834" s="22">
        <f t="shared" ca="1" si="80"/>
        <v>40951</v>
      </c>
      <c r="F834" s="11">
        <f>DATE(84,11,10)</f>
        <v>30996</v>
      </c>
      <c r="G834" s="12">
        <f t="shared" ca="1" si="81"/>
        <v>28</v>
      </c>
      <c r="H834" s="12">
        <f t="shared" ca="1" si="82"/>
        <v>-9</v>
      </c>
      <c r="I834" s="13">
        <f t="shared" ca="1" si="83"/>
        <v>2</v>
      </c>
      <c r="J834" s="14">
        <f t="shared" ca="1" si="84"/>
        <v>27</v>
      </c>
      <c r="K834" s="12" t="s">
        <v>40</v>
      </c>
      <c r="L834" s="15">
        <v>1</v>
      </c>
      <c r="M834" s="25" t="s">
        <v>44</v>
      </c>
      <c r="N834">
        <v>181</v>
      </c>
    </row>
    <row r="835" spans="1:14">
      <c r="A835" s="25">
        <f t="shared" si="79"/>
        <v>6</v>
      </c>
      <c r="B835" s="67" t="s">
        <v>46</v>
      </c>
      <c r="C835" s="71" t="s">
        <v>400</v>
      </c>
      <c r="D835" s="71" t="s">
        <v>1040</v>
      </c>
      <c r="E835" s="22">
        <f t="shared" ca="1" si="80"/>
        <v>40951</v>
      </c>
      <c r="F835" s="36"/>
      <c r="G835" s="12">
        <f t="shared" ca="1" si="81"/>
        <v>112</v>
      </c>
      <c r="H835" s="12">
        <f t="shared" ca="1" si="82"/>
        <v>1</v>
      </c>
      <c r="I835" s="13">
        <f t="shared" ca="1" si="83"/>
        <v>12</v>
      </c>
      <c r="J835" s="14">
        <f t="shared" ca="1" si="84"/>
        <v>112</v>
      </c>
      <c r="K835" s="12" t="s">
        <v>40</v>
      </c>
      <c r="L835" s="15">
        <v>1</v>
      </c>
      <c r="M835" s="25" t="s">
        <v>40</v>
      </c>
      <c r="N835">
        <v>181</v>
      </c>
    </row>
    <row r="836" spans="1:14">
      <c r="A836" s="25">
        <f t="shared" si="79"/>
        <v>7</v>
      </c>
      <c r="B836" s="67" t="s">
        <v>46</v>
      </c>
      <c r="C836" s="71" t="s">
        <v>1041</v>
      </c>
      <c r="D836" s="71" t="s">
        <v>1040</v>
      </c>
      <c r="E836" s="22">
        <f t="shared" ca="1" si="80"/>
        <v>40951</v>
      </c>
      <c r="F836" s="36"/>
      <c r="G836" s="12">
        <f t="shared" ca="1" si="81"/>
        <v>112</v>
      </c>
      <c r="H836" s="12">
        <f t="shared" ca="1" si="82"/>
        <v>1</v>
      </c>
      <c r="I836" s="13">
        <f t="shared" ca="1" si="83"/>
        <v>12</v>
      </c>
      <c r="J836" s="14">
        <f t="shared" ca="1" si="84"/>
        <v>112</v>
      </c>
      <c r="K836" s="12" t="s">
        <v>40</v>
      </c>
      <c r="L836" s="15">
        <v>1</v>
      </c>
      <c r="M836" s="25" t="s">
        <v>40</v>
      </c>
      <c r="N836">
        <v>181</v>
      </c>
    </row>
    <row r="837" spans="1:14">
      <c r="A837" s="25">
        <f t="shared" si="79"/>
        <v>8</v>
      </c>
      <c r="B837" s="67" t="s">
        <v>46</v>
      </c>
      <c r="C837" s="71" t="s">
        <v>506</v>
      </c>
      <c r="D837" s="71" t="s">
        <v>1041</v>
      </c>
      <c r="E837" s="22">
        <f t="shared" ca="1" si="80"/>
        <v>40951</v>
      </c>
      <c r="F837" s="11">
        <f>DATE(89,11,12)</f>
        <v>32824</v>
      </c>
      <c r="G837" s="12">
        <f t="shared" ca="1" si="81"/>
        <v>23</v>
      </c>
      <c r="H837" s="12">
        <f t="shared" ca="1" si="82"/>
        <v>-9</v>
      </c>
      <c r="I837" s="13">
        <f t="shared" ca="1" si="83"/>
        <v>0</v>
      </c>
      <c r="J837" s="14">
        <f t="shared" ca="1" si="84"/>
        <v>22</v>
      </c>
      <c r="K837" s="12" t="s">
        <v>40</v>
      </c>
      <c r="L837" s="15">
        <v>1</v>
      </c>
      <c r="M837" s="25" t="s">
        <v>44</v>
      </c>
      <c r="N837">
        <v>181</v>
      </c>
    </row>
    <row r="838" spans="1:14" ht="15.75" thickBot="1">
      <c r="A838" s="26">
        <f t="shared" si="79"/>
        <v>9</v>
      </c>
      <c r="B838" s="67" t="s">
        <v>46</v>
      </c>
      <c r="C838" s="73" t="s">
        <v>348</v>
      </c>
      <c r="D838" s="73" t="s">
        <v>1040</v>
      </c>
      <c r="E838" s="23">
        <f t="shared" ca="1" si="80"/>
        <v>40951</v>
      </c>
      <c r="F838" s="16">
        <f>DATE(57,7,5)</f>
        <v>21006</v>
      </c>
      <c r="G838" s="17">
        <f t="shared" ca="1" si="81"/>
        <v>55</v>
      </c>
      <c r="H838" s="17">
        <f t="shared" ca="1" si="82"/>
        <v>-5</v>
      </c>
      <c r="I838" s="18">
        <f t="shared" ca="1" si="83"/>
        <v>7</v>
      </c>
      <c r="J838" s="19">
        <f t="shared" ca="1" si="84"/>
        <v>54</v>
      </c>
      <c r="K838" s="17" t="s">
        <v>40</v>
      </c>
      <c r="L838" s="20">
        <v>1</v>
      </c>
      <c r="M838" s="26" t="s">
        <v>40</v>
      </c>
      <c r="N838">
        <v>181</v>
      </c>
    </row>
    <row r="839" spans="1:14" ht="15.75" thickBot="1">
      <c r="A839" s="43">
        <f t="shared" si="79"/>
        <v>10</v>
      </c>
      <c r="B839" s="69" t="s">
        <v>46</v>
      </c>
      <c r="C839" s="74" t="s">
        <v>251</v>
      </c>
      <c r="D839" s="74" t="s">
        <v>348</v>
      </c>
      <c r="E839" s="37">
        <f t="shared" ca="1" si="80"/>
        <v>40951</v>
      </c>
      <c r="F839" s="38">
        <f>DATE(87,5,10)</f>
        <v>31907</v>
      </c>
      <c r="G839" s="39">
        <f t="shared" ca="1" si="81"/>
        <v>25</v>
      </c>
      <c r="H839" s="39">
        <f t="shared" ca="1" si="82"/>
        <v>-3</v>
      </c>
      <c r="I839" s="40">
        <f t="shared" ca="1" si="83"/>
        <v>2</v>
      </c>
      <c r="J839" s="41">
        <f t="shared" ca="1" si="84"/>
        <v>24</v>
      </c>
      <c r="K839" s="39" t="s">
        <v>40</v>
      </c>
      <c r="L839" s="42">
        <v>1</v>
      </c>
      <c r="M839" s="43" t="s">
        <v>44</v>
      </c>
      <c r="N839">
        <v>182</v>
      </c>
    </row>
    <row r="840" spans="1:14">
      <c r="A840" s="24">
        <f t="shared" si="79"/>
        <v>11</v>
      </c>
      <c r="B840" s="66" t="s">
        <v>46</v>
      </c>
      <c r="C840" s="72" t="s">
        <v>589</v>
      </c>
      <c r="D840" s="72" t="s">
        <v>348</v>
      </c>
      <c r="E840" s="21">
        <f t="shared" ca="1" si="80"/>
        <v>40951</v>
      </c>
      <c r="F840" s="6">
        <f>DATE(90,9,17)</f>
        <v>33133</v>
      </c>
      <c r="G840" s="7">
        <f t="shared" ca="1" si="81"/>
        <v>22</v>
      </c>
      <c r="H840" s="7">
        <f t="shared" ca="1" si="82"/>
        <v>-7</v>
      </c>
      <c r="I840" s="8">
        <f t="shared" ca="1" si="83"/>
        <v>-5</v>
      </c>
      <c r="J840" s="9">
        <f t="shared" ca="1" si="84"/>
        <v>21</v>
      </c>
      <c r="K840" s="7" t="s">
        <v>40</v>
      </c>
      <c r="L840" s="10">
        <v>1</v>
      </c>
      <c r="M840" s="24" t="s">
        <v>44</v>
      </c>
      <c r="N840">
        <v>183</v>
      </c>
    </row>
    <row r="841" spans="1:14">
      <c r="A841" s="25">
        <f t="shared" si="79"/>
        <v>12</v>
      </c>
      <c r="B841" s="67" t="s">
        <v>46</v>
      </c>
      <c r="C841" s="71" t="s">
        <v>623</v>
      </c>
      <c r="D841" s="71" t="s">
        <v>923</v>
      </c>
      <c r="E841" s="22">
        <f t="shared" ca="1" si="80"/>
        <v>40951</v>
      </c>
      <c r="F841" s="11">
        <f>DATE(49,1,18)</f>
        <v>17916</v>
      </c>
      <c r="G841" s="12">
        <f t="shared" ca="1" si="81"/>
        <v>63</v>
      </c>
      <c r="H841" s="12">
        <f t="shared" ca="1" si="82"/>
        <v>1</v>
      </c>
      <c r="I841" s="13">
        <f t="shared" ca="1" si="83"/>
        <v>-6</v>
      </c>
      <c r="J841" s="14">
        <f t="shared" ca="1" si="84"/>
        <v>63</v>
      </c>
      <c r="K841" s="12" t="s">
        <v>40</v>
      </c>
      <c r="L841" s="27">
        <v>2</v>
      </c>
      <c r="M841" s="25" t="s">
        <v>40</v>
      </c>
      <c r="N841">
        <v>183</v>
      </c>
    </row>
    <row r="842" spans="1:14">
      <c r="A842" s="25">
        <f t="shared" si="79"/>
        <v>13</v>
      </c>
      <c r="B842" s="67" t="s">
        <v>46</v>
      </c>
      <c r="C842" s="71" t="s">
        <v>169</v>
      </c>
      <c r="D842" s="71" t="s">
        <v>623</v>
      </c>
      <c r="E842" s="22">
        <f t="shared" ca="1" si="80"/>
        <v>40951</v>
      </c>
      <c r="F842" s="11">
        <f>DATE(76,4,8)</f>
        <v>27858</v>
      </c>
      <c r="G842" s="12">
        <f t="shared" ca="1" si="81"/>
        <v>36</v>
      </c>
      <c r="H842" s="12">
        <f t="shared" ca="1" si="82"/>
        <v>-2</v>
      </c>
      <c r="I842" s="13">
        <f t="shared" ca="1" si="83"/>
        <v>4</v>
      </c>
      <c r="J842" s="14">
        <f t="shared" ca="1" si="84"/>
        <v>35</v>
      </c>
      <c r="K842" s="30" t="s">
        <v>40</v>
      </c>
      <c r="L842" s="27">
        <v>2</v>
      </c>
      <c r="M842" s="25" t="s">
        <v>40</v>
      </c>
      <c r="N842">
        <v>183</v>
      </c>
    </row>
    <row r="843" spans="1:14">
      <c r="A843" s="25">
        <f t="shared" si="79"/>
        <v>14</v>
      </c>
      <c r="B843" s="67" t="s">
        <v>46</v>
      </c>
      <c r="C843" s="71" t="s">
        <v>1075</v>
      </c>
      <c r="D843" s="71" t="s">
        <v>1042</v>
      </c>
      <c r="E843" s="22">
        <f t="shared" ca="1" si="80"/>
        <v>40951</v>
      </c>
      <c r="F843" s="11">
        <f>DATE(2001,11,10)</f>
        <v>37205</v>
      </c>
      <c r="G843" s="12">
        <f t="shared" ca="1" si="81"/>
        <v>11</v>
      </c>
      <c r="H843" s="12">
        <f t="shared" ca="1" si="82"/>
        <v>-9</v>
      </c>
      <c r="I843" s="13">
        <f t="shared" ca="1" si="83"/>
        <v>2</v>
      </c>
      <c r="J843" s="14">
        <f t="shared" ca="1" si="84"/>
        <v>10</v>
      </c>
      <c r="K843" s="30" t="s">
        <v>40</v>
      </c>
      <c r="L843" s="27">
        <v>2</v>
      </c>
      <c r="M843" s="25" t="s">
        <v>44</v>
      </c>
      <c r="N843">
        <v>183</v>
      </c>
    </row>
    <row r="844" spans="1:14">
      <c r="A844" s="25">
        <f t="shared" si="79"/>
        <v>15</v>
      </c>
      <c r="B844" s="67" t="s">
        <v>46</v>
      </c>
      <c r="C844" s="71" t="s">
        <v>1076</v>
      </c>
      <c r="D844" s="71" t="s">
        <v>1042</v>
      </c>
      <c r="E844" s="22">
        <f t="shared" ca="1" si="80"/>
        <v>40951</v>
      </c>
      <c r="F844" s="11">
        <f>DATE(86,1,9)</f>
        <v>31421</v>
      </c>
      <c r="G844" s="12">
        <f t="shared" ca="1" si="81"/>
        <v>26</v>
      </c>
      <c r="H844" s="12">
        <f t="shared" ca="1" si="82"/>
        <v>1</v>
      </c>
      <c r="I844" s="13">
        <f t="shared" ca="1" si="83"/>
        <v>3</v>
      </c>
      <c r="J844" s="14">
        <f t="shared" ca="1" si="84"/>
        <v>26</v>
      </c>
      <c r="K844" s="12" t="s">
        <v>40</v>
      </c>
      <c r="L844" s="27">
        <v>2</v>
      </c>
      <c r="M844" s="25" t="s">
        <v>44</v>
      </c>
      <c r="N844">
        <v>183</v>
      </c>
    </row>
    <row r="845" spans="1:14">
      <c r="A845" s="25">
        <f t="shared" si="79"/>
        <v>16</v>
      </c>
      <c r="B845" s="67" t="s">
        <v>46</v>
      </c>
      <c r="C845" s="71" t="s">
        <v>516</v>
      </c>
      <c r="D845" s="71" t="s">
        <v>923</v>
      </c>
      <c r="E845" s="22">
        <f t="shared" ca="1" si="80"/>
        <v>40951</v>
      </c>
      <c r="F845" s="11">
        <f>DATE(57,5,5)</f>
        <v>20945</v>
      </c>
      <c r="G845" s="12">
        <f t="shared" ca="1" si="81"/>
        <v>55</v>
      </c>
      <c r="H845" s="12">
        <f t="shared" ca="1" si="82"/>
        <v>-3</v>
      </c>
      <c r="I845" s="13">
        <f t="shared" ca="1" si="83"/>
        <v>7</v>
      </c>
      <c r="J845" s="14">
        <f t="shared" ca="1" si="84"/>
        <v>54</v>
      </c>
      <c r="K845" s="12" t="s">
        <v>40</v>
      </c>
      <c r="L845" s="27">
        <v>2</v>
      </c>
      <c r="M845" s="25" t="s">
        <v>40</v>
      </c>
      <c r="N845">
        <v>183</v>
      </c>
    </row>
    <row r="846" spans="1:14">
      <c r="A846" s="25">
        <f t="shared" si="79"/>
        <v>17</v>
      </c>
      <c r="B846" s="67" t="s">
        <v>46</v>
      </c>
      <c r="C846" s="71" t="s">
        <v>766</v>
      </c>
      <c r="D846" s="71" t="s">
        <v>516</v>
      </c>
      <c r="E846" s="22">
        <f t="shared" ca="1" si="80"/>
        <v>40951</v>
      </c>
      <c r="F846" s="11">
        <f>DATE(84,12,21)</f>
        <v>31037</v>
      </c>
      <c r="G846" s="12">
        <f t="shared" ca="1" si="81"/>
        <v>28</v>
      </c>
      <c r="H846" s="12">
        <f t="shared" ca="1" si="82"/>
        <v>-10</v>
      </c>
      <c r="I846" s="13">
        <f t="shared" ca="1" si="83"/>
        <v>-9</v>
      </c>
      <c r="J846" s="14">
        <f t="shared" ca="1" si="84"/>
        <v>27</v>
      </c>
      <c r="K846" s="12" t="s">
        <v>40</v>
      </c>
      <c r="L846" s="27">
        <v>2</v>
      </c>
      <c r="M846" s="25" t="s">
        <v>44</v>
      </c>
      <c r="N846">
        <v>183</v>
      </c>
    </row>
    <row r="847" spans="1:14">
      <c r="A847" s="25">
        <f t="shared" si="79"/>
        <v>18</v>
      </c>
      <c r="B847" s="67" t="s">
        <v>1</v>
      </c>
      <c r="C847" s="71" t="s">
        <v>162</v>
      </c>
      <c r="D847" s="71" t="s">
        <v>94</v>
      </c>
      <c r="E847" s="22">
        <f t="shared" ca="1" si="80"/>
        <v>40951</v>
      </c>
      <c r="F847" s="11">
        <f>DATE(56,8,30)</f>
        <v>20697</v>
      </c>
      <c r="G847" s="12">
        <f t="shared" ca="1" si="81"/>
        <v>56</v>
      </c>
      <c r="H847" s="12">
        <f t="shared" ca="1" si="82"/>
        <v>-6</v>
      </c>
      <c r="I847" s="13">
        <f t="shared" ca="1" si="83"/>
        <v>-18</v>
      </c>
      <c r="J847" s="14">
        <f t="shared" ca="1" si="84"/>
        <v>55</v>
      </c>
      <c r="K847" s="12" t="s">
        <v>40</v>
      </c>
      <c r="L847" s="27">
        <v>3</v>
      </c>
      <c r="M847" s="25" t="s">
        <v>40</v>
      </c>
      <c r="N847">
        <v>183</v>
      </c>
    </row>
    <row r="848" spans="1:14" ht="15.75" thickBot="1">
      <c r="A848" s="26">
        <f t="shared" si="79"/>
        <v>19</v>
      </c>
      <c r="B848" s="67" t="s">
        <v>1</v>
      </c>
      <c r="C848" s="73" t="s">
        <v>1078</v>
      </c>
      <c r="D848" s="73" t="s">
        <v>162</v>
      </c>
      <c r="E848" s="23">
        <f t="shared" ca="1" si="80"/>
        <v>40951</v>
      </c>
      <c r="F848" s="16">
        <f>DATE(86,12,16)</f>
        <v>31762</v>
      </c>
      <c r="G848" s="17">
        <f t="shared" ca="1" si="81"/>
        <v>26</v>
      </c>
      <c r="H848" s="17">
        <f t="shared" ca="1" si="82"/>
        <v>-10</v>
      </c>
      <c r="I848" s="18">
        <f t="shared" ca="1" si="83"/>
        <v>-4</v>
      </c>
      <c r="J848" s="19">
        <f t="shared" ca="1" si="84"/>
        <v>25</v>
      </c>
      <c r="K848" s="17" t="s">
        <v>40</v>
      </c>
      <c r="L848" s="29">
        <v>3</v>
      </c>
      <c r="M848" s="26" t="s">
        <v>44</v>
      </c>
      <c r="N848">
        <v>183</v>
      </c>
    </row>
    <row r="849" spans="1:14">
      <c r="A849" s="25">
        <f t="shared" si="79"/>
        <v>20</v>
      </c>
      <c r="B849" s="67" t="s">
        <v>1</v>
      </c>
      <c r="C849" s="71" t="s">
        <v>521</v>
      </c>
      <c r="D849" s="71" t="s">
        <v>94</v>
      </c>
      <c r="E849" s="22">
        <f t="shared" ca="1" si="80"/>
        <v>40951</v>
      </c>
      <c r="F849" s="11">
        <f>DATE(53,3,13)</f>
        <v>19431</v>
      </c>
      <c r="G849" s="12">
        <f t="shared" ca="1" si="81"/>
        <v>59</v>
      </c>
      <c r="H849" s="12">
        <f t="shared" ca="1" si="82"/>
        <v>-1</v>
      </c>
      <c r="I849" s="13">
        <f t="shared" ca="1" si="83"/>
        <v>-1</v>
      </c>
      <c r="J849" s="14">
        <f t="shared" ca="1" si="84"/>
        <v>58</v>
      </c>
      <c r="K849" s="12" t="s">
        <v>40</v>
      </c>
      <c r="L849" s="27">
        <v>3</v>
      </c>
      <c r="M849" s="25" t="s">
        <v>40</v>
      </c>
      <c r="N849">
        <v>184</v>
      </c>
    </row>
    <row r="850" spans="1:14">
      <c r="A850" s="25">
        <f t="shared" si="79"/>
        <v>21</v>
      </c>
      <c r="B850" s="67" t="s">
        <v>1</v>
      </c>
      <c r="C850" s="71" t="s">
        <v>1079</v>
      </c>
      <c r="D850" s="71" t="s">
        <v>521</v>
      </c>
      <c r="E850" s="22">
        <f t="shared" ca="1" si="80"/>
        <v>40951</v>
      </c>
      <c r="F850" s="11">
        <f>DATE(84,10,8)</f>
        <v>30963</v>
      </c>
      <c r="G850" s="12">
        <f t="shared" ca="1" si="81"/>
        <v>28</v>
      </c>
      <c r="H850" s="12">
        <f t="shared" ca="1" si="82"/>
        <v>-8</v>
      </c>
      <c r="I850" s="13">
        <f t="shared" ca="1" si="83"/>
        <v>4</v>
      </c>
      <c r="J850" s="14">
        <f t="shared" ca="1" si="84"/>
        <v>27</v>
      </c>
      <c r="K850" s="12" t="s">
        <v>40</v>
      </c>
      <c r="L850" s="27">
        <v>3</v>
      </c>
      <c r="M850" s="25" t="s">
        <v>44</v>
      </c>
      <c r="N850">
        <v>184</v>
      </c>
    </row>
    <row r="851" spans="1:14">
      <c r="A851" s="25">
        <f t="shared" si="79"/>
        <v>22</v>
      </c>
      <c r="B851" s="67" t="s">
        <v>1</v>
      </c>
      <c r="C851" s="71" t="s">
        <v>521</v>
      </c>
      <c r="D851" s="71" t="s">
        <v>77</v>
      </c>
      <c r="E851" s="22">
        <f t="shared" ca="1" si="80"/>
        <v>40951</v>
      </c>
      <c r="F851" s="11">
        <f>DATE(51,3,10)</f>
        <v>18697</v>
      </c>
      <c r="G851" s="12">
        <f t="shared" ca="1" si="81"/>
        <v>61</v>
      </c>
      <c r="H851" s="12">
        <f t="shared" ca="1" si="82"/>
        <v>-1</v>
      </c>
      <c r="I851" s="13">
        <f t="shared" ca="1" si="83"/>
        <v>2</v>
      </c>
      <c r="J851" s="14">
        <f t="shared" ca="1" si="84"/>
        <v>60</v>
      </c>
      <c r="K851" s="12" t="s">
        <v>40</v>
      </c>
      <c r="L851" s="27">
        <v>3</v>
      </c>
      <c r="M851" s="25" t="s">
        <v>40</v>
      </c>
      <c r="N851">
        <v>184</v>
      </c>
    </row>
    <row r="852" spans="1:14" ht="15.75" thickBot="1">
      <c r="A852" s="26">
        <f t="shared" si="79"/>
        <v>23</v>
      </c>
      <c r="B852" s="67" t="s">
        <v>1</v>
      </c>
      <c r="C852" s="73" t="s">
        <v>229</v>
      </c>
      <c r="D852" s="73" t="s">
        <v>521</v>
      </c>
      <c r="E852" s="23">
        <f t="shared" ca="1" si="80"/>
        <v>40951</v>
      </c>
      <c r="F852" s="16">
        <f>DATE(81,9,20)</f>
        <v>29849</v>
      </c>
      <c r="G852" s="17">
        <f t="shared" ca="1" si="81"/>
        <v>31</v>
      </c>
      <c r="H852" s="17">
        <f t="shared" ca="1" si="82"/>
        <v>-7</v>
      </c>
      <c r="I852" s="18">
        <f t="shared" ca="1" si="83"/>
        <v>-8</v>
      </c>
      <c r="J852" s="19">
        <f t="shared" ca="1" si="84"/>
        <v>30</v>
      </c>
      <c r="K852" s="17" t="s">
        <v>40</v>
      </c>
      <c r="L852" s="29">
        <v>3</v>
      </c>
      <c r="M852" s="26" t="s">
        <v>44</v>
      </c>
      <c r="N852">
        <v>184</v>
      </c>
    </row>
    <row r="853" spans="1:14">
      <c r="A853" s="24">
        <f t="shared" si="79"/>
        <v>24</v>
      </c>
      <c r="B853" s="66" t="s">
        <v>1</v>
      </c>
      <c r="C853" s="72" t="s">
        <v>962</v>
      </c>
      <c r="D853" s="72" t="s">
        <v>91</v>
      </c>
      <c r="E853" s="21">
        <f t="shared" ca="1" si="80"/>
        <v>40951</v>
      </c>
      <c r="F853" s="6">
        <f>DATE(54,11,4)</f>
        <v>20032</v>
      </c>
      <c r="G853" s="7">
        <f t="shared" ca="1" si="81"/>
        <v>58</v>
      </c>
      <c r="H853" s="7">
        <f t="shared" ca="1" si="82"/>
        <v>-9</v>
      </c>
      <c r="I853" s="8">
        <f t="shared" ca="1" si="83"/>
        <v>8</v>
      </c>
      <c r="J853" s="9">
        <f t="shared" ca="1" si="84"/>
        <v>57</v>
      </c>
      <c r="K853" s="7" t="s">
        <v>40</v>
      </c>
      <c r="L853" s="28">
        <v>4</v>
      </c>
      <c r="M853" s="24" t="s">
        <v>40</v>
      </c>
      <c r="N853">
        <v>185</v>
      </c>
    </row>
    <row r="854" spans="1:14">
      <c r="A854" s="25">
        <f t="shared" si="79"/>
        <v>25</v>
      </c>
      <c r="B854" s="67" t="s">
        <v>1</v>
      </c>
      <c r="C854" s="71" t="s">
        <v>962</v>
      </c>
      <c r="D854" s="71" t="s">
        <v>417</v>
      </c>
      <c r="E854" s="22">
        <f t="shared" ca="1" si="80"/>
        <v>40951</v>
      </c>
      <c r="F854" s="11">
        <f>DATE(43,9,1)</f>
        <v>15950</v>
      </c>
      <c r="G854" s="12">
        <f t="shared" ca="1" si="81"/>
        <v>69</v>
      </c>
      <c r="H854" s="12">
        <f t="shared" ca="1" si="82"/>
        <v>-7</v>
      </c>
      <c r="I854" s="13">
        <f t="shared" ca="1" si="83"/>
        <v>11</v>
      </c>
      <c r="J854" s="14">
        <f t="shared" ca="1" si="84"/>
        <v>68</v>
      </c>
      <c r="K854" s="12" t="s">
        <v>40</v>
      </c>
      <c r="L854" s="27">
        <v>4</v>
      </c>
      <c r="M854" s="25" t="s">
        <v>40</v>
      </c>
      <c r="N854">
        <v>185</v>
      </c>
    </row>
    <row r="855" spans="1:14">
      <c r="A855" s="25">
        <f t="shared" si="79"/>
        <v>26</v>
      </c>
      <c r="B855" s="67" t="s">
        <v>1</v>
      </c>
      <c r="C855" s="71" t="s">
        <v>1044</v>
      </c>
      <c r="D855" s="71" t="s">
        <v>962</v>
      </c>
      <c r="E855" s="22">
        <f t="shared" ca="1" si="80"/>
        <v>40951</v>
      </c>
      <c r="F855" s="11">
        <f>DATE(76,3,31)</f>
        <v>27850</v>
      </c>
      <c r="G855" s="12">
        <f t="shared" ca="1" si="81"/>
        <v>36</v>
      </c>
      <c r="H855" s="12">
        <f t="shared" ca="1" si="82"/>
        <v>-1</v>
      </c>
      <c r="I855" s="13">
        <f t="shared" ca="1" si="83"/>
        <v>-19</v>
      </c>
      <c r="J855" s="14">
        <f t="shared" ca="1" si="84"/>
        <v>35</v>
      </c>
      <c r="K855" s="12" t="s">
        <v>40</v>
      </c>
      <c r="L855" s="27">
        <v>4</v>
      </c>
      <c r="M855" s="25" t="s">
        <v>40</v>
      </c>
      <c r="N855">
        <v>185</v>
      </c>
    </row>
    <row r="856" spans="1:14">
      <c r="A856" s="25">
        <f t="shared" si="79"/>
        <v>27</v>
      </c>
      <c r="B856" s="67" t="s">
        <v>1</v>
      </c>
      <c r="C856" s="71" t="s">
        <v>962</v>
      </c>
      <c r="D856" s="71" t="s">
        <v>77</v>
      </c>
      <c r="E856" s="22">
        <f t="shared" ca="1" si="80"/>
        <v>40951</v>
      </c>
      <c r="F856" s="11">
        <f>DATE(53,5,5)</f>
        <v>19484</v>
      </c>
      <c r="G856" s="12">
        <f t="shared" ca="1" si="81"/>
        <v>59</v>
      </c>
      <c r="H856" s="12">
        <f t="shared" ca="1" si="82"/>
        <v>-3</v>
      </c>
      <c r="I856" s="13">
        <f t="shared" ca="1" si="83"/>
        <v>7</v>
      </c>
      <c r="J856" s="14">
        <f t="shared" ca="1" si="84"/>
        <v>58</v>
      </c>
      <c r="K856" s="12" t="s">
        <v>40</v>
      </c>
      <c r="L856" s="27">
        <v>4</v>
      </c>
      <c r="M856" s="25" t="s">
        <v>40</v>
      </c>
      <c r="N856">
        <v>185</v>
      </c>
    </row>
    <row r="857" spans="1:14">
      <c r="A857" s="25">
        <f t="shared" si="79"/>
        <v>28</v>
      </c>
      <c r="B857" s="67" t="s">
        <v>1</v>
      </c>
      <c r="C857" s="71" t="s">
        <v>1082</v>
      </c>
      <c r="D857" s="71" t="s">
        <v>962</v>
      </c>
      <c r="E857" s="22">
        <f t="shared" ca="1" si="80"/>
        <v>40951</v>
      </c>
      <c r="F857" s="11">
        <f>DATE(81,6,12)</f>
        <v>29749</v>
      </c>
      <c r="G857" s="12">
        <f t="shared" ca="1" si="81"/>
        <v>31</v>
      </c>
      <c r="H857" s="12">
        <f t="shared" ca="1" si="82"/>
        <v>-4</v>
      </c>
      <c r="I857" s="13">
        <f t="shared" ca="1" si="83"/>
        <v>0</v>
      </c>
      <c r="J857" s="14">
        <f t="shared" ca="1" si="84"/>
        <v>30</v>
      </c>
      <c r="K857" s="12" t="s">
        <v>40</v>
      </c>
      <c r="L857" s="27">
        <v>4</v>
      </c>
      <c r="M857" s="25" t="s">
        <v>44</v>
      </c>
      <c r="N857">
        <v>185</v>
      </c>
    </row>
    <row r="858" spans="1:14">
      <c r="A858" s="25">
        <f t="shared" si="79"/>
        <v>29</v>
      </c>
      <c r="B858" s="67" t="s">
        <v>1</v>
      </c>
      <c r="C858" s="71" t="s">
        <v>1045</v>
      </c>
      <c r="D858" s="71" t="s">
        <v>82</v>
      </c>
      <c r="E858" s="22">
        <f t="shared" ca="1" si="80"/>
        <v>40951</v>
      </c>
      <c r="F858" s="11">
        <f>DATE(57,9,23)</f>
        <v>21086</v>
      </c>
      <c r="G858" s="12">
        <f t="shared" ca="1" si="81"/>
        <v>55</v>
      </c>
      <c r="H858" s="12">
        <f t="shared" ca="1" si="82"/>
        <v>-7</v>
      </c>
      <c r="I858" s="13">
        <f t="shared" ca="1" si="83"/>
        <v>-11</v>
      </c>
      <c r="J858" s="14">
        <f t="shared" ca="1" si="84"/>
        <v>54</v>
      </c>
      <c r="K858" s="12" t="s">
        <v>40</v>
      </c>
      <c r="L858" s="27">
        <v>5</v>
      </c>
      <c r="M858" s="25" t="s">
        <v>40</v>
      </c>
      <c r="N858">
        <v>185</v>
      </c>
    </row>
    <row r="859" spans="1:14" ht="15.75" thickBot="1">
      <c r="A859" s="26">
        <f t="shared" si="79"/>
        <v>30</v>
      </c>
      <c r="B859" s="67" t="s">
        <v>1</v>
      </c>
      <c r="C859" s="73" t="s">
        <v>299</v>
      </c>
      <c r="D859" s="73" t="s">
        <v>1045</v>
      </c>
      <c r="E859" s="23">
        <f t="shared" ca="1" si="80"/>
        <v>40951</v>
      </c>
      <c r="F859" s="16">
        <f>DATE(76,12,28)</f>
        <v>28122</v>
      </c>
      <c r="G859" s="17">
        <f t="shared" ca="1" si="81"/>
        <v>36</v>
      </c>
      <c r="H859" s="17">
        <f t="shared" ca="1" si="82"/>
        <v>-10</v>
      </c>
      <c r="I859" s="18">
        <f t="shared" ca="1" si="83"/>
        <v>-16</v>
      </c>
      <c r="J859" s="19">
        <f t="shared" ca="1" si="84"/>
        <v>35</v>
      </c>
      <c r="K859" s="17" t="s">
        <v>40</v>
      </c>
      <c r="L859" s="20">
        <v>5</v>
      </c>
      <c r="M859" s="26" t="s">
        <v>44</v>
      </c>
      <c r="N859">
        <v>185</v>
      </c>
    </row>
    <row r="860" spans="1:14">
      <c r="A860" s="24">
        <f t="shared" si="79"/>
        <v>31</v>
      </c>
      <c r="B860" s="66" t="s">
        <v>1</v>
      </c>
      <c r="C860" s="72" t="s">
        <v>315</v>
      </c>
      <c r="D860" s="72" t="s">
        <v>91</v>
      </c>
      <c r="E860" s="21">
        <f t="shared" ca="1" si="80"/>
        <v>40951</v>
      </c>
      <c r="F860" s="6">
        <f>DATE(50,5,20)</f>
        <v>18403</v>
      </c>
      <c r="G860" s="7">
        <f t="shared" ca="1" si="81"/>
        <v>62</v>
      </c>
      <c r="H860" s="7">
        <f t="shared" ca="1" si="82"/>
        <v>-3</v>
      </c>
      <c r="I860" s="8">
        <f t="shared" ca="1" si="83"/>
        <v>-8</v>
      </c>
      <c r="J860" s="9">
        <f t="shared" ca="1" si="84"/>
        <v>61</v>
      </c>
      <c r="K860" s="7" t="s">
        <v>40</v>
      </c>
      <c r="L860" s="10">
        <v>5</v>
      </c>
      <c r="M860" s="24" t="s">
        <v>40</v>
      </c>
      <c r="N860">
        <v>186</v>
      </c>
    </row>
    <row r="861" spans="1:14" ht="15.75" thickBot="1">
      <c r="A861" s="26">
        <f t="shared" si="79"/>
        <v>32</v>
      </c>
      <c r="B861" s="67" t="s">
        <v>1</v>
      </c>
      <c r="C861" s="73" t="s">
        <v>305</v>
      </c>
      <c r="D861" s="73" t="s">
        <v>315</v>
      </c>
      <c r="E861" s="23">
        <f t="shared" ca="1" si="80"/>
        <v>40951</v>
      </c>
      <c r="F861" s="33"/>
      <c r="G861" s="17">
        <f t="shared" ca="1" si="81"/>
        <v>112</v>
      </c>
      <c r="H861" s="17">
        <f t="shared" ca="1" si="82"/>
        <v>1</v>
      </c>
      <c r="I861" s="18">
        <f t="shared" ca="1" si="83"/>
        <v>12</v>
      </c>
      <c r="J861" s="19">
        <f t="shared" ca="1" si="84"/>
        <v>112</v>
      </c>
      <c r="K861" s="17" t="s">
        <v>40</v>
      </c>
      <c r="L861" s="20">
        <v>5</v>
      </c>
      <c r="M861" s="26" t="s">
        <v>44</v>
      </c>
      <c r="N861">
        <v>186</v>
      </c>
    </row>
    <row r="862" spans="1:14">
      <c r="A862" s="24">
        <f t="shared" si="79"/>
        <v>33</v>
      </c>
      <c r="B862" s="66" t="s">
        <v>1</v>
      </c>
      <c r="C862" s="72" t="s">
        <v>315</v>
      </c>
      <c r="D862" s="72" t="s">
        <v>417</v>
      </c>
      <c r="E862" s="21">
        <f t="shared" ca="1" si="80"/>
        <v>40951</v>
      </c>
      <c r="F862" s="6">
        <f>DATE(45,12,10)</f>
        <v>16781</v>
      </c>
      <c r="G862" s="7">
        <f t="shared" ca="1" si="81"/>
        <v>67</v>
      </c>
      <c r="H862" s="7">
        <f t="shared" ca="1" si="82"/>
        <v>-10</v>
      </c>
      <c r="I862" s="8">
        <f t="shared" ca="1" si="83"/>
        <v>2</v>
      </c>
      <c r="J862" s="9">
        <f t="shared" ca="1" si="84"/>
        <v>66</v>
      </c>
      <c r="K862" s="7" t="s">
        <v>40</v>
      </c>
      <c r="L862" s="10">
        <v>5</v>
      </c>
      <c r="M862" s="24" t="s">
        <v>40</v>
      </c>
      <c r="N862">
        <v>187</v>
      </c>
    </row>
    <row r="863" spans="1:14">
      <c r="A863" s="25">
        <f t="shared" si="79"/>
        <v>34</v>
      </c>
      <c r="B863" s="67" t="s">
        <v>1</v>
      </c>
      <c r="C863" s="71" t="s">
        <v>305</v>
      </c>
      <c r="D863" s="71" t="s">
        <v>315</v>
      </c>
      <c r="E863" s="22">
        <f t="shared" ca="1" si="80"/>
        <v>40951</v>
      </c>
      <c r="F863" s="11">
        <f>DATE(78,12,17)</f>
        <v>28841</v>
      </c>
      <c r="G863" s="12">
        <f t="shared" ca="1" si="81"/>
        <v>34</v>
      </c>
      <c r="H863" s="12">
        <f t="shared" ca="1" si="82"/>
        <v>-10</v>
      </c>
      <c r="I863" s="13">
        <f t="shared" ca="1" si="83"/>
        <v>-5</v>
      </c>
      <c r="J863" s="14">
        <f t="shared" ca="1" si="84"/>
        <v>33</v>
      </c>
      <c r="K863" s="12" t="s">
        <v>40</v>
      </c>
      <c r="L863" s="15">
        <v>5</v>
      </c>
      <c r="M863" s="25" t="s">
        <v>44</v>
      </c>
      <c r="N863">
        <v>187</v>
      </c>
    </row>
    <row r="864" spans="1:14">
      <c r="A864" s="25">
        <f t="shared" si="79"/>
        <v>35</v>
      </c>
      <c r="B864" s="67" t="s">
        <v>1</v>
      </c>
      <c r="C864" s="71" t="s">
        <v>982</v>
      </c>
      <c r="D864" s="71" t="s">
        <v>315</v>
      </c>
      <c r="E864" s="22">
        <f t="shared" ca="1" si="80"/>
        <v>40951</v>
      </c>
      <c r="F864" s="11">
        <f>DATE(80,7,15)</f>
        <v>29417</v>
      </c>
      <c r="G864" s="12">
        <f t="shared" ca="1" si="81"/>
        <v>32</v>
      </c>
      <c r="H864" s="12">
        <f t="shared" ca="1" si="82"/>
        <v>-5</v>
      </c>
      <c r="I864" s="13">
        <f t="shared" ca="1" si="83"/>
        <v>-3</v>
      </c>
      <c r="J864" s="14">
        <f t="shared" ca="1" si="84"/>
        <v>31</v>
      </c>
      <c r="K864" s="12" t="s">
        <v>40</v>
      </c>
      <c r="L864" s="15">
        <v>5</v>
      </c>
      <c r="M864" s="25" t="s">
        <v>44</v>
      </c>
      <c r="N864">
        <v>187</v>
      </c>
    </row>
    <row r="865" spans="1:14" ht="15.75" thickBot="1">
      <c r="A865" s="26">
        <f t="shared" si="79"/>
        <v>36</v>
      </c>
      <c r="B865" s="67" t="s">
        <v>1</v>
      </c>
      <c r="C865" s="73" t="s">
        <v>57</v>
      </c>
      <c r="D865" s="73" t="s">
        <v>973</v>
      </c>
      <c r="E865" s="23">
        <f t="shared" ca="1" si="80"/>
        <v>40951</v>
      </c>
      <c r="F865" s="16">
        <f>DATE(45,11,2)</f>
        <v>16743</v>
      </c>
      <c r="G865" s="17">
        <f t="shared" ca="1" si="81"/>
        <v>67</v>
      </c>
      <c r="H865" s="17">
        <f t="shared" ca="1" si="82"/>
        <v>-9</v>
      </c>
      <c r="I865" s="18">
        <f t="shared" ca="1" si="83"/>
        <v>10</v>
      </c>
      <c r="J865" s="19">
        <f t="shared" ca="1" si="84"/>
        <v>66</v>
      </c>
      <c r="K865" s="17" t="s">
        <v>40</v>
      </c>
      <c r="L865" s="20">
        <v>6</v>
      </c>
      <c r="M865" s="26" t="s">
        <v>40</v>
      </c>
      <c r="N865">
        <v>187</v>
      </c>
    </row>
    <row r="866" spans="1:14">
      <c r="A866" s="24">
        <f t="shared" si="79"/>
        <v>37</v>
      </c>
      <c r="B866" s="66" t="s">
        <v>1</v>
      </c>
      <c r="C866" s="72" t="s">
        <v>506</v>
      </c>
      <c r="D866" s="72" t="s">
        <v>560</v>
      </c>
      <c r="E866" s="21">
        <f t="shared" ca="1" si="80"/>
        <v>40951</v>
      </c>
      <c r="F866" s="6">
        <f>DATE(66,9,6)</f>
        <v>24356</v>
      </c>
      <c r="G866" s="7">
        <f t="shared" ca="1" si="81"/>
        <v>46</v>
      </c>
      <c r="H866" s="7">
        <f t="shared" ca="1" si="82"/>
        <v>-7</v>
      </c>
      <c r="I866" s="8">
        <f t="shared" ca="1" si="83"/>
        <v>6</v>
      </c>
      <c r="J866" s="9">
        <f t="shared" ca="1" si="84"/>
        <v>45</v>
      </c>
      <c r="K866" s="7" t="s">
        <v>40</v>
      </c>
      <c r="L866" s="10">
        <v>6</v>
      </c>
      <c r="M866" s="24" t="s">
        <v>40</v>
      </c>
      <c r="N866">
        <v>188</v>
      </c>
    </row>
    <row r="867" spans="1:14">
      <c r="A867" s="25">
        <f t="shared" si="79"/>
        <v>38</v>
      </c>
      <c r="B867" s="67" t="s">
        <v>1</v>
      </c>
      <c r="C867" s="71" t="s">
        <v>1087</v>
      </c>
      <c r="D867" s="71" t="s">
        <v>1046</v>
      </c>
      <c r="E867" s="22">
        <f t="shared" ca="1" si="80"/>
        <v>40951</v>
      </c>
      <c r="F867" s="11">
        <f>DATE(93,11,19)</f>
        <v>34292</v>
      </c>
      <c r="G867" s="12">
        <f t="shared" ca="1" si="81"/>
        <v>19</v>
      </c>
      <c r="H867" s="12">
        <f t="shared" ca="1" si="82"/>
        <v>-9</v>
      </c>
      <c r="I867" s="13">
        <f t="shared" ca="1" si="83"/>
        <v>-7</v>
      </c>
      <c r="J867" s="14">
        <f t="shared" ca="1" si="84"/>
        <v>18</v>
      </c>
      <c r="K867" s="12" t="s">
        <v>40</v>
      </c>
      <c r="L867" s="15">
        <v>6</v>
      </c>
      <c r="M867" s="25" t="s">
        <v>44</v>
      </c>
      <c r="N867">
        <v>188</v>
      </c>
    </row>
    <row r="868" spans="1:14">
      <c r="A868" s="25">
        <f t="shared" si="79"/>
        <v>39</v>
      </c>
      <c r="B868" s="67" t="s">
        <v>1</v>
      </c>
      <c r="C868" s="71" t="s">
        <v>1088</v>
      </c>
      <c r="D868" s="71" t="s">
        <v>1046</v>
      </c>
      <c r="E868" s="22">
        <f t="shared" ca="1" si="80"/>
        <v>40951</v>
      </c>
      <c r="F868" s="11">
        <f>DATE(2000,2,1)</f>
        <v>36557</v>
      </c>
      <c r="G868" s="12">
        <f t="shared" ca="1" si="81"/>
        <v>12</v>
      </c>
      <c r="H868" s="12">
        <f t="shared" ca="1" si="82"/>
        <v>0</v>
      </c>
      <c r="I868" s="13">
        <f t="shared" ca="1" si="83"/>
        <v>11</v>
      </c>
      <c r="J868" s="14">
        <f t="shared" ca="1" si="84"/>
        <v>12</v>
      </c>
      <c r="K868" s="12" t="s">
        <v>40</v>
      </c>
      <c r="L868" s="15">
        <v>6</v>
      </c>
      <c r="M868" s="25" t="s">
        <v>44</v>
      </c>
      <c r="N868">
        <v>188</v>
      </c>
    </row>
    <row r="869" spans="1:14">
      <c r="A869" s="25">
        <f t="shared" si="79"/>
        <v>40</v>
      </c>
      <c r="B869" s="67" t="s">
        <v>1</v>
      </c>
      <c r="C869" s="71" t="s">
        <v>1047</v>
      </c>
      <c r="D869" s="71" t="s">
        <v>103</v>
      </c>
      <c r="E869" s="22">
        <f t="shared" ca="1" si="80"/>
        <v>40951</v>
      </c>
      <c r="F869" s="11">
        <f>DATE(76,7,13)</f>
        <v>27954</v>
      </c>
      <c r="G869" s="12">
        <f t="shared" ca="1" si="81"/>
        <v>36</v>
      </c>
      <c r="H869" s="12">
        <f t="shared" ca="1" si="82"/>
        <v>-5</v>
      </c>
      <c r="I869" s="13">
        <f t="shared" ca="1" si="83"/>
        <v>-1</v>
      </c>
      <c r="J869" s="14">
        <f t="shared" ca="1" si="84"/>
        <v>35</v>
      </c>
      <c r="K869" s="12" t="s">
        <v>40</v>
      </c>
      <c r="L869" s="15">
        <v>6</v>
      </c>
      <c r="M869" s="25" t="s">
        <v>40</v>
      </c>
      <c r="N869">
        <v>188</v>
      </c>
    </row>
    <row r="870" spans="1:14">
      <c r="A870" s="25">
        <f t="shared" si="79"/>
        <v>41</v>
      </c>
      <c r="B870" s="67" t="s">
        <v>1</v>
      </c>
      <c r="C870" s="71" t="s">
        <v>967</v>
      </c>
      <c r="D870" s="71" t="s">
        <v>1048</v>
      </c>
      <c r="E870" s="22">
        <f t="shared" ca="1" si="80"/>
        <v>40951</v>
      </c>
      <c r="F870" s="11">
        <f>DATE(50,5,9)</f>
        <v>18392</v>
      </c>
      <c r="G870" s="12">
        <f t="shared" ca="1" si="81"/>
        <v>62</v>
      </c>
      <c r="H870" s="12">
        <f t="shared" ca="1" si="82"/>
        <v>-3</v>
      </c>
      <c r="I870" s="13">
        <f t="shared" ca="1" si="83"/>
        <v>3</v>
      </c>
      <c r="J870" s="14">
        <f t="shared" ca="1" si="84"/>
        <v>61</v>
      </c>
      <c r="K870" s="12" t="s">
        <v>40</v>
      </c>
      <c r="L870" s="15">
        <v>6</v>
      </c>
      <c r="M870" s="25" t="s">
        <v>40</v>
      </c>
      <c r="N870">
        <v>188</v>
      </c>
    </row>
    <row r="871" spans="1:14">
      <c r="A871" s="25">
        <f t="shared" si="79"/>
        <v>42</v>
      </c>
      <c r="B871" s="67" t="s">
        <v>1</v>
      </c>
      <c r="C871" s="71" t="s">
        <v>1050</v>
      </c>
      <c r="D871" s="71" t="s">
        <v>967</v>
      </c>
      <c r="E871" s="22">
        <f t="shared" ca="1" si="80"/>
        <v>40951</v>
      </c>
      <c r="F871" s="11">
        <f>DATE(79,7,23)</f>
        <v>29059</v>
      </c>
      <c r="G871" s="12">
        <f t="shared" ca="1" si="81"/>
        <v>33</v>
      </c>
      <c r="H871" s="12">
        <f t="shared" ca="1" si="82"/>
        <v>-5</v>
      </c>
      <c r="I871" s="13">
        <f t="shared" ca="1" si="83"/>
        <v>-11</v>
      </c>
      <c r="J871" s="14">
        <f t="shared" ca="1" si="84"/>
        <v>32</v>
      </c>
      <c r="K871" s="12" t="s">
        <v>40</v>
      </c>
      <c r="L871" s="15">
        <v>6</v>
      </c>
      <c r="M871" s="25" t="s">
        <v>40</v>
      </c>
      <c r="N871">
        <v>188</v>
      </c>
    </row>
    <row r="872" spans="1:14">
      <c r="A872" s="25">
        <f t="shared" si="79"/>
        <v>43</v>
      </c>
      <c r="B872" s="67" t="s">
        <v>1</v>
      </c>
      <c r="C872" s="71" t="s">
        <v>604</v>
      </c>
      <c r="D872" s="71" t="s">
        <v>1050</v>
      </c>
      <c r="E872" s="22">
        <f t="shared" ca="1" si="80"/>
        <v>40951</v>
      </c>
      <c r="F872" s="11">
        <f>DATE(2005,9,24)</f>
        <v>38619</v>
      </c>
      <c r="G872" s="12">
        <f t="shared" ca="1" si="81"/>
        <v>7</v>
      </c>
      <c r="H872" s="12">
        <f t="shared" ca="1" si="82"/>
        <v>-7</v>
      </c>
      <c r="I872" s="13">
        <f t="shared" ca="1" si="83"/>
        <v>-12</v>
      </c>
      <c r="J872" s="14">
        <f t="shared" ca="1" si="84"/>
        <v>6</v>
      </c>
      <c r="K872" s="12" t="s">
        <v>40</v>
      </c>
      <c r="L872" s="15">
        <v>6</v>
      </c>
      <c r="M872" s="25" t="s">
        <v>44</v>
      </c>
      <c r="N872">
        <v>188</v>
      </c>
    </row>
    <row r="873" spans="1:14">
      <c r="A873" s="25">
        <f t="shared" si="79"/>
        <v>44</v>
      </c>
      <c r="B873" s="67" t="s">
        <v>1</v>
      </c>
      <c r="C873" s="71" t="s">
        <v>545</v>
      </c>
      <c r="D873" s="71" t="s">
        <v>1051</v>
      </c>
      <c r="E873" s="22">
        <f t="shared" ca="1" si="80"/>
        <v>40951</v>
      </c>
      <c r="F873" s="11">
        <f>DATE(60,9,9)</f>
        <v>22168</v>
      </c>
      <c r="G873" s="12">
        <f t="shared" ca="1" si="81"/>
        <v>52</v>
      </c>
      <c r="H873" s="12">
        <f t="shared" ca="1" si="82"/>
        <v>-7</v>
      </c>
      <c r="I873" s="13">
        <f t="shared" ca="1" si="83"/>
        <v>3</v>
      </c>
      <c r="J873" s="14">
        <f t="shared" ca="1" si="84"/>
        <v>51</v>
      </c>
      <c r="K873" s="12" t="s">
        <v>40</v>
      </c>
      <c r="L873" s="15">
        <v>7</v>
      </c>
      <c r="M873" s="25" t="s">
        <v>40</v>
      </c>
      <c r="N873">
        <v>188</v>
      </c>
    </row>
    <row r="874" spans="1:14">
      <c r="A874" s="25">
        <f t="shared" si="79"/>
        <v>45</v>
      </c>
      <c r="B874" s="67" t="s">
        <v>1</v>
      </c>
      <c r="C874" s="71" t="s">
        <v>177</v>
      </c>
      <c r="D874" s="71" t="s">
        <v>545</v>
      </c>
      <c r="E874" s="22">
        <f t="shared" ca="1" si="80"/>
        <v>40951</v>
      </c>
      <c r="F874" s="11">
        <f>DATE(93,3,14)</f>
        <v>34042</v>
      </c>
      <c r="G874" s="12">
        <f t="shared" ca="1" si="81"/>
        <v>19</v>
      </c>
      <c r="H874" s="12">
        <f t="shared" ca="1" si="82"/>
        <v>-1</v>
      </c>
      <c r="I874" s="13">
        <f t="shared" ca="1" si="83"/>
        <v>-2</v>
      </c>
      <c r="J874" s="14">
        <f t="shared" ca="1" si="84"/>
        <v>18</v>
      </c>
      <c r="K874" s="12" t="s">
        <v>40</v>
      </c>
      <c r="L874" s="15">
        <v>7</v>
      </c>
      <c r="M874" s="25" t="s">
        <v>44</v>
      </c>
      <c r="N874">
        <v>188</v>
      </c>
    </row>
    <row r="875" spans="1:14">
      <c r="A875" s="25">
        <f t="shared" si="79"/>
        <v>46</v>
      </c>
      <c r="B875" s="67" t="s">
        <v>1</v>
      </c>
      <c r="C875" s="71" t="s">
        <v>1052</v>
      </c>
      <c r="D875" s="71" t="s">
        <v>77</v>
      </c>
      <c r="E875" s="22">
        <f t="shared" ca="1" si="80"/>
        <v>40951</v>
      </c>
      <c r="F875" s="11">
        <f>DATE(49,12,10)</f>
        <v>18242</v>
      </c>
      <c r="G875" s="12">
        <f t="shared" ca="1" si="81"/>
        <v>63</v>
      </c>
      <c r="H875" s="12">
        <f t="shared" ca="1" si="82"/>
        <v>-10</v>
      </c>
      <c r="I875" s="13">
        <f t="shared" ca="1" si="83"/>
        <v>2</v>
      </c>
      <c r="J875" s="14">
        <f t="shared" ca="1" si="84"/>
        <v>62</v>
      </c>
      <c r="K875" s="12" t="s">
        <v>40</v>
      </c>
      <c r="L875" s="15">
        <v>7</v>
      </c>
      <c r="M875" s="25" t="s">
        <v>40</v>
      </c>
      <c r="N875">
        <v>188</v>
      </c>
    </row>
    <row r="876" spans="1:14" ht="15.75" thickBot="1">
      <c r="A876" s="26">
        <f t="shared" si="79"/>
        <v>47</v>
      </c>
      <c r="B876" s="67" t="s">
        <v>1</v>
      </c>
      <c r="C876" s="73" t="s">
        <v>121</v>
      </c>
      <c r="D876" s="73" t="s">
        <v>1052</v>
      </c>
      <c r="E876" s="23">
        <f t="shared" ca="1" si="80"/>
        <v>40951</v>
      </c>
      <c r="F876" s="16">
        <f>DATE(79,4,30)</f>
        <v>28975</v>
      </c>
      <c r="G876" s="17">
        <f t="shared" ca="1" si="81"/>
        <v>33</v>
      </c>
      <c r="H876" s="17">
        <f t="shared" ca="1" si="82"/>
        <v>-2</v>
      </c>
      <c r="I876" s="18">
        <f t="shared" ca="1" si="83"/>
        <v>-18</v>
      </c>
      <c r="J876" s="19">
        <f t="shared" ca="1" si="84"/>
        <v>32</v>
      </c>
      <c r="K876" s="17" t="s">
        <v>40</v>
      </c>
      <c r="L876" s="20">
        <v>7</v>
      </c>
      <c r="M876" s="26" t="s">
        <v>44</v>
      </c>
      <c r="N876">
        <v>188</v>
      </c>
    </row>
    <row r="877" spans="1:14">
      <c r="A877" s="24">
        <f t="shared" si="79"/>
        <v>48</v>
      </c>
      <c r="B877" s="66" t="s">
        <v>1</v>
      </c>
      <c r="C877" s="72" t="s">
        <v>560</v>
      </c>
      <c r="D877" s="72" t="s">
        <v>1053</v>
      </c>
      <c r="E877" s="21">
        <f t="shared" ca="1" si="80"/>
        <v>40951</v>
      </c>
      <c r="F877" s="45"/>
      <c r="G877" s="7">
        <f t="shared" ca="1" si="81"/>
        <v>112</v>
      </c>
      <c r="H877" s="7">
        <f t="shared" ca="1" si="82"/>
        <v>1</v>
      </c>
      <c r="I877" s="8">
        <f t="shared" ca="1" si="83"/>
        <v>12</v>
      </c>
      <c r="J877" s="9">
        <f t="shared" ca="1" si="84"/>
        <v>112</v>
      </c>
      <c r="K877" s="7" t="s">
        <v>40</v>
      </c>
      <c r="L877" s="10">
        <v>7</v>
      </c>
      <c r="M877" s="24" t="s">
        <v>40</v>
      </c>
      <c r="N877">
        <v>189</v>
      </c>
    </row>
    <row r="878" spans="1:14">
      <c r="A878" s="25">
        <f t="shared" si="79"/>
        <v>49</v>
      </c>
      <c r="B878" s="67" t="s">
        <v>1</v>
      </c>
      <c r="C878" s="71" t="s">
        <v>392</v>
      </c>
      <c r="D878" s="71" t="s">
        <v>560</v>
      </c>
      <c r="E878" s="22">
        <f t="shared" ca="1" si="80"/>
        <v>40951</v>
      </c>
      <c r="F878" s="46">
        <f>DATE(81,9,24)</f>
        <v>29853</v>
      </c>
      <c r="G878" s="12">
        <f t="shared" ca="1" si="81"/>
        <v>31</v>
      </c>
      <c r="H878" s="12">
        <f t="shared" ca="1" si="82"/>
        <v>-7</v>
      </c>
      <c r="I878" s="13">
        <f t="shared" ca="1" si="83"/>
        <v>-12</v>
      </c>
      <c r="J878" s="14">
        <f t="shared" ca="1" si="84"/>
        <v>30</v>
      </c>
      <c r="K878" s="12" t="s">
        <v>40</v>
      </c>
      <c r="L878" s="15">
        <v>7</v>
      </c>
      <c r="M878" s="25" t="s">
        <v>44</v>
      </c>
      <c r="N878">
        <v>189</v>
      </c>
    </row>
    <row r="879" spans="1:14">
      <c r="A879" s="25">
        <f t="shared" si="79"/>
        <v>50</v>
      </c>
      <c r="B879" s="67" t="s">
        <v>1</v>
      </c>
      <c r="C879" s="71" t="s">
        <v>277</v>
      </c>
      <c r="D879" s="71" t="s">
        <v>82</v>
      </c>
      <c r="E879" s="22">
        <f t="shared" ca="1" si="80"/>
        <v>40951</v>
      </c>
      <c r="F879" s="11">
        <f>DATE(58,5,22)</f>
        <v>21327</v>
      </c>
      <c r="G879" s="12">
        <f t="shared" ca="1" si="81"/>
        <v>54</v>
      </c>
      <c r="H879" s="12">
        <f t="shared" ca="1" si="82"/>
        <v>-3</v>
      </c>
      <c r="I879" s="13">
        <f t="shared" ca="1" si="83"/>
        <v>-10</v>
      </c>
      <c r="J879" s="14">
        <f t="shared" ca="1" si="84"/>
        <v>53</v>
      </c>
      <c r="K879" s="12" t="s">
        <v>40</v>
      </c>
      <c r="L879" s="15">
        <v>8</v>
      </c>
      <c r="M879" s="25" t="s">
        <v>40</v>
      </c>
      <c r="N879">
        <v>189</v>
      </c>
    </row>
    <row r="880" spans="1:14">
      <c r="A880" s="25">
        <f t="shared" si="79"/>
        <v>51</v>
      </c>
      <c r="B880" s="67" t="s">
        <v>1</v>
      </c>
      <c r="C880" s="71" t="s">
        <v>1056</v>
      </c>
      <c r="D880" s="71" t="s">
        <v>277</v>
      </c>
      <c r="E880" s="22">
        <f t="shared" ca="1" si="80"/>
        <v>40951</v>
      </c>
      <c r="F880" s="11">
        <f>DATE(90,9,27)</f>
        <v>33143</v>
      </c>
      <c r="G880" s="12">
        <f t="shared" ca="1" si="81"/>
        <v>22</v>
      </c>
      <c r="H880" s="12">
        <f t="shared" ca="1" si="82"/>
        <v>-7</v>
      </c>
      <c r="I880" s="13">
        <f t="shared" ca="1" si="83"/>
        <v>-15</v>
      </c>
      <c r="J880" s="14">
        <f t="shared" ca="1" si="84"/>
        <v>21</v>
      </c>
      <c r="K880" s="12" t="s">
        <v>40</v>
      </c>
      <c r="L880" s="15">
        <v>8</v>
      </c>
      <c r="M880" s="25" t="s">
        <v>44</v>
      </c>
      <c r="N880">
        <v>189</v>
      </c>
    </row>
    <row r="881" spans="1:14">
      <c r="A881" s="25">
        <f t="shared" si="79"/>
        <v>52</v>
      </c>
      <c r="B881" s="67" t="s">
        <v>1</v>
      </c>
      <c r="C881" s="71" t="s">
        <v>277</v>
      </c>
      <c r="D881" s="71" t="s">
        <v>1057</v>
      </c>
      <c r="E881" s="22">
        <f t="shared" ca="1" si="80"/>
        <v>40951</v>
      </c>
      <c r="F881" s="11">
        <f>DATE(57,9,17)</f>
        <v>21080</v>
      </c>
      <c r="G881" s="12">
        <f t="shared" ca="1" si="81"/>
        <v>55</v>
      </c>
      <c r="H881" s="12">
        <f t="shared" ca="1" si="82"/>
        <v>-7</v>
      </c>
      <c r="I881" s="13">
        <f t="shared" ca="1" si="83"/>
        <v>-5</v>
      </c>
      <c r="J881" s="14">
        <f t="shared" ca="1" si="84"/>
        <v>54</v>
      </c>
      <c r="K881" s="12" t="s">
        <v>40</v>
      </c>
      <c r="L881" s="15">
        <v>8</v>
      </c>
      <c r="M881" s="25" t="s">
        <v>40</v>
      </c>
      <c r="N881">
        <v>189</v>
      </c>
    </row>
    <row r="882" spans="1:14">
      <c r="A882" s="25">
        <f t="shared" si="79"/>
        <v>53</v>
      </c>
      <c r="B882" s="67" t="s">
        <v>1</v>
      </c>
      <c r="C882" s="71" t="s">
        <v>1058</v>
      </c>
      <c r="D882" s="71" t="s">
        <v>277</v>
      </c>
      <c r="E882" s="22">
        <f t="shared" ca="1" si="80"/>
        <v>40951</v>
      </c>
      <c r="F882" s="11">
        <f>DATE(90,7,12)</f>
        <v>33066</v>
      </c>
      <c r="G882" s="12">
        <f t="shared" ca="1" si="81"/>
        <v>22</v>
      </c>
      <c r="H882" s="12">
        <f t="shared" ca="1" si="82"/>
        <v>-5</v>
      </c>
      <c r="I882" s="13">
        <f t="shared" ca="1" si="83"/>
        <v>0</v>
      </c>
      <c r="J882" s="14">
        <f t="shared" ca="1" si="84"/>
        <v>21</v>
      </c>
      <c r="K882" s="12" t="s">
        <v>40</v>
      </c>
      <c r="L882" s="15">
        <v>8</v>
      </c>
      <c r="M882" s="25" t="s">
        <v>44</v>
      </c>
      <c r="N882">
        <v>189</v>
      </c>
    </row>
    <row r="883" spans="1:14" ht="15.75" thickBot="1">
      <c r="A883" s="26">
        <f t="shared" si="79"/>
        <v>54</v>
      </c>
      <c r="B883" s="67" t="s">
        <v>1</v>
      </c>
      <c r="C883" s="73" t="s">
        <v>589</v>
      </c>
      <c r="D883" s="73" t="s">
        <v>277</v>
      </c>
      <c r="E883" s="23">
        <f t="shared" ca="1" si="80"/>
        <v>40951</v>
      </c>
      <c r="F883" s="16">
        <f>DATE(94,4,9)</f>
        <v>34433</v>
      </c>
      <c r="G883" s="17">
        <f t="shared" ca="1" si="81"/>
        <v>18</v>
      </c>
      <c r="H883" s="17">
        <f t="shared" ca="1" si="82"/>
        <v>-2</v>
      </c>
      <c r="I883" s="18">
        <f t="shared" ca="1" si="83"/>
        <v>3</v>
      </c>
      <c r="J883" s="19">
        <f t="shared" ca="1" si="84"/>
        <v>17</v>
      </c>
      <c r="K883" s="17" t="s">
        <v>40</v>
      </c>
      <c r="L883" s="20">
        <v>8</v>
      </c>
      <c r="M883" s="26" t="s">
        <v>44</v>
      </c>
      <c r="N883">
        <v>189</v>
      </c>
    </row>
    <row r="884" spans="1:14">
      <c r="A884" s="24">
        <f t="shared" si="79"/>
        <v>55</v>
      </c>
      <c r="B884" s="66" t="s">
        <v>1</v>
      </c>
      <c r="C884" s="72" t="s">
        <v>1059</v>
      </c>
      <c r="D884" s="72" t="s">
        <v>356</v>
      </c>
      <c r="E884" s="21">
        <f t="shared" ca="1" si="80"/>
        <v>40951</v>
      </c>
      <c r="F884" s="6">
        <f>DATE(39,7,4)</f>
        <v>14430</v>
      </c>
      <c r="G884" s="7">
        <f t="shared" ca="1" si="81"/>
        <v>73</v>
      </c>
      <c r="H884" s="7">
        <f t="shared" ca="1" si="82"/>
        <v>-5</v>
      </c>
      <c r="I884" s="8">
        <f t="shared" ca="1" si="83"/>
        <v>8</v>
      </c>
      <c r="J884" s="9">
        <f t="shared" ca="1" si="84"/>
        <v>72</v>
      </c>
      <c r="K884" s="7" t="s">
        <v>40</v>
      </c>
      <c r="L884" s="10">
        <v>8</v>
      </c>
      <c r="M884" s="24" t="s">
        <v>40</v>
      </c>
      <c r="N884">
        <v>190</v>
      </c>
    </row>
    <row r="885" spans="1:14">
      <c r="A885" s="25">
        <f t="shared" si="79"/>
        <v>56</v>
      </c>
      <c r="B885" s="67" t="s">
        <v>1</v>
      </c>
      <c r="C885" s="71" t="s">
        <v>1060</v>
      </c>
      <c r="D885" s="71" t="s">
        <v>1059</v>
      </c>
      <c r="E885" s="22">
        <f t="shared" ca="1" si="80"/>
        <v>40951</v>
      </c>
      <c r="F885" s="11">
        <f>DATE(67,9,14)</f>
        <v>24729</v>
      </c>
      <c r="G885" s="12">
        <f t="shared" ca="1" si="81"/>
        <v>45</v>
      </c>
      <c r="H885" s="12">
        <f t="shared" ca="1" si="82"/>
        <v>-7</v>
      </c>
      <c r="I885" s="13">
        <f t="shared" ca="1" si="83"/>
        <v>-2</v>
      </c>
      <c r="J885" s="14">
        <f t="shared" ca="1" si="84"/>
        <v>44</v>
      </c>
      <c r="K885" s="12" t="s">
        <v>40</v>
      </c>
      <c r="L885" s="15">
        <v>8</v>
      </c>
      <c r="M885" s="25" t="s">
        <v>40</v>
      </c>
      <c r="N885">
        <v>190</v>
      </c>
    </row>
    <row r="886" spans="1:14">
      <c r="A886" s="25">
        <f t="shared" si="79"/>
        <v>57</v>
      </c>
      <c r="B886" s="67" t="s">
        <v>1</v>
      </c>
      <c r="C886" s="71" t="s">
        <v>1061</v>
      </c>
      <c r="D886" s="71" t="s">
        <v>1060</v>
      </c>
      <c r="E886" s="22">
        <f t="shared" ca="1" si="80"/>
        <v>40951</v>
      </c>
      <c r="F886" s="11">
        <f>DATE(96,10,27)</f>
        <v>35365</v>
      </c>
      <c r="G886" s="12">
        <f t="shared" ca="1" si="81"/>
        <v>16</v>
      </c>
      <c r="H886" s="12">
        <f t="shared" ca="1" si="82"/>
        <v>-8</v>
      </c>
      <c r="I886" s="13">
        <f t="shared" ca="1" si="83"/>
        <v>-15</v>
      </c>
      <c r="J886" s="14">
        <f t="shared" ca="1" si="84"/>
        <v>15</v>
      </c>
      <c r="K886" s="12" t="s">
        <v>40</v>
      </c>
      <c r="L886" s="15">
        <v>8</v>
      </c>
      <c r="M886" s="25" t="s">
        <v>44</v>
      </c>
      <c r="N886">
        <v>190</v>
      </c>
    </row>
    <row r="887" spans="1:14">
      <c r="A887" s="25">
        <f t="shared" si="79"/>
        <v>58</v>
      </c>
      <c r="B887" s="67" t="s">
        <v>1</v>
      </c>
      <c r="C887" s="71" t="s">
        <v>1063</v>
      </c>
      <c r="D887" s="71" t="s">
        <v>700</v>
      </c>
      <c r="E887" s="22">
        <f t="shared" ca="1" si="80"/>
        <v>40951</v>
      </c>
      <c r="F887" s="11">
        <f>DATE(51,10,24)</f>
        <v>18925</v>
      </c>
      <c r="G887" s="12">
        <f t="shared" ca="1" si="81"/>
        <v>61</v>
      </c>
      <c r="H887" s="12">
        <f t="shared" ca="1" si="82"/>
        <v>-8</v>
      </c>
      <c r="I887" s="13">
        <f t="shared" ca="1" si="83"/>
        <v>-12</v>
      </c>
      <c r="J887" s="14">
        <f t="shared" ca="1" si="84"/>
        <v>60</v>
      </c>
      <c r="K887" s="12" t="s">
        <v>40</v>
      </c>
      <c r="L887" s="15">
        <v>9</v>
      </c>
      <c r="M887" s="25" t="s">
        <v>40</v>
      </c>
      <c r="N887">
        <v>190</v>
      </c>
    </row>
    <row r="888" spans="1:14">
      <c r="A888" s="25">
        <f t="shared" si="79"/>
        <v>59</v>
      </c>
      <c r="B888" s="67" t="s">
        <v>1</v>
      </c>
      <c r="C888" s="71" t="s">
        <v>857</v>
      </c>
      <c r="D888" s="71" t="s">
        <v>1063</v>
      </c>
      <c r="E888" s="22">
        <f t="shared" ca="1" si="80"/>
        <v>40951</v>
      </c>
      <c r="F888" s="11">
        <f>DATE(77,4,18)</f>
        <v>28233</v>
      </c>
      <c r="G888" s="12">
        <f t="shared" ca="1" si="81"/>
        <v>35</v>
      </c>
      <c r="H888" s="12">
        <f t="shared" ca="1" si="82"/>
        <v>-2</v>
      </c>
      <c r="I888" s="13">
        <f t="shared" ca="1" si="83"/>
        <v>-6</v>
      </c>
      <c r="J888" s="14">
        <f t="shared" ca="1" si="84"/>
        <v>34</v>
      </c>
      <c r="K888" s="12" t="s">
        <v>40</v>
      </c>
      <c r="L888" s="15">
        <v>9</v>
      </c>
      <c r="M888" s="25" t="s">
        <v>40</v>
      </c>
      <c r="N888">
        <v>190</v>
      </c>
    </row>
    <row r="889" spans="1:14">
      <c r="A889" s="25">
        <f t="shared" si="79"/>
        <v>60</v>
      </c>
      <c r="B889" s="67" t="s">
        <v>1</v>
      </c>
      <c r="C889" s="71" t="s">
        <v>569</v>
      </c>
      <c r="D889" s="71" t="s">
        <v>1064</v>
      </c>
      <c r="E889" s="22">
        <f t="shared" ca="1" si="80"/>
        <v>40951</v>
      </c>
      <c r="F889" s="11">
        <f>DATE(74,10,23)</f>
        <v>27325</v>
      </c>
      <c r="G889" s="12">
        <f t="shared" ca="1" si="81"/>
        <v>38</v>
      </c>
      <c r="H889" s="12">
        <f t="shared" ca="1" si="82"/>
        <v>-8</v>
      </c>
      <c r="I889" s="13">
        <f t="shared" ca="1" si="83"/>
        <v>-11</v>
      </c>
      <c r="J889" s="14">
        <f t="shared" ca="1" si="84"/>
        <v>37</v>
      </c>
      <c r="K889" s="12" t="s">
        <v>40</v>
      </c>
      <c r="L889" s="15">
        <v>9</v>
      </c>
      <c r="M889" s="25" t="s">
        <v>40</v>
      </c>
      <c r="N889">
        <v>190</v>
      </c>
    </row>
    <row r="890" spans="1:14">
      <c r="A890" s="25">
        <f t="shared" si="79"/>
        <v>61</v>
      </c>
      <c r="B890" s="67" t="s">
        <v>1</v>
      </c>
      <c r="C890" s="71" t="s">
        <v>1065</v>
      </c>
      <c r="D890" s="71" t="s">
        <v>733</v>
      </c>
      <c r="E890" s="22">
        <f t="shared" ca="1" si="80"/>
        <v>40951</v>
      </c>
      <c r="F890" s="11">
        <f>DATE(56,7,18)</f>
        <v>20654</v>
      </c>
      <c r="G890" s="12">
        <f t="shared" ca="1" si="81"/>
        <v>56</v>
      </c>
      <c r="H890" s="12">
        <f t="shared" ca="1" si="82"/>
        <v>-5</v>
      </c>
      <c r="I890" s="13">
        <f t="shared" ca="1" si="83"/>
        <v>-6</v>
      </c>
      <c r="J890" s="14">
        <f t="shared" ca="1" si="84"/>
        <v>55</v>
      </c>
      <c r="K890" s="12" t="s">
        <v>40</v>
      </c>
      <c r="L890" s="15">
        <v>9</v>
      </c>
      <c r="M890" s="25" t="s">
        <v>40</v>
      </c>
      <c r="N890">
        <v>190</v>
      </c>
    </row>
    <row r="891" spans="1:14">
      <c r="A891" s="25">
        <f t="shared" si="79"/>
        <v>62</v>
      </c>
      <c r="B891" s="67" t="s">
        <v>1</v>
      </c>
      <c r="C891" s="71" t="s">
        <v>1067</v>
      </c>
      <c r="D891" s="71" t="s">
        <v>1065</v>
      </c>
      <c r="E891" s="22">
        <f t="shared" ca="1" si="80"/>
        <v>40951</v>
      </c>
      <c r="F891" s="11">
        <f>DATE(82,4,30)</f>
        <v>30071</v>
      </c>
      <c r="G891" s="12">
        <f t="shared" ca="1" si="81"/>
        <v>30</v>
      </c>
      <c r="H891" s="12">
        <f t="shared" ca="1" si="82"/>
        <v>-2</v>
      </c>
      <c r="I891" s="13">
        <f t="shared" ca="1" si="83"/>
        <v>-18</v>
      </c>
      <c r="J891" s="14">
        <f t="shared" ca="1" si="84"/>
        <v>29</v>
      </c>
      <c r="K891" s="12" t="s">
        <v>40</v>
      </c>
      <c r="L891" s="15">
        <v>9</v>
      </c>
      <c r="M891" s="25" t="s">
        <v>44</v>
      </c>
      <c r="N891">
        <v>190</v>
      </c>
    </row>
    <row r="892" spans="1:14" ht="15.75" thickBot="1">
      <c r="A892" s="26">
        <f t="shared" si="79"/>
        <v>63</v>
      </c>
      <c r="B892" s="67" t="s">
        <v>1</v>
      </c>
      <c r="C892" s="73" t="s">
        <v>543</v>
      </c>
      <c r="D892" s="73" t="s">
        <v>1065</v>
      </c>
      <c r="E892" s="23">
        <f t="shared" ca="1" si="80"/>
        <v>40951</v>
      </c>
      <c r="F892" s="16">
        <f>DATE(85,1,30)</f>
        <v>31077</v>
      </c>
      <c r="G892" s="17">
        <f t="shared" ca="1" si="81"/>
        <v>27</v>
      </c>
      <c r="H892" s="17">
        <f t="shared" ca="1" si="82"/>
        <v>1</v>
      </c>
      <c r="I892" s="18">
        <f t="shared" ca="1" si="83"/>
        <v>-18</v>
      </c>
      <c r="J892" s="19">
        <f t="shared" ca="1" si="84"/>
        <v>27</v>
      </c>
      <c r="K892" s="17" t="s">
        <v>40</v>
      </c>
      <c r="L892" s="20">
        <v>9</v>
      </c>
      <c r="M892" s="26" t="s">
        <v>44</v>
      </c>
      <c r="N892">
        <v>190</v>
      </c>
    </row>
    <row r="893" spans="1:14" ht="15.75" thickBot="1">
      <c r="A893" s="43">
        <f t="shared" si="79"/>
        <v>64</v>
      </c>
      <c r="B893" s="68" t="s">
        <v>1</v>
      </c>
      <c r="C893" s="73" t="s">
        <v>1068</v>
      </c>
      <c r="D893" s="73" t="s">
        <v>77</v>
      </c>
      <c r="E893" s="23">
        <f t="shared" ca="1" si="80"/>
        <v>40951</v>
      </c>
      <c r="F893" s="16">
        <f>DATE(54,11,15)</f>
        <v>20043</v>
      </c>
      <c r="G893" s="17">
        <f t="shared" ca="1" si="81"/>
        <v>58</v>
      </c>
      <c r="H893" s="17">
        <f t="shared" ca="1" si="82"/>
        <v>-9</v>
      </c>
      <c r="I893" s="18">
        <f t="shared" ca="1" si="83"/>
        <v>-3</v>
      </c>
      <c r="J893" s="19">
        <f t="shared" ca="1" si="84"/>
        <v>57</v>
      </c>
      <c r="K893" s="17" t="s">
        <v>40</v>
      </c>
      <c r="L893" s="42">
        <v>9</v>
      </c>
      <c r="M893" s="43" t="s">
        <v>40</v>
      </c>
      <c r="N893">
        <v>190</v>
      </c>
    </row>
    <row r="894" spans="1:14">
      <c r="A894" s="24">
        <f t="shared" si="79"/>
        <v>65</v>
      </c>
      <c r="B894" s="66" t="s">
        <v>1</v>
      </c>
      <c r="C894" s="72" t="s">
        <v>348</v>
      </c>
      <c r="D894" s="72" t="s">
        <v>1069</v>
      </c>
      <c r="E894" s="21">
        <f t="shared" ca="1" si="80"/>
        <v>40951</v>
      </c>
      <c r="F894" s="6">
        <f>DATE(63,8,16)</f>
        <v>23239</v>
      </c>
      <c r="G894" s="7">
        <f t="shared" ca="1" si="81"/>
        <v>49</v>
      </c>
      <c r="H894" s="7">
        <f t="shared" ca="1" si="82"/>
        <v>-6</v>
      </c>
      <c r="I894" s="8">
        <f t="shared" ca="1" si="83"/>
        <v>-4</v>
      </c>
      <c r="J894" s="9">
        <f t="shared" ca="1" si="84"/>
        <v>48</v>
      </c>
      <c r="K894" s="7" t="s">
        <v>40</v>
      </c>
      <c r="L894" s="10">
        <v>10</v>
      </c>
      <c r="M894" s="24" t="s">
        <v>40</v>
      </c>
      <c r="N894">
        <v>191</v>
      </c>
    </row>
    <row r="895" spans="1:14">
      <c r="A895" s="25">
        <f t="shared" ref="A895:A958" si="85">A894+1</f>
        <v>66</v>
      </c>
      <c r="B895" s="67" t="s">
        <v>1</v>
      </c>
      <c r="C895" s="71" t="s">
        <v>437</v>
      </c>
      <c r="D895" s="71" t="s">
        <v>348</v>
      </c>
      <c r="E895" s="22">
        <f t="shared" ca="1" si="80"/>
        <v>40951</v>
      </c>
      <c r="F895" s="11">
        <f>DATE(87,9,15)</f>
        <v>32035</v>
      </c>
      <c r="G895" s="12">
        <f t="shared" ca="1" si="81"/>
        <v>25</v>
      </c>
      <c r="H895" s="12">
        <f t="shared" ca="1" si="82"/>
        <v>-7</v>
      </c>
      <c r="I895" s="13">
        <f t="shared" ca="1" si="83"/>
        <v>-3</v>
      </c>
      <c r="J895" s="14">
        <f t="shared" ca="1" si="84"/>
        <v>24</v>
      </c>
      <c r="K895" s="12" t="s">
        <v>40</v>
      </c>
      <c r="L895" s="15">
        <v>10</v>
      </c>
      <c r="M895" s="25" t="s">
        <v>44</v>
      </c>
      <c r="N895">
        <v>191</v>
      </c>
    </row>
    <row r="896" spans="1:14" ht="15.75" thickBot="1">
      <c r="A896" s="26">
        <f t="shared" si="85"/>
        <v>67</v>
      </c>
      <c r="B896" s="68" t="s">
        <v>1</v>
      </c>
      <c r="C896" s="73" t="s">
        <v>591</v>
      </c>
      <c r="D896" s="73" t="s">
        <v>94</v>
      </c>
      <c r="E896" s="23">
        <f t="shared" ca="1" si="80"/>
        <v>40951</v>
      </c>
      <c r="F896" s="16">
        <f>DATE(57,9,16)</f>
        <v>21079</v>
      </c>
      <c r="G896" s="17">
        <f t="shared" ca="1" si="81"/>
        <v>55</v>
      </c>
      <c r="H896" s="17">
        <f t="shared" ca="1" si="82"/>
        <v>-7</v>
      </c>
      <c r="I896" s="18">
        <f t="shared" ca="1" si="83"/>
        <v>-4</v>
      </c>
      <c r="J896" s="19">
        <f t="shared" ca="1" si="84"/>
        <v>54</v>
      </c>
      <c r="K896" s="17" t="s">
        <v>40</v>
      </c>
      <c r="L896" s="20">
        <v>10</v>
      </c>
      <c r="M896" s="26" t="s">
        <v>40</v>
      </c>
      <c r="N896">
        <v>191</v>
      </c>
    </row>
    <row r="897" spans="1:14">
      <c r="A897" s="24">
        <f t="shared" si="85"/>
        <v>68</v>
      </c>
      <c r="B897" s="66" t="s">
        <v>1</v>
      </c>
      <c r="C897" s="66" t="s">
        <v>49</v>
      </c>
      <c r="D897" s="66" t="s">
        <v>50</v>
      </c>
      <c r="E897" s="21">
        <f t="shared" ref="E897:E960" ca="1" si="86">TODAY()</f>
        <v>40951</v>
      </c>
      <c r="F897" s="6">
        <f>DATE(51,9,2)</f>
        <v>18873</v>
      </c>
      <c r="G897" s="7">
        <f t="shared" ref="G897:G960" ca="1" si="87">YEAR(E897)-YEAR(F897)</f>
        <v>61</v>
      </c>
      <c r="H897" s="7">
        <f t="shared" ref="H897:H960" ca="1" si="88">MONTH(E897)-MONTH(F897)</f>
        <v>-7</v>
      </c>
      <c r="I897" s="8">
        <f t="shared" ref="I897:I960" ca="1" si="89">DAY(E897)-DAY(F897)</f>
        <v>10</v>
      </c>
      <c r="J897" s="9">
        <f t="shared" ref="J897:J960" ca="1" si="90">IF(H897&lt;0,G897-1,IF(H897&gt;0,G897,IF(I897&lt;0,G897-1,G897)))</f>
        <v>60</v>
      </c>
      <c r="K897" s="7" t="s">
        <v>40</v>
      </c>
      <c r="L897" s="10">
        <v>11</v>
      </c>
      <c r="M897" s="24" t="s">
        <v>40</v>
      </c>
      <c r="N897">
        <v>192</v>
      </c>
    </row>
    <row r="898" spans="1:14">
      <c r="A898" s="25">
        <f t="shared" si="85"/>
        <v>69</v>
      </c>
      <c r="B898" s="67" t="s">
        <v>1</v>
      </c>
      <c r="C898" s="67" t="s">
        <v>52</v>
      </c>
      <c r="D898" s="67" t="s">
        <v>49</v>
      </c>
      <c r="E898" s="22">
        <f t="shared" ca="1" si="86"/>
        <v>40951</v>
      </c>
      <c r="F898" s="11">
        <f>DATE(84,3,15)</f>
        <v>30756</v>
      </c>
      <c r="G898" s="12">
        <f t="shared" ca="1" si="87"/>
        <v>28</v>
      </c>
      <c r="H898" s="12">
        <f t="shared" ca="1" si="88"/>
        <v>-1</v>
      </c>
      <c r="I898" s="13">
        <f t="shared" ca="1" si="89"/>
        <v>-3</v>
      </c>
      <c r="J898" s="14">
        <f t="shared" ca="1" si="90"/>
        <v>27</v>
      </c>
      <c r="K898" s="12" t="s">
        <v>40</v>
      </c>
      <c r="L898" s="15">
        <v>11</v>
      </c>
      <c r="M898" s="25" t="s">
        <v>44</v>
      </c>
      <c r="N898">
        <v>192</v>
      </c>
    </row>
    <row r="899" spans="1:14" ht="15.75" thickBot="1">
      <c r="A899" s="26">
        <f t="shared" si="85"/>
        <v>70</v>
      </c>
      <c r="B899" s="68" t="s">
        <v>1</v>
      </c>
      <c r="C899" s="68" t="s">
        <v>54</v>
      </c>
      <c r="D899" s="68" t="s">
        <v>50</v>
      </c>
      <c r="E899" s="23">
        <f t="shared" ca="1" si="86"/>
        <v>40951</v>
      </c>
      <c r="F899" s="16">
        <f>DATE(54,3,13)</f>
        <v>19796</v>
      </c>
      <c r="G899" s="17">
        <f t="shared" ca="1" si="87"/>
        <v>58</v>
      </c>
      <c r="H899" s="17">
        <f t="shared" ca="1" si="88"/>
        <v>-1</v>
      </c>
      <c r="I899" s="18">
        <f t="shared" ca="1" si="89"/>
        <v>-1</v>
      </c>
      <c r="J899" s="19">
        <f t="shared" ca="1" si="90"/>
        <v>57</v>
      </c>
      <c r="K899" s="17" t="s">
        <v>40</v>
      </c>
      <c r="L899" s="20">
        <v>11</v>
      </c>
      <c r="M899" s="26" t="s">
        <v>44</v>
      </c>
      <c r="N899">
        <v>192</v>
      </c>
    </row>
    <row r="900" spans="1:14">
      <c r="A900" s="24">
        <f t="shared" si="85"/>
        <v>71</v>
      </c>
      <c r="B900" s="66" t="s">
        <v>1</v>
      </c>
      <c r="C900" s="66" t="s">
        <v>55</v>
      </c>
      <c r="D900" s="66" t="s">
        <v>56</v>
      </c>
      <c r="E900" s="21">
        <f t="shared" ca="1" si="86"/>
        <v>40951</v>
      </c>
      <c r="F900" s="6">
        <f>DATE(55,3,7)</f>
        <v>20155</v>
      </c>
      <c r="G900" s="7">
        <f t="shared" ca="1" si="87"/>
        <v>57</v>
      </c>
      <c r="H900" s="7">
        <f t="shared" ca="1" si="88"/>
        <v>-1</v>
      </c>
      <c r="I900" s="8">
        <f t="shared" ca="1" si="89"/>
        <v>5</v>
      </c>
      <c r="J900" s="9">
        <f t="shared" ca="1" si="90"/>
        <v>56</v>
      </c>
      <c r="K900" s="7" t="s">
        <v>40</v>
      </c>
      <c r="L900" s="10">
        <v>11</v>
      </c>
      <c r="M900" s="24" t="s">
        <v>40</v>
      </c>
      <c r="N900">
        <v>193</v>
      </c>
    </row>
    <row r="901" spans="1:14">
      <c r="A901" s="25">
        <f t="shared" si="85"/>
        <v>72</v>
      </c>
      <c r="B901" s="67" t="s">
        <v>1</v>
      </c>
      <c r="C901" s="67" t="s">
        <v>58</v>
      </c>
      <c r="D901" s="67" t="s">
        <v>55</v>
      </c>
      <c r="E901" s="22">
        <f t="shared" ca="1" si="86"/>
        <v>40951</v>
      </c>
      <c r="F901" s="11">
        <f>DATE(80,4,18)</f>
        <v>29329</v>
      </c>
      <c r="G901" s="12">
        <f t="shared" ca="1" si="87"/>
        <v>32</v>
      </c>
      <c r="H901" s="12">
        <f t="shared" ca="1" si="88"/>
        <v>-2</v>
      </c>
      <c r="I901" s="13">
        <f t="shared" ca="1" si="89"/>
        <v>-6</v>
      </c>
      <c r="J901" s="14">
        <f t="shared" ca="1" si="90"/>
        <v>31</v>
      </c>
      <c r="K901" s="12" t="s">
        <v>40</v>
      </c>
      <c r="L901" s="15">
        <v>11</v>
      </c>
      <c r="M901" s="25" t="s">
        <v>44</v>
      </c>
      <c r="N901">
        <v>193</v>
      </c>
    </row>
    <row r="902" spans="1:14" ht="15.75" thickBot="1">
      <c r="A902" s="26">
        <f t="shared" si="85"/>
        <v>73</v>
      </c>
      <c r="B902" s="68" t="s">
        <v>1</v>
      </c>
      <c r="C902" s="68" t="s">
        <v>61</v>
      </c>
      <c r="D902" s="68" t="s">
        <v>60</v>
      </c>
      <c r="E902" s="23">
        <f t="shared" ca="1" si="86"/>
        <v>40951</v>
      </c>
      <c r="F902" s="16">
        <f>DATE(71,8,2)</f>
        <v>26147</v>
      </c>
      <c r="G902" s="17">
        <f t="shared" ca="1" si="87"/>
        <v>41</v>
      </c>
      <c r="H902" s="17">
        <f t="shared" ca="1" si="88"/>
        <v>-6</v>
      </c>
      <c r="I902" s="18">
        <f t="shared" ca="1" si="89"/>
        <v>10</v>
      </c>
      <c r="J902" s="19">
        <f t="shared" ca="1" si="90"/>
        <v>40</v>
      </c>
      <c r="K902" s="17" t="s">
        <v>40</v>
      </c>
      <c r="L902" s="20">
        <v>11</v>
      </c>
      <c r="M902" s="26" t="s">
        <v>40</v>
      </c>
      <c r="N902">
        <v>193</v>
      </c>
    </row>
    <row r="903" spans="1:14">
      <c r="A903" s="24">
        <f t="shared" si="85"/>
        <v>74</v>
      </c>
      <c r="B903" s="66" t="s">
        <v>1</v>
      </c>
      <c r="C903" s="66" t="s">
        <v>63</v>
      </c>
      <c r="D903" s="66" t="s">
        <v>61</v>
      </c>
      <c r="E903" s="21">
        <f t="shared" ca="1" si="86"/>
        <v>40951</v>
      </c>
      <c r="F903" s="77">
        <f>DATE(2002,8,2)</f>
        <v>37470</v>
      </c>
      <c r="G903" s="7">
        <f t="shared" ca="1" si="87"/>
        <v>10</v>
      </c>
      <c r="H903" s="7">
        <f t="shared" ca="1" si="88"/>
        <v>-6</v>
      </c>
      <c r="I903" s="8">
        <f t="shared" ca="1" si="89"/>
        <v>10</v>
      </c>
      <c r="J903" s="9">
        <f t="shared" ca="1" si="90"/>
        <v>9</v>
      </c>
      <c r="K903" s="7" t="s">
        <v>40</v>
      </c>
      <c r="L903" s="10">
        <v>11</v>
      </c>
      <c r="M903" s="24" t="s">
        <v>44</v>
      </c>
      <c r="N903">
        <v>194</v>
      </c>
    </row>
    <row r="904" spans="1:14">
      <c r="A904" s="25">
        <f t="shared" si="85"/>
        <v>75</v>
      </c>
      <c r="B904" s="67" t="s">
        <v>1</v>
      </c>
      <c r="C904" s="67" t="s">
        <v>64</v>
      </c>
      <c r="D904" s="67" t="s">
        <v>65</v>
      </c>
      <c r="E904" s="22">
        <f t="shared" ca="1" si="86"/>
        <v>40951</v>
      </c>
      <c r="F904" s="11">
        <f>DATE(50,8,5)</f>
        <v>18480</v>
      </c>
      <c r="G904" s="12">
        <f t="shared" ca="1" si="87"/>
        <v>62</v>
      </c>
      <c r="H904" s="12">
        <f t="shared" ca="1" si="88"/>
        <v>-6</v>
      </c>
      <c r="I904" s="13">
        <f t="shared" ca="1" si="89"/>
        <v>7</v>
      </c>
      <c r="J904" s="14">
        <f t="shared" ca="1" si="90"/>
        <v>61</v>
      </c>
      <c r="K904" s="12" t="s">
        <v>40</v>
      </c>
      <c r="L904" s="15">
        <v>12</v>
      </c>
      <c r="M904" s="25" t="s">
        <v>40</v>
      </c>
      <c r="N904">
        <v>194</v>
      </c>
    </row>
    <row r="905" spans="1:14">
      <c r="A905" s="25">
        <f t="shared" si="85"/>
        <v>76</v>
      </c>
      <c r="B905" s="67" t="s">
        <v>1</v>
      </c>
      <c r="C905" s="67" t="s">
        <v>67</v>
      </c>
      <c r="D905" s="67" t="s">
        <v>64</v>
      </c>
      <c r="E905" s="22">
        <f t="shared" ca="1" si="86"/>
        <v>40951</v>
      </c>
      <c r="F905" s="11">
        <f>DATE(79,4,26)</f>
        <v>28971</v>
      </c>
      <c r="G905" s="12">
        <f t="shared" ca="1" si="87"/>
        <v>33</v>
      </c>
      <c r="H905" s="12">
        <f t="shared" ca="1" si="88"/>
        <v>-2</v>
      </c>
      <c r="I905" s="13">
        <f t="shared" ca="1" si="89"/>
        <v>-14</v>
      </c>
      <c r="J905" s="14">
        <f t="shared" ca="1" si="90"/>
        <v>32</v>
      </c>
      <c r="K905" s="12" t="s">
        <v>40</v>
      </c>
      <c r="L905" s="15">
        <v>12</v>
      </c>
      <c r="M905" s="25" t="s">
        <v>40</v>
      </c>
      <c r="N905">
        <v>194</v>
      </c>
    </row>
    <row r="906" spans="1:14" ht="15.75" thickBot="1">
      <c r="A906" s="26">
        <f t="shared" si="85"/>
        <v>77</v>
      </c>
      <c r="B906" s="68" t="s">
        <v>1</v>
      </c>
      <c r="C906" s="68" t="s">
        <v>71</v>
      </c>
      <c r="D906" s="68" t="s">
        <v>72</v>
      </c>
      <c r="E906" s="23">
        <f t="shared" ca="1" si="86"/>
        <v>40951</v>
      </c>
      <c r="F906" s="16">
        <f>DATE(67,7,7)</f>
        <v>24660</v>
      </c>
      <c r="G906" s="17">
        <f t="shared" ca="1" si="87"/>
        <v>45</v>
      </c>
      <c r="H906" s="17">
        <f t="shared" ca="1" si="88"/>
        <v>-5</v>
      </c>
      <c r="I906" s="18">
        <f t="shared" ca="1" si="89"/>
        <v>5</v>
      </c>
      <c r="J906" s="19">
        <f t="shared" ca="1" si="90"/>
        <v>44</v>
      </c>
      <c r="K906" s="17" t="s">
        <v>40</v>
      </c>
      <c r="L906" s="20">
        <v>12</v>
      </c>
      <c r="M906" s="26" t="s">
        <v>40</v>
      </c>
      <c r="N906">
        <v>194</v>
      </c>
    </row>
    <row r="907" spans="1:14">
      <c r="A907" s="24">
        <f t="shared" si="85"/>
        <v>78</v>
      </c>
      <c r="B907" s="66" t="s">
        <v>1</v>
      </c>
      <c r="C907" s="66" t="s">
        <v>76</v>
      </c>
      <c r="D907" s="66" t="s">
        <v>77</v>
      </c>
      <c r="E907" s="21">
        <f t="shared" ca="1" si="86"/>
        <v>40951</v>
      </c>
      <c r="F907" s="6">
        <f>DATE(39,10,12)</f>
        <v>14530</v>
      </c>
      <c r="G907" s="7">
        <f t="shared" ca="1" si="87"/>
        <v>73</v>
      </c>
      <c r="H907" s="7">
        <f t="shared" ca="1" si="88"/>
        <v>-8</v>
      </c>
      <c r="I907" s="8">
        <f t="shared" ca="1" si="89"/>
        <v>0</v>
      </c>
      <c r="J907" s="9">
        <f t="shared" ca="1" si="90"/>
        <v>72</v>
      </c>
      <c r="K907" s="7" t="s">
        <v>40</v>
      </c>
      <c r="L907" s="10">
        <v>13</v>
      </c>
      <c r="M907" s="24" t="s">
        <v>40</v>
      </c>
      <c r="N907">
        <v>195</v>
      </c>
    </row>
    <row r="908" spans="1:14">
      <c r="A908" s="25">
        <f t="shared" si="85"/>
        <v>79</v>
      </c>
      <c r="B908" s="67" t="s">
        <v>1</v>
      </c>
      <c r="C908" s="67" t="s">
        <v>79</v>
      </c>
      <c r="D908" s="67" t="s">
        <v>76</v>
      </c>
      <c r="E908" s="22">
        <f t="shared" ca="1" si="86"/>
        <v>40951</v>
      </c>
      <c r="F908" s="11">
        <f>DATE(71,7,29)</f>
        <v>26143</v>
      </c>
      <c r="G908" s="12">
        <f t="shared" ca="1" si="87"/>
        <v>41</v>
      </c>
      <c r="H908" s="12">
        <f t="shared" ca="1" si="88"/>
        <v>-5</v>
      </c>
      <c r="I908" s="13">
        <f t="shared" ca="1" si="89"/>
        <v>-17</v>
      </c>
      <c r="J908" s="14">
        <f t="shared" ca="1" si="90"/>
        <v>40</v>
      </c>
      <c r="K908" s="12" t="s">
        <v>40</v>
      </c>
      <c r="L908" s="15">
        <v>13</v>
      </c>
      <c r="M908" s="25" t="s">
        <v>40</v>
      </c>
      <c r="N908">
        <v>195</v>
      </c>
    </row>
    <row r="909" spans="1:14">
      <c r="A909" s="25">
        <f t="shared" si="85"/>
        <v>80</v>
      </c>
      <c r="B909" s="67" t="s">
        <v>1</v>
      </c>
      <c r="C909" s="67" t="s">
        <v>80</v>
      </c>
      <c r="D909" s="67" t="s">
        <v>76</v>
      </c>
      <c r="E909" s="22">
        <f t="shared" ca="1" si="86"/>
        <v>40951</v>
      </c>
      <c r="F909" s="11">
        <f>DATE(98,6,27)</f>
        <v>35973</v>
      </c>
      <c r="G909" s="12">
        <f t="shared" ca="1" si="87"/>
        <v>14</v>
      </c>
      <c r="H909" s="12">
        <f t="shared" ca="1" si="88"/>
        <v>-4</v>
      </c>
      <c r="I909" s="13">
        <f t="shared" ca="1" si="89"/>
        <v>-15</v>
      </c>
      <c r="J909" s="14">
        <f t="shared" ca="1" si="90"/>
        <v>13</v>
      </c>
      <c r="K909" s="12" t="s">
        <v>40</v>
      </c>
      <c r="L909" s="15">
        <v>13</v>
      </c>
      <c r="M909" s="25" t="s">
        <v>44</v>
      </c>
      <c r="N909">
        <v>195</v>
      </c>
    </row>
    <row r="910" spans="1:14" ht="15.75" thickBot="1">
      <c r="A910" s="26">
        <f t="shared" si="85"/>
        <v>81</v>
      </c>
      <c r="B910" s="68" t="s">
        <v>1</v>
      </c>
      <c r="C910" s="68" t="s">
        <v>85</v>
      </c>
      <c r="D910" s="68" t="s">
        <v>82</v>
      </c>
      <c r="E910" s="23">
        <f t="shared" ca="1" si="86"/>
        <v>40951</v>
      </c>
      <c r="F910" s="16">
        <f>DATE(58,6,12)</f>
        <v>21348</v>
      </c>
      <c r="G910" s="17">
        <f t="shared" ca="1" si="87"/>
        <v>54</v>
      </c>
      <c r="H910" s="17">
        <f t="shared" ca="1" si="88"/>
        <v>-4</v>
      </c>
      <c r="I910" s="18">
        <f t="shared" ca="1" si="89"/>
        <v>0</v>
      </c>
      <c r="J910" s="19">
        <f t="shared" ca="1" si="90"/>
        <v>53</v>
      </c>
      <c r="K910" s="17" t="s">
        <v>40</v>
      </c>
      <c r="L910" s="20">
        <v>13</v>
      </c>
      <c r="M910" s="26" t="s">
        <v>44</v>
      </c>
      <c r="N910">
        <v>195</v>
      </c>
    </row>
    <row r="911" spans="1:14">
      <c r="A911" s="24">
        <f t="shared" si="85"/>
        <v>82</v>
      </c>
      <c r="B911" s="66" t="s">
        <v>1</v>
      </c>
      <c r="C911" s="66" t="s">
        <v>86</v>
      </c>
      <c r="D911" s="66" t="s">
        <v>77</v>
      </c>
      <c r="E911" s="21">
        <f t="shared" ca="1" si="86"/>
        <v>40951</v>
      </c>
      <c r="F911" s="6">
        <f>DATE(47,10,12)</f>
        <v>17452</v>
      </c>
      <c r="G911" s="7">
        <f t="shared" ca="1" si="87"/>
        <v>65</v>
      </c>
      <c r="H911" s="7">
        <f t="shared" ca="1" si="88"/>
        <v>-8</v>
      </c>
      <c r="I911" s="8">
        <f t="shared" ca="1" si="89"/>
        <v>0</v>
      </c>
      <c r="J911" s="9">
        <f t="shared" ca="1" si="90"/>
        <v>64</v>
      </c>
      <c r="K911" s="7" t="s">
        <v>40</v>
      </c>
      <c r="L911" s="10">
        <v>13</v>
      </c>
      <c r="M911" s="24" t="s">
        <v>40</v>
      </c>
      <c r="N911">
        <v>196</v>
      </c>
    </row>
    <row r="912" spans="1:14">
      <c r="A912" s="25">
        <f t="shared" si="85"/>
        <v>83</v>
      </c>
      <c r="B912" s="67" t="s">
        <v>1</v>
      </c>
      <c r="C912" s="67" t="s">
        <v>88</v>
      </c>
      <c r="D912" s="67" t="s">
        <v>86</v>
      </c>
      <c r="E912" s="22">
        <f t="shared" ca="1" si="86"/>
        <v>40951</v>
      </c>
      <c r="F912" s="11">
        <f>DATE(72,3,31)</f>
        <v>26389</v>
      </c>
      <c r="G912" s="12">
        <f t="shared" ca="1" si="87"/>
        <v>40</v>
      </c>
      <c r="H912" s="12">
        <f t="shared" ca="1" si="88"/>
        <v>-1</v>
      </c>
      <c r="I912" s="13">
        <f t="shared" ca="1" si="89"/>
        <v>-19</v>
      </c>
      <c r="J912" s="14">
        <f t="shared" ca="1" si="90"/>
        <v>39</v>
      </c>
      <c r="K912" s="12" t="s">
        <v>40</v>
      </c>
      <c r="L912" s="15">
        <v>14</v>
      </c>
      <c r="M912" s="25" t="s">
        <v>40</v>
      </c>
      <c r="N912">
        <v>196</v>
      </c>
    </row>
    <row r="913" spans="1:14">
      <c r="A913" s="25">
        <f t="shared" si="85"/>
        <v>84</v>
      </c>
      <c r="B913" s="67" t="s">
        <v>1</v>
      </c>
      <c r="C913" s="67" t="s">
        <v>90</v>
      </c>
      <c r="D913" s="67" t="s">
        <v>91</v>
      </c>
      <c r="E913" s="22">
        <f t="shared" ca="1" si="86"/>
        <v>40951</v>
      </c>
      <c r="F913" s="11">
        <f>DATE(53,3,11)</f>
        <v>19429</v>
      </c>
      <c r="G913" s="12">
        <f t="shared" ca="1" si="87"/>
        <v>59</v>
      </c>
      <c r="H913" s="12">
        <f t="shared" ca="1" si="88"/>
        <v>-1</v>
      </c>
      <c r="I913" s="13">
        <f t="shared" ca="1" si="89"/>
        <v>1</v>
      </c>
      <c r="J913" s="14">
        <f t="shared" ca="1" si="90"/>
        <v>58</v>
      </c>
      <c r="K913" s="12" t="s">
        <v>40</v>
      </c>
      <c r="L913" s="15">
        <v>14</v>
      </c>
      <c r="M913" s="25" t="s">
        <v>40</v>
      </c>
      <c r="N913">
        <v>196</v>
      </c>
    </row>
    <row r="914" spans="1:14">
      <c r="A914" s="25">
        <f t="shared" si="85"/>
        <v>85</v>
      </c>
      <c r="B914" s="67" t="s">
        <v>1</v>
      </c>
      <c r="C914" s="67" t="s">
        <v>92</v>
      </c>
      <c r="D914" s="67" t="s">
        <v>90</v>
      </c>
      <c r="E914" s="22">
        <f t="shared" ca="1" si="86"/>
        <v>40951</v>
      </c>
      <c r="F914" s="11">
        <f>DATE(81,2,4)</f>
        <v>29621</v>
      </c>
      <c r="G914" s="12">
        <f t="shared" ca="1" si="87"/>
        <v>31</v>
      </c>
      <c r="H914" s="12">
        <f t="shared" ca="1" si="88"/>
        <v>0</v>
      </c>
      <c r="I914" s="13">
        <f t="shared" ca="1" si="89"/>
        <v>8</v>
      </c>
      <c r="J914" s="14">
        <f t="shared" ca="1" si="90"/>
        <v>31</v>
      </c>
      <c r="K914" s="12" t="s">
        <v>40</v>
      </c>
      <c r="L914" s="15">
        <v>14</v>
      </c>
      <c r="M914" s="25" t="s">
        <v>44</v>
      </c>
      <c r="N914">
        <v>196</v>
      </c>
    </row>
    <row r="915" spans="1:14" ht="15.75" thickBot="1">
      <c r="A915" s="26">
        <f t="shared" si="85"/>
        <v>86</v>
      </c>
      <c r="B915" s="68" t="s">
        <v>1</v>
      </c>
      <c r="C915" s="68" t="s">
        <v>93</v>
      </c>
      <c r="D915" s="68" t="s">
        <v>94</v>
      </c>
      <c r="E915" s="23">
        <f t="shared" ca="1" si="86"/>
        <v>40951</v>
      </c>
      <c r="F915" s="16">
        <f>DATE(66,1,16)</f>
        <v>24123</v>
      </c>
      <c r="G915" s="17">
        <f t="shared" ca="1" si="87"/>
        <v>46</v>
      </c>
      <c r="H915" s="17">
        <f t="shared" ca="1" si="88"/>
        <v>1</v>
      </c>
      <c r="I915" s="18">
        <f t="shared" ca="1" si="89"/>
        <v>-4</v>
      </c>
      <c r="J915" s="19">
        <f t="shared" ca="1" si="90"/>
        <v>46</v>
      </c>
      <c r="K915" s="17" t="s">
        <v>40</v>
      </c>
      <c r="L915" s="20">
        <v>14</v>
      </c>
      <c r="M915" s="26" t="s">
        <v>40</v>
      </c>
      <c r="N915">
        <v>196</v>
      </c>
    </row>
    <row r="916" spans="1:14" ht="15.75" thickBot="1">
      <c r="A916" s="43">
        <f t="shared" si="85"/>
        <v>87</v>
      </c>
      <c r="B916" s="69" t="s">
        <v>1</v>
      </c>
      <c r="C916" s="69" t="s">
        <v>98</v>
      </c>
      <c r="D916" s="69" t="s">
        <v>99</v>
      </c>
      <c r="E916" s="37">
        <f t="shared" ca="1" si="86"/>
        <v>40951</v>
      </c>
      <c r="F916" s="38">
        <f>DATE(76,1,23)</f>
        <v>27782</v>
      </c>
      <c r="G916" s="39">
        <f t="shared" ca="1" si="87"/>
        <v>36</v>
      </c>
      <c r="H916" s="39">
        <f t="shared" ca="1" si="88"/>
        <v>1</v>
      </c>
      <c r="I916" s="40">
        <f t="shared" ca="1" si="89"/>
        <v>-11</v>
      </c>
      <c r="J916" s="41">
        <f t="shared" ca="1" si="90"/>
        <v>36</v>
      </c>
      <c r="K916" s="39" t="s">
        <v>40</v>
      </c>
      <c r="L916" s="42">
        <v>14</v>
      </c>
      <c r="M916" s="43" t="s">
        <v>40</v>
      </c>
      <c r="N916">
        <v>197</v>
      </c>
    </row>
    <row r="917" spans="1:14">
      <c r="A917" s="24">
        <f t="shared" si="85"/>
        <v>88</v>
      </c>
      <c r="B917" s="66" t="s">
        <v>1</v>
      </c>
      <c r="C917" s="66" t="s">
        <v>101</v>
      </c>
      <c r="D917" s="66" t="s">
        <v>98</v>
      </c>
      <c r="E917" s="21">
        <f t="shared" ca="1" si="86"/>
        <v>40951</v>
      </c>
      <c r="F917" s="6">
        <f>DATE(2002,8,17)</f>
        <v>37485</v>
      </c>
      <c r="G917" s="7">
        <f t="shared" ca="1" si="87"/>
        <v>10</v>
      </c>
      <c r="H917" s="7">
        <f t="shared" ca="1" si="88"/>
        <v>-6</v>
      </c>
      <c r="I917" s="8">
        <f t="shared" ca="1" si="89"/>
        <v>-5</v>
      </c>
      <c r="J917" s="9">
        <f t="shared" ca="1" si="90"/>
        <v>9</v>
      </c>
      <c r="K917" s="7" t="s">
        <v>40</v>
      </c>
      <c r="L917" s="10">
        <v>14</v>
      </c>
      <c r="M917" s="24" t="s">
        <v>44</v>
      </c>
      <c r="N917">
        <v>198</v>
      </c>
    </row>
    <row r="918" spans="1:14">
      <c r="A918" s="25">
        <f t="shared" si="85"/>
        <v>89</v>
      </c>
      <c r="B918" s="67" t="s">
        <v>1</v>
      </c>
      <c r="C918" s="67" t="s">
        <v>104</v>
      </c>
      <c r="D918" s="67" t="s">
        <v>103</v>
      </c>
      <c r="E918" s="22">
        <f t="shared" ca="1" si="86"/>
        <v>40951</v>
      </c>
      <c r="F918" s="11">
        <f>DATE(70,3,19)</f>
        <v>25646</v>
      </c>
      <c r="G918" s="12">
        <f t="shared" ca="1" si="87"/>
        <v>42</v>
      </c>
      <c r="H918" s="12">
        <f t="shared" ca="1" si="88"/>
        <v>-1</v>
      </c>
      <c r="I918" s="13">
        <f t="shared" ca="1" si="89"/>
        <v>-7</v>
      </c>
      <c r="J918" s="14">
        <f t="shared" ca="1" si="90"/>
        <v>41</v>
      </c>
      <c r="K918" s="12" t="s">
        <v>40</v>
      </c>
      <c r="L918" s="15">
        <v>15</v>
      </c>
      <c r="M918" s="25" t="s">
        <v>40</v>
      </c>
      <c r="N918">
        <v>198</v>
      </c>
    </row>
    <row r="919" spans="1:14">
      <c r="A919" s="25">
        <f t="shared" si="85"/>
        <v>90</v>
      </c>
      <c r="B919" s="67" t="s">
        <v>1</v>
      </c>
      <c r="C919" s="67" t="s">
        <v>106</v>
      </c>
      <c r="D919" s="67" t="s">
        <v>104</v>
      </c>
      <c r="E919" s="22">
        <f t="shared" ca="1" si="86"/>
        <v>40951</v>
      </c>
      <c r="F919" s="11">
        <f>DATE(2001,4,2)</f>
        <v>36983</v>
      </c>
      <c r="G919" s="12">
        <f t="shared" ca="1" si="87"/>
        <v>11</v>
      </c>
      <c r="H919" s="12">
        <f t="shared" ca="1" si="88"/>
        <v>-2</v>
      </c>
      <c r="I919" s="13">
        <f t="shared" ca="1" si="89"/>
        <v>10</v>
      </c>
      <c r="J919" s="14">
        <f t="shared" ca="1" si="90"/>
        <v>10</v>
      </c>
      <c r="K919" s="12" t="s">
        <v>40</v>
      </c>
      <c r="L919" s="15">
        <v>15</v>
      </c>
      <c r="M919" s="25" t="s">
        <v>44</v>
      </c>
      <c r="N919">
        <v>198</v>
      </c>
    </row>
    <row r="920" spans="1:14">
      <c r="A920" s="25">
        <f t="shared" si="85"/>
        <v>91</v>
      </c>
      <c r="B920" s="67" t="s">
        <v>1</v>
      </c>
      <c r="C920" s="67" t="s">
        <v>108</v>
      </c>
      <c r="D920" s="67" t="s">
        <v>104</v>
      </c>
      <c r="E920" s="22">
        <f t="shared" ca="1" si="86"/>
        <v>40951</v>
      </c>
      <c r="F920" s="11">
        <f>DATE(2006,5,21)</f>
        <v>38858</v>
      </c>
      <c r="G920" s="12">
        <f t="shared" ca="1" si="87"/>
        <v>6</v>
      </c>
      <c r="H920" s="12">
        <f t="shared" ca="1" si="88"/>
        <v>-3</v>
      </c>
      <c r="I920" s="13">
        <f t="shared" ca="1" si="89"/>
        <v>-9</v>
      </c>
      <c r="J920" s="14">
        <f t="shared" ca="1" si="90"/>
        <v>5</v>
      </c>
      <c r="K920" s="12" t="s">
        <v>40</v>
      </c>
      <c r="L920" s="15">
        <v>15</v>
      </c>
      <c r="M920" s="25" t="s">
        <v>44</v>
      </c>
      <c r="N920">
        <v>198</v>
      </c>
    </row>
    <row r="921" spans="1:14">
      <c r="A921" s="25">
        <f t="shared" si="85"/>
        <v>92</v>
      </c>
      <c r="B921" s="67" t="s">
        <v>1</v>
      </c>
      <c r="C921" s="67" t="s">
        <v>109</v>
      </c>
      <c r="D921" s="67" t="s">
        <v>110</v>
      </c>
      <c r="E921" s="22">
        <f t="shared" ca="1" si="86"/>
        <v>40951</v>
      </c>
      <c r="F921" s="11">
        <f>DATE(44,3,19)</f>
        <v>16150</v>
      </c>
      <c r="G921" s="12">
        <f t="shared" ca="1" si="87"/>
        <v>68</v>
      </c>
      <c r="H921" s="12">
        <f t="shared" ca="1" si="88"/>
        <v>-1</v>
      </c>
      <c r="I921" s="13">
        <f t="shared" ca="1" si="89"/>
        <v>-7</v>
      </c>
      <c r="J921" s="14">
        <f t="shared" ca="1" si="90"/>
        <v>67</v>
      </c>
      <c r="K921" s="12" t="s">
        <v>40</v>
      </c>
      <c r="L921" s="15">
        <v>15</v>
      </c>
      <c r="M921" s="25" t="s">
        <v>40</v>
      </c>
      <c r="N921">
        <v>198</v>
      </c>
    </row>
    <row r="922" spans="1:14">
      <c r="A922" s="25">
        <f t="shared" si="85"/>
        <v>93</v>
      </c>
      <c r="B922" s="67" t="s">
        <v>1</v>
      </c>
      <c r="C922" s="67" t="s">
        <v>112</v>
      </c>
      <c r="D922" s="67" t="s">
        <v>109</v>
      </c>
      <c r="E922" s="22">
        <f t="shared" ca="1" si="86"/>
        <v>40951</v>
      </c>
      <c r="F922" s="11">
        <f>DATE(69,2,9)</f>
        <v>25243</v>
      </c>
      <c r="G922" s="12">
        <f t="shared" ca="1" si="87"/>
        <v>43</v>
      </c>
      <c r="H922" s="12">
        <f t="shared" ca="1" si="88"/>
        <v>0</v>
      </c>
      <c r="I922" s="13">
        <f t="shared" ca="1" si="89"/>
        <v>3</v>
      </c>
      <c r="J922" s="14">
        <f t="shared" ca="1" si="90"/>
        <v>43</v>
      </c>
      <c r="K922" s="12" t="s">
        <v>40</v>
      </c>
      <c r="L922" s="15">
        <v>15</v>
      </c>
      <c r="M922" s="25" t="s">
        <v>40</v>
      </c>
      <c r="N922">
        <v>198</v>
      </c>
    </row>
    <row r="923" spans="1:14">
      <c r="A923" s="25">
        <f t="shared" si="85"/>
        <v>94</v>
      </c>
      <c r="B923" s="67" t="s">
        <v>1</v>
      </c>
      <c r="C923" s="67" t="s">
        <v>63</v>
      </c>
      <c r="D923" s="67" t="s">
        <v>112</v>
      </c>
      <c r="E923" s="22">
        <f t="shared" ca="1" si="86"/>
        <v>40951</v>
      </c>
      <c r="F923" s="11">
        <f>DATE(2000,12,7)</f>
        <v>36867</v>
      </c>
      <c r="G923" s="12">
        <f t="shared" ca="1" si="87"/>
        <v>12</v>
      </c>
      <c r="H923" s="12">
        <f t="shared" ca="1" si="88"/>
        <v>-10</v>
      </c>
      <c r="I923" s="13">
        <f t="shared" ca="1" si="89"/>
        <v>5</v>
      </c>
      <c r="J923" s="14">
        <f t="shared" ca="1" si="90"/>
        <v>11</v>
      </c>
      <c r="K923" s="12" t="s">
        <v>40</v>
      </c>
      <c r="L923" s="15">
        <v>15</v>
      </c>
      <c r="M923" s="25" t="s">
        <v>44</v>
      </c>
      <c r="N923">
        <v>198</v>
      </c>
    </row>
    <row r="924" spans="1:14" ht="15.75" thickBot="1">
      <c r="A924" s="26">
        <f t="shared" si="85"/>
        <v>95</v>
      </c>
      <c r="B924" s="68" t="s">
        <v>1</v>
      </c>
      <c r="C924" s="68" t="s">
        <v>114</v>
      </c>
      <c r="D924" s="68" t="s">
        <v>109</v>
      </c>
      <c r="E924" s="23">
        <f t="shared" ca="1" si="86"/>
        <v>40951</v>
      </c>
      <c r="F924" s="16">
        <f>DATE(71,6,26)</f>
        <v>26110</v>
      </c>
      <c r="G924" s="17">
        <f t="shared" ca="1" si="87"/>
        <v>41</v>
      </c>
      <c r="H924" s="17">
        <f t="shared" ca="1" si="88"/>
        <v>-4</v>
      </c>
      <c r="I924" s="18">
        <f t="shared" ca="1" si="89"/>
        <v>-14</v>
      </c>
      <c r="J924" s="19">
        <f t="shared" ca="1" si="90"/>
        <v>40</v>
      </c>
      <c r="K924" s="17" t="s">
        <v>40</v>
      </c>
      <c r="L924" s="20">
        <v>15</v>
      </c>
      <c r="M924" s="26" t="s">
        <v>40</v>
      </c>
      <c r="N924">
        <v>198</v>
      </c>
    </row>
    <row r="925" spans="1:14">
      <c r="A925" s="24">
        <f t="shared" si="85"/>
        <v>96</v>
      </c>
      <c r="B925" s="66" t="s">
        <v>1</v>
      </c>
      <c r="C925" s="66" t="s">
        <v>116</v>
      </c>
      <c r="D925" s="66" t="s">
        <v>114</v>
      </c>
      <c r="E925" s="21">
        <f t="shared" ca="1" si="86"/>
        <v>40951</v>
      </c>
      <c r="F925" s="6">
        <f>DATE(2002,6,21)</f>
        <v>37428</v>
      </c>
      <c r="G925" s="7">
        <f t="shared" ca="1" si="87"/>
        <v>10</v>
      </c>
      <c r="H925" s="7">
        <f t="shared" ca="1" si="88"/>
        <v>-4</v>
      </c>
      <c r="I925" s="8">
        <f t="shared" ca="1" si="89"/>
        <v>-9</v>
      </c>
      <c r="J925" s="9">
        <f t="shared" ca="1" si="90"/>
        <v>9</v>
      </c>
      <c r="K925" s="7" t="s">
        <v>40</v>
      </c>
      <c r="L925" s="10">
        <v>15</v>
      </c>
      <c r="M925" s="24" t="s">
        <v>44</v>
      </c>
      <c r="N925">
        <v>199</v>
      </c>
    </row>
    <row r="926" spans="1:14">
      <c r="A926" s="25">
        <f t="shared" si="85"/>
        <v>97</v>
      </c>
      <c r="B926" s="67" t="s">
        <v>1</v>
      </c>
      <c r="C926" s="67" t="s">
        <v>117</v>
      </c>
      <c r="D926" s="67" t="s">
        <v>114</v>
      </c>
      <c r="E926" s="22">
        <f t="shared" ca="1" si="86"/>
        <v>40951</v>
      </c>
      <c r="F926" s="11">
        <f>DATE(2004,6,21)</f>
        <v>38159</v>
      </c>
      <c r="G926" s="12">
        <f t="shared" ca="1" si="87"/>
        <v>8</v>
      </c>
      <c r="H926" s="12">
        <f t="shared" ca="1" si="88"/>
        <v>-4</v>
      </c>
      <c r="I926" s="13">
        <f t="shared" ca="1" si="89"/>
        <v>-9</v>
      </c>
      <c r="J926" s="14">
        <f t="shared" ca="1" si="90"/>
        <v>7</v>
      </c>
      <c r="K926" s="12" t="s">
        <v>40</v>
      </c>
      <c r="L926" s="15">
        <v>15</v>
      </c>
      <c r="M926" s="25" t="s">
        <v>44</v>
      </c>
      <c r="N926">
        <v>199</v>
      </c>
    </row>
    <row r="927" spans="1:14">
      <c r="A927" s="25">
        <f t="shared" si="85"/>
        <v>98</v>
      </c>
      <c r="B927" s="67" t="s">
        <v>1</v>
      </c>
      <c r="C927" s="67" t="s">
        <v>118</v>
      </c>
      <c r="D927" s="67" t="s">
        <v>109</v>
      </c>
      <c r="E927" s="22">
        <f t="shared" ca="1" si="86"/>
        <v>40951</v>
      </c>
      <c r="F927" s="11">
        <f>DATE(73,9,25)</f>
        <v>26932</v>
      </c>
      <c r="G927" s="12">
        <f t="shared" ca="1" si="87"/>
        <v>39</v>
      </c>
      <c r="H927" s="12">
        <f t="shared" ca="1" si="88"/>
        <v>-7</v>
      </c>
      <c r="I927" s="13">
        <f t="shared" ca="1" si="89"/>
        <v>-13</v>
      </c>
      <c r="J927" s="14">
        <f t="shared" ca="1" si="90"/>
        <v>38</v>
      </c>
      <c r="K927" s="12" t="s">
        <v>40</v>
      </c>
      <c r="L927" s="15">
        <v>15</v>
      </c>
      <c r="M927" s="25" t="s">
        <v>40</v>
      </c>
      <c r="N927">
        <v>199</v>
      </c>
    </row>
    <row r="928" spans="1:14" ht="15.75" thickBot="1">
      <c r="A928" s="26">
        <f t="shared" si="85"/>
        <v>99</v>
      </c>
      <c r="B928" s="68" t="s">
        <v>1</v>
      </c>
      <c r="C928" s="68" t="s">
        <v>120</v>
      </c>
      <c r="D928" s="68" t="s">
        <v>118</v>
      </c>
      <c r="E928" s="23">
        <f t="shared" ca="1" si="86"/>
        <v>40951</v>
      </c>
      <c r="F928" s="16">
        <f>DATE(2005,11,21)</f>
        <v>38677</v>
      </c>
      <c r="G928" s="17">
        <f t="shared" ca="1" si="87"/>
        <v>7</v>
      </c>
      <c r="H928" s="17">
        <f t="shared" ca="1" si="88"/>
        <v>-9</v>
      </c>
      <c r="I928" s="18">
        <f t="shared" ca="1" si="89"/>
        <v>-9</v>
      </c>
      <c r="J928" s="19">
        <f t="shared" ca="1" si="90"/>
        <v>6</v>
      </c>
      <c r="K928" s="17" t="s">
        <v>40</v>
      </c>
      <c r="L928" s="20">
        <v>15</v>
      </c>
      <c r="M928" s="26" t="s">
        <v>44</v>
      </c>
      <c r="N928">
        <v>199</v>
      </c>
    </row>
    <row r="929" spans="1:14">
      <c r="A929" s="24">
        <f t="shared" si="85"/>
        <v>100</v>
      </c>
      <c r="B929" s="66" t="s">
        <v>1</v>
      </c>
      <c r="C929" s="66" t="s">
        <v>121</v>
      </c>
      <c r="D929" s="66" t="s">
        <v>109</v>
      </c>
      <c r="E929" s="21">
        <f t="shared" ca="1" si="86"/>
        <v>40951</v>
      </c>
      <c r="F929" s="6">
        <f>DATE(76,7,10)</f>
        <v>27951</v>
      </c>
      <c r="G929" s="7">
        <f t="shared" ca="1" si="87"/>
        <v>36</v>
      </c>
      <c r="H929" s="7">
        <f t="shared" ca="1" si="88"/>
        <v>-5</v>
      </c>
      <c r="I929" s="8">
        <f t="shared" ca="1" si="89"/>
        <v>2</v>
      </c>
      <c r="J929" s="9">
        <f t="shared" ca="1" si="90"/>
        <v>35</v>
      </c>
      <c r="K929" s="7" t="s">
        <v>40</v>
      </c>
      <c r="L929" s="10">
        <v>15</v>
      </c>
      <c r="M929" s="24" t="s">
        <v>40</v>
      </c>
      <c r="N929">
        <v>200</v>
      </c>
    </row>
    <row r="930" spans="1:14" ht="15.75" thickBot="1">
      <c r="A930" s="26">
        <f t="shared" si="85"/>
        <v>101</v>
      </c>
      <c r="B930" s="68" t="s">
        <v>1</v>
      </c>
      <c r="C930" s="68" t="s">
        <v>123</v>
      </c>
      <c r="D930" s="68" t="s">
        <v>82</v>
      </c>
      <c r="E930" s="23">
        <f t="shared" ca="1" si="86"/>
        <v>40951</v>
      </c>
      <c r="F930" s="16">
        <f>DATE(55,6,8)</f>
        <v>20248</v>
      </c>
      <c r="G930" s="17">
        <f t="shared" ca="1" si="87"/>
        <v>57</v>
      </c>
      <c r="H930" s="17">
        <f t="shared" ca="1" si="88"/>
        <v>-4</v>
      </c>
      <c r="I930" s="18">
        <f t="shared" ca="1" si="89"/>
        <v>4</v>
      </c>
      <c r="J930" s="19">
        <f t="shared" ca="1" si="90"/>
        <v>56</v>
      </c>
      <c r="K930" s="17" t="s">
        <v>40</v>
      </c>
      <c r="L930" s="20">
        <v>16</v>
      </c>
      <c r="M930" s="26" t="s">
        <v>40</v>
      </c>
      <c r="N930">
        <v>200</v>
      </c>
    </row>
    <row r="931" spans="1:14">
      <c r="A931" s="24">
        <f t="shared" si="85"/>
        <v>102</v>
      </c>
      <c r="B931" s="66" t="s">
        <v>1</v>
      </c>
      <c r="C931" s="66" t="s">
        <v>126</v>
      </c>
      <c r="D931" s="66" t="s">
        <v>123</v>
      </c>
      <c r="E931" s="21">
        <f t="shared" ca="1" si="86"/>
        <v>40951</v>
      </c>
      <c r="F931" s="6">
        <f>DATE(85,10,11)</f>
        <v>31331</v>
      </c>
      <c r="G931" s="7">
        <f t="shared" ca="1" si="87"/>
        <v>27</v>
      </c>
      <c r="H931" s="7">
        <f t="shared" ca="1" si="88"/>
        <v>-8</v>
      </c>
      <c r="I931" s="8">
        <f t="shared" ca="1" si="89"/>
        <v>1</v>
      </c>
      <c r="J931" s="9">
        <f t="shared" ca="1" si="90"/>
        <v>26</v>
      </c>
      <c r="K931" s="7" t="s">
        <v>40</v>
      </c>
      <c r="L931" s="10">
        <v>16</v>
      </c>
      <c r="M931" s="24" t="s">
        <v>44</v>
      </c>
      <c r="N931">
        <v>201</v>
      </c>
    </row>
    <row r="932" spans="1:14">
      <c r="A932" s="25">
        <f t="shared" si="85"/>
        <v>103</v>
      </c>
      <c r="B932" s="67" t="s">
        <v>1</v>
      </c>
      <c r="C932" s="67" t="s">
        <v>127</v>
      </c>
      <c r="D932" s="67" t="s">
        <v>128</v>
      </c>
      <c r="E932" s="22">
        <f t="shared" ca="1" si="86"/>
        <v>40951</v>
      </c>
      <c r="F932" s="11">
        <f>DATE(66,7,1)</f>
        <v>24289</v>
      </c>
      <c r="G932" s="12">
        <f t="shared" ca="1" si="87"/>
        <v>46</v>
      </c>
      <c r="H932" s="12">
        <f t="shared" ca="1" si="88"/>
        <v>-5</v>
      </c>
      <c r="I932" s="13">
        <f t="shared" ca="1" si="89"/>
        <v>11</v>
      </c>
      <c r="J932" s="14">
        <f t="shared" ca="1" si="90"/>
        <v>45</v>
      </c>
      <c r="K932" s="12" t="s">
        <v>40</v>
      </c>
      <c r="L932" s="15">
        <v>16</v>
      </c>
      <c r="M932" s="25" t="s">
        <v>40</v>
      </c>
      <c r="N932">
        <v>201</v>
      </c>
    </row>
    <row r="933" spans="1:14">
      <c r="A933" s="25">
        <f t="shared" si="85"/>
        <v>104</v>
      </c>
      <c r="B933" s="67" t="s">
        <v>1</v>
      </c>
      <c r="C933" s="67" t="s">
        <v>130</v>
      </c>
      <c r="D933" s="67" t="s">
        <v>127</v>
      </c>
      <c r="E933" s="22">
        <f t="shared" ca="1" si="86"/>
        <v>40951</v>
      </c>
      <c r="F933" s="11">
        <f>DATE(94,12,1)</f>
        <v>34669</v>
      </c>
      <c r="G933" s="12">
        <f t="shared" ca="1" si="87"/>
        <v>18</v>
      </c>
      <c r="H933" s="12">
        <f t="shared" ca="1" si="88"/>
        <v>-10</v>
      </c>
      <c r="I933" s="13">
        <f t="shared" ca="1" si="89"/>
        <v>11</v>
      </c>
      <c r="J933" s="14">
        <f t="shared" ca="1" si="90"/>
        <v>17</v>
      </c>
      <c r="K933" s="12" t="s">
        <v>40</v>
      </c>
      <c r="L933" s="15">
        <v>16</v>
      </c>
      <c r="M933" s="25" t="s">
        <v>44</v>
      </c>
      <c r="N933">
        <v>201</v>
      </c>
    </row>
    <row r="934" spans="1:14">
      <c r="A934" s="25">
        <f t="shared" si="85"/>
        <v>105</v>
      </c>
      <c r="B934" s="67" t="s">
        <v>1</v>
      </c>
      <c r="C934" s="67" t="s">
        <v>132</v>
      </c>
      <c r="D934" s="67" t="s">
        <v>127</v>
      </c>
      <c r="E934" s="22">
        <f t="shared" ca="1" si="86"/>
        <v>40951</v>
      </c>
      <c r="F934" s="11">
        <f>DATE(43,6,20)</f>
        <v>15877</v>
      </c>
      <c r="G934" s="12">
        <f t="shared" ca="1" si="87"/>
        <v>69</v>
      </c>
      <c r="H934" s="12">
        <f t="shared" ca="1" si="88"/>
        <v>-4</v>
      </c>
      <c r="I934" s="13">
        <f t="shared" ca="1" si="89"/>
        <v>-8</v>
      </c>
      <c r="J934" s="14">
        <f t="shared" ca="1" si="90"/>
        <v>68</v>
      </c>
      <c r="K934" s="12" t="s">
        <v>40</v>
      </c>
      <c r="L934" s="15">
        <v>16</v>
      </c>
      <c r="M934" s="25" t="s">
        <v>40</v>
      </c>
      <c r="N934">
        <v>201</v>
      </c>
    </row>
    <row r="935" spans="1:14">
      <c r="A935" s="25">
        <f t="shared" si="85"/>
        <v>106</v>
      </c>
      <c r="B935" s="67" t="s">
        <v>1</v>
      </c>
      <c r="C935" s="67" t="s">
        <v>135</v>
      </c>
      <c r="D935" s="67" t="s">
        <v>136</v>
      </c>
      <c r="E935" s="22">
        <f t="shared" ca="1" si="86"/>
        <v>40951</v>
      </c>
      <c r="F935" s="11">
        <f>DATE(71,5,5)</f>
        <v>26058</v>
      </c>
      <c r="G935" s="12">
        <f t="shared" ca="1" si="87"/>
        <v>41</v>
      </c>
      <c r="H935" s="12">
        <f t="shared" ca="1" si="88"/>
        <v>-3</v>
      </c>
      <c r="I935" s="13">
        <f t="shared" ca="1" si="89"/>
        <v>7</v>
      </c>
      <c r="J935" s="14">
        <f t="shared" ca="1" si="90"/>
        <v>40</v>
      </c>
      <c r="K935" s="12" t="s">
        <v>40</v>
      </c>
      <c r="L935" s="15">
        <v>17</v>
      </c>
      <c r="M935" s="25" t="s">
        <v>40</v>
      </c>
      <c r="N935">
        <v>201</v>
      </c>
    </row>
    <row r="936" spans="1:14" ht="15.75" thickBot="1">
      <c r="A936" s="26">
        <f t="shared" si="85"/>
        <v>107</v>
      </c>
      <c r="B936" s="67" t="s">
        <v>1</v>
      </c>
      <c r="C936" s="68" t="s">
        <v>138</v>
      </c>
      <c r="D936" s="68" t="s">
        <v>136</v>
      </c>
      <c r="E936" s="23">
        <f t="shared" ca="1" si="86"/>
        <v>40951</v>
      </c>
      <c r="F936" s="16">
        <f>DATE(72,9,2)</f>
        <v>26544</v>
      </c>
      <c r="G936" s="17">
        <f t="shared" ca="1" si="87"/>
        <v>40</v>
      </c>
      <c r="H936" s="17">
        <f t="shared" ca="1" si="88"/>
        <v>-7</v>
      </c>
      <c r="I936" s="18">
        <f t="shared" ca="1" si="89"/>
        <v>10</v>
      </c>
      <c r="J936" s="19">
        <f t="shared" ca="1" si="90"/>
        <v>39</v>
      </c>
      <c r="K936" s="17" t="s">
        <v>40</v>
      </c>
      <c r="L936" s="20">
        <v>17</v>
      </c>
      <c r="M936" s="26" t="s">
        <v>40</v>
      </c>
      <c r="N936">
        <v>201</v>
      </c>
    </row>
    <row r="937" spans="1:14">
      <c r="A937" s="24">
        <f t="shared" si="85"/>
        <v>108</v>
      </c>
      <c r="B937" s="66" t="s">
        <v>1</v>
      </c>
      <c r="C937" s="66" t="s">
        <v>140</v>
      </c>
      <c r="D937" s="66" t="s">
        <v>138</v>
      </c>
      <c r="E937" s="21">
        <f t="shared" ca="1" si="86"/>
        <v>40951</v>
      </c>
      <c r="F937" s="6">
        <f>DATE(2002,2,25)</f>
        <v>37312</v>
      </c>
      <c r="G937" s="7">
        <f t="shared" ca="1" si="87"/>
        <v>10</v>
      </c>
      <c r="H937" s="7">
        <f t="shared" ca="1" si="88"/>
        <v>0</v>
      </c>
      <c r="I937" s="8">
        <f t="shared" ca="1" si="89"/>
        <v>-13</v>
      </c>
      <c r="J937" s="9">
        <f t="shared" ca="1" si="90"/>
        <v>9</v>
      </c>
      <c r="K937" s="7" t="s">
        <v>40</v>
      </c>
      <c r="L937" s="10">
        <v>17</v>
      </c>
      <c r="M937" s="24" t="s">
        <v>44</v>
      </c>
      <c r="N937">
        <v>202</v>
      </c>
    </row>
    <row r="938" spans="1:14" ht="15.75" thickBot="1">
      <c r="A938" s="26">
        <f t="shared" si="85"/>
        <v>109</v>
      </c>
      <c r="B938" s="67" t="s">
        <v>1</v>
      </c>
      <c r="C938" s="68" t="s">
        <v>141</v>
      </c>
      <c r="D938" s="68" t="s">
        <v>138</v>
      </c>
      <c r="E938" s="23">
        <f t="shared" ca="1" si="86"/>
        <v>40951</v>
      </c>
      <c r="F938" s="16">
        <f>DATE(2005,1,3)</f>
        <v>38355</v>
      </c>
      <c r="G938" s="17">
        <f t="shared" ca="1" si="87"/>
        <v>7</v>
      </c>
      <c r="H938" s="17">
        <f t="shared" ca="1" si="88"/>
        <v>1</v>
      </c>
      <c r="I938" s="18">
        <f t="shared" ca="1" si="89"/>
        <v>9</v>
      </c>
      <c r="J938" s="19">
        <f t="shared" ca="1" si="90"/>
        <v>7</v>
      </c>
      <c r="K938" s="17" t="s">
        <v>40</v>
      </c>
      <c r="L938" s="20">
        <v>17</v>
      </c>
      <c r="M938" s="26" t="s">
        <v>44</v>
      </c>
      <c r="N938">
        <v>202</v>
      </c>
    </row>
    <row r="939" spans="1:14">
      <c r="A939" s="24">
        <f t="shared" si="85"/>
        <v>110</v>
      </c>
      <c r="B939" s="66" t="s">
        <v>1</v>
      </c>
      <c r="C939" s="66" t="s">
        <v>142</v>
      </c>
      <c r="D939" s="66" t="s">
        <v>91</v>
      </c>
      <c r="E939" s="21">
        <f t="shared" ca="1" si="86"/>
        <v>40951</v>
      </c>
      <c r="F939" s="6">
        <f>DATE(58,7,10)</f>
        <v>21376</v>
      </c>
      <c r="G939" s="7">
        <f t="shared" ca="1" si="87"/>
        <v>54</v>
      </c>
      <c r="H939" s="7">
        <f t="shared" ca="1" si="88"/>
        <v>-5</v>
      </c>
      <c r="I939" s="8">
        <f t="shared" ca="1" si="89"/>
        <v>2</v>
      </c>
      <c r="J939" s="9">
        <f t="shared" ca="1" si="90"/>
        <v>53</v>
      </c>
      <c r="K939" s="7" t="s">
        <v>40</v>
      </c>
      <c r="L939" s="10">
        <v>17</v>
      </c>
      <c r="M939" s="24" t="s">
        <v>40</v>
      </c>
      <c r="N939">
        <v>203</v>
      </c>
    </row>
    <row r="940" spans="1:14">
      <c r="A940" s="25">
        <f t="shared" si="85"/>
        <v>111</v>
      </c>
      <c r="B940" s="67" t="s">
        <v>1</v>
      </c>
      <c r="C940" s="67" t="s">
        <v>126</v>
      </c>
      <c r="D940" s="67" t="s">
        <v>144</v>
      </c>
      <c r="E940" s="22">
        <f t="shared" ca="1" si="86"/>
        <v>40951</v>
      </c>
      <c r="F940" s="11">
        <f>DATE(89,7,13)</f>
        <v>32702</v>
      </c>
      <c r="G940" s="12">
        <f t="shared" ca="1" si="87"/>
        <v>23</v>
      </c>
      <c r="H940" s="12">
        <f t="shared" ca="1" si="88"/>
        <v>-5</v>
      </c>
      <c r="I940" s="13">
        <f t="shared" ca="1" si="89"/>
        <v>-1</v>
      </c>
      <c r="J940" s="14">
        <f t="shared" ca="1" si="90"/>
        <v>22</v>
      </c>
      <c r="K940" s="12" t="s">
        <v>40</v>
      </c>
      <c r="L940" s="15">
        <v>17</v>
      </c>
      <c r="M940" s="25" t="s">
        <v>44</v>
      </c>
      <c r="N940">
        <v>203</v>
      </c>
    </row>
    <row r="941" spans="1:14" ht="15.75" thickBot="1">
      <c r="A941" s="26">
        <f t="shared" si="85"/>
        <v>112</v>
      </c>
      <c r="B941" s="67" t="s">
        <v>1</v>
      </c>
      <c r="C941" s="68" t="s">
        <v>146</v>
      </c>
      <c r="D941" s="68" t="s">
        <v>77</v>
      </c>
      <c r="E941" s="23">
        <f t="shared" ca="1" si="86"/>
        <v>40951</v>
      </c>
      <c r="F941" s="16">
        <f>DATE(56,4,15)</f>
        <v>20560</v>
      </c>
      <c r="G941" s="17">
        <f t="shared" ca="1" si="87"/>
        <v>56</v>
      </c>
      <c r="H941" s="17">
        <f t="shared" ca="1" si="88"/>
        <v>-2</v>
      </c>
      <c r="I941" s="18">
        <f t="shared" ca="1" si="89"/>
        <v>-3</v>
      </c>
      <c r="J941" s="19">
        <f t="shared" ca="1" si="90"/>
        <v>55</v>
      </c>
      <c r="K941" s="17" t="s">
        <v>40</v>
      </c>
      <c r="L941" s="20">
        <v>17</v>
      </c>
      <c r="M941" s="26" t="s">
        <v>40</v>
      </c>
      <c r="N941">
        <v>203</v>
      </c>
    </row>
    <row r="942" spans="1:14">
      <c r="A942" s="24">
        <f t="shared" si="85"/>
        <v>113</v>
      </c>
      <c r="B942" s="66" t="s">
        <v>1</v>
      </c>
      <c r="C942" s="66" t="s">
        <v>148</v>
      </c>
      <c r="D942" s="66" t="s">
        <v>146</v>
      </c>
      <c r="E942" s="21">
        <f t="shared" ca="1" si="86"/>
        <v>40951</v>
      </c>
      <c r="F942" s="6">
        <f>DATE(84,11,18)</f>
        <v>31004</v>
      </c>
      <c r="G942" s="7">
        <f t="shared" ca="1" si="87"/>
        <v>28</v>
      </c>
      <c r="H942" s="7">
        <f t="shared" ca="1" si="88"/>
        <v>-9</v>
      </c>
      <c r="I942" s="8">
        <f t="shared" ca="1" si="89"/>
        <v>-6</v>
      </c>
      <c r="J942" s="9">
        <f t="shared" ca="1" si="90"/>
        <v>27</v>
      </c>
      <c r="K942" s="7" t="s">
        <v>40</v>
      </c>
      <c r="L942" s="10">
        <v>17</v>
      </c>
      <c r="M942" s="24" t="s">
        <v>44</v>
      </c>
      <c r="N942">
        <v>204</v>
      </c>
    </row>
    <row r="943" spans="1:14">
      <c r="A943" s="25">
        <f t="shared" si="85"/>
        <v>114</v>
      </c>
      <c r="B943" s="67" t="s">
        <v>1</v>
      </c>
      <c r="C943" s="67" t="s">
        <v>149</v>
      </c>
      <c r="D943" s="67" t="s">
        <v>77</v>
      </c>
      <c r="E943" s="22">
        <f t="shared" ca="1" si="86"/>
        <v>40951</v>
      </c>
      <c r="F943" s="32"/>
      <c r="G943" s="12">
        <f t="shared" ca="1" si="87"/>
        <v>112</v>
      </c>
      <c r="H943" s="12">
        <f t="shared" ca="1" si="88"/>
        <v>1</v>
      </c>
      <c r="I943" s="13">
        <f t="shared" ca="1" si="89"/>
        <v>12</v>
      </c>
      <c r="J943" s="14">
        <f t="shared" ca="1" si="90"/>
        <v>112</v>
      </c>
      <c r="K943" s="12" t="s">
        <v>40</v>
      </c>
      <c r="L943" s="15">
        <v>18</v>
      </c>
      <c r="M943" s="25" t="s">
        <v>40</v>
      </c>
      <c r="N943">
        <v>204</v>
      </c>
    </row>
    <row r="944" spans="1:14">
      <c r="A944" s="25">
        <f t="shared" si="85"/>
        <v>115</v>
      </c>
      <c r="B944" s="67" t="s">
        <v>1</v>
      </c>
      <c r="C944" s="67" t="s">
        <v>93</v>
      </c>
      <c r="D944" s="67" t="s">
        <v>149</v>
      </c>
      <c r="E944" s="22">
        <f t="shared" ca="1" si="86"/>
        <v>40951</v>
      </c>
      <c r="F944" s="11">
        <f>DATE(72,11,10)</f>
        <v>26613</v>
      </c>
      <c r="G944" s="12">
        <f t="shared" ca="1" si="87"/>
        <v>40</v>
      </c>
      <c r="H944" s="12">
        <f t="shared" ca="1" si="88"/>
        <v>-9</v>
      </c>
      <c r="I944" s="13">
        <f t="shared" ca="1" si="89"/>
        <v>2</v>
      </c>
      <c r="J944" s="14">
        <f t="shared" ca="1" si="90"/>
        <v>39</v>
      </c>
      <c r="K944" s="12" t="s">
        <v>40</v>
      </c>
      <c r="L944" s="15">
        <v>18</v>
      </c>
      <c r="M944" s="25" t="s">
        <v>40</v>
      </c>
      <c r="N944">
        <v>204</v>
      </c>
    </row>
    <row r="945" spans="1:14">
      <c r="A945" s="25">
        <f t="shared" si="85"/>
        <v>116</v>
      </c>
      <c r="B945" s="67" t="s">
        <v>1</v>
      </c>
      <c r="C945" s="67" t="s">
        <v>151</v>
      </c>
      <c r="D945" s="67" t="s">
        <v>149</v>
      </c>
      <c r="E945" s="22">
        <f t="shared" ca="1" si="86"/>
        <v>40951</v>
      </c>
      <c r="F945" s="11">
        <f>DATE(2006,4,14)</f>
        <v>38821</v>
      </c>
      <c r="G945" s="12">
        <f t="shared" ca="1" si="87"/>
        <v>6</v>
      </c>
      <c r="H945" s="12">
        <f t="shared" ca="1" si="88"/>
        <v>-2</v>
      </c>
      <c r="I945" s="13">
        <f t="shared" ca="1" si="89"/>
        <v>-2</v>
      </c>
      <c r="J945" s="14">
        <f t="shared" ca="1" si="90"/>
        <v>5</v>
      </c>
      <c r="K945" s="12" t="s">
        <v>40</v>
      </c>
      <c r="L945" s="15">
        <v>18</v>
      </c>
      <c r="M945" s="25" t="s">
        <v>44</v>
      </c>
      <c r="N945">
        <v>204</v>
      </c>
    </row>
    <row r="946" spans="1:14" ht="15.75" thickBot="1">
      <c r="A946" s="26">
        <f t="shared" si="85"/>
        <v>117</v>
      </c>
      <c r="B946" s="67" t="s">
        <v>1</v>
      </c>
      <c r="C946" s="68" t="s">
        <v>152</v>
      </c>
      <c r="D946" s="68" t="s">
        <v>153</v>
      </c>
      <c r="E946" s="23">
        <f t="shared" ca="1" si="86"/>
        <v>40951</v>
      </c>
      <c r="F946" s="33"/>
      <c r="G946" s="17">
        <f t="shared" ca="1" si="87"/>
        <v>112</v>
      </c>
      <c r="H946" s="17">
        <f t="shared" ca="1" si="88"/>
        <v>1</v>
      </c>
      <c r="I946" s="18">
        <f t="shared" ca="1" si="89"/>
        <v>12</v>
      </c>
      <c r="J946" s="19">
        <f t="shared" ca="1" si="90"/>
        <v>112</v>
      </c>
      <c r="K946" s="17" t="s">
        <v>40</v>
      </c>
      <c r="L946" s="20">
        <v>18</v>
      </c>
      <c r="M946" s="26" t="s">
        <v>40</v>
      </c>
      <c r="N946">
        <v>204</v>
      </c>
    </row>
    <row r="947" spans="1:14">
      <c r="A947" s="24">
        <f t="shared" si="85"/>
        <v>118</v>
      </c>
      <c r="B947" s="66" t="s">
        <v>5</v>
      </c>
      <c r="C947" s="66" t="s">
        <v>157</v>
      </c>
      <c r="D947" s="66" t="s">
        <v>158</v>
      </c>
      <c r="E947" s="21">
        <f t="shared" ca="1" si="86"/>
        <v>40951</v>
      </c>
      <c r="F947" s="6">
        <f>DATE(47,6,13)</f>
        <v>17331</v>
      </c>
      <c r="G947" s="7">
        <f t="shared" ca="1" si="87"/>
        <v>65</v>
      </c>
      <c r="H947" s="7">
        <f t="shared" ca="1" si="88"/>
        <v>-4</v>
      </c>
      <c r="I947" s="8">
        <f t="shared" ca="1" si="89"/>
        <v>-1</v>
      </c>
      <c r="J947" s="9">
        <f t="shared" ca="1" si="90"/>
        <v>64</v>
      </c>
      <c r="K947" s="7" t="s">
        <v>40</v>
      </c>
      <c r="L947" s="10">
        <v>19</v>
      </c>
      <c r="M947" s="24" t="s">
        <v>40</v>
      </c>
      <c r="N947">
        <v>205</v>
      </c>
    </row>
    <row r="948" spans="1:14">
      <c r="A948" s="25">
        <f t="shared" si="85"/>
        <v>119</v>
      </c>
      <c r="B948" s="67" t="s">
        <v>5</v>
      </c>
      <c r="C948" s="67" t="s">
        <v>161</v>
      </c>
      <c r="D948" s="67" t="s">
        <v>157</v>
      </c>
      <c r="E948" s="22">
        <f t="shared" ca="1" si="86"/>
        <v>40951</v>
      </c>
      <c r="F948" s="11">
        <f>DATE(88,11,18)</f>
        <v>32465</v>
      </c>
      <c r="G948" s="12">
        <f t="shared" ca="1" si="87"/>
        <v>24</v>
      </c>
      <c r="H948" s="12">
        <f t="shared" ca="1" si="88"/>
        <v>-9</v>
      </c>
      <c r="I948" s="13">
        <f t="shared" ca="1" si="89"/>
        <v>-6</v>
      </c>
      <c r="J948" s="14">
        <f t="shared" ca="1" si="90"/>
        <v>23</v>
      </c>
      <c r="K948" s="12" t="s">
        <v>40</v>
      </c>
      <c r="L948" s="15">
        <v>19</v>
      </c>
      <c r="M948" s="25" t="s">
        <v>44</v>
      </c>
      <c r="N948">
        <v>205</v>
      </c>
    </row>
    <row r="949" spans="1:14">
      <c r="A949" s="25">
        <f t="shared" si="85"/>
        <v>120</v>
      </c>
      <c r="B949" s="67" t="s">
        <v>6</v>
      </c>
      <c r="C949" s="67" t="s">
        <v>162</v>
      </c>
      <c r="D949" s="67" t="s">
        <v>70</v>
      </c>
      <c r="E949" s="22">
        <f t="shared" ca="1" si="86"/>
        <v>40951</v>
      </c>
      <c r="F949" s="11">
        <f>DATE(45,3,20)</f>
        <v>16516</v>
      </c>
      <c r="G949" s="12">
        <f t="shared" ca="1" si="87"/>
        <v>67</v>
      </c>
      <c r="H949" s="12">
        <f t="shared" ca="1" si="88"/>
        <v>-1</v>
      </c>
      <c r="I949" s="13">
        <f t="shared" ca="1" si="89"/>
        <v>-8</v>
      </c>
      <c r="J949" s="14">
        <f t="shared" ca="1" si="90"/>
        <v>66</v>
      </c>
      <c r="K949" s="12" t="s">
        <v>40</v>
      </c>
      <c r="L949" s="15">
        <v>20</v>
      </c>
      <c r="M949" s="25" t="s">
        <v>40</v>
      </c>
      <c r="N949">
        <v>205</v>
      </c>
    </row>
    <row r="950" spans="1:14">
      <c r="A950" s="25">
        <f t="shared" si="85"/>
        <v>121</v>
      </c>
      <c r="B950" s="67" t="s">
        <v>6</v>
      </c>
      <c r="C950" s="67" t="s">
        <v>164</v>
      </c>
      <c r="D950" s="67" t="s">
        <v>162</v>
      </c>
      <c r="E950" s="22">
        <f t="shared" ca="1" si="86"/>
        <v>40951</v>
      </c>
      <c r="F950" s="11">
        <f>DATE(73,8,15)</f>
        <v>26891</v>
      </c>
      <c r="G950" s="12">
        <f t="shared" ca="1" si="87"/>
        <v>39</v>
      </c>
      <c r="H950" s="12">
        <f t="shared" ca="1" si="88"/>
        <v>-6</v>
      </c>
      <c r="I950" s="13">
        <f t="shared" ca="1" si="89"/>
        <v>-3</v>
      </c>
      <c r="J950" s="14">
        <f t="shared" ca="1" si="90"/>
        <v>38</v>
      </c>
      <c r="K950" s="12" t="s">
        <v>40</v>
      </c>
      <c r="L950" s="15">
        <v>20</v>
      </c>
      <c r="M950" s="25" t="s">
        <v>40</v>
      </c>
      <c r="N950">
        <v>205</v>
      </c>
    </row>
    <row r="951" spans="1:14" ht="15.75" thickBot="1">
      <c r="A951" s="26">
        <f t="shared" si="85"/>
        <v>122</v>
      </c>
      <c r="B951" s="67" t="s">
        <v>6</v>
      </c>
      <c r="C951" s="68" t="s">
        <v>126</v>
      </c>
      <c r="D951" s="68" t="s">
        <v>164</v>
      </c>
      <c r="E951" s="23">
        <f t="shared" ca="1" si="86"/>
        <v>40951</v>
      </c>
      <c r="F951" s="16">
        <f>DATE(2001,1,27)</f>
        <v>36918</v>
      </c>
      <c r="G951" s="17">
        <f t="shared" ca="1" si="87"/>
        <v>11</v>
      </c>
      <c r="H951" s="17">
        <f t="shared" ca="1" si="88"/>
        <v>1</v>
      </c>
      <c r="I951" s="18">
        <f t="shared" ca="1" si="89"/>
        <v>-15</v>
      </c>
      <c r="J951" s="19">
        <f t="shared" ca="1" si="90"/>
        <v>11</v>
      </c>
      <c r="K951" s="17" t="s">
        <v>40</v>
      </c>
      <c r="L951" s="20">
        <v>20</v>
      </c>
      <c r="M951" s="26" t="s">
        <v>44</v>
      </c>
      <c r="N951">
        <v>205</v>
      </c>
    </row>
    <row r="952" spans="1:14">
      <c r="A952" s="24">
        <f t="shared" si="85"/>
        <v>123</v>
      </c>
      <c r="B952" s="66" t="s">
        <v>6</v>
      </c>
      <c r="C952" s="66" t="s">
        <v>166</v>
      </c>
      <c r="D952" s="66" t="s">
        <v>162</v>
      </c>
      <c r="E952" s="21">
        <f t="shared" ca="1" si="86"/>
        <v>40951</v>
      </c>
      <c r="F952" s="6">
        <f>DATE(77,11,12)</f>
        <v>28441</v>
      </c>
      <c r="G952" s="7">
        <f t="shared" ca="1" si="87"/>
        <v>35</v>
      </c>
      <c r="H952" s="7">
        <f t="shared" ca="1" si="88"/>
        <v>-9</v>
      </c>
      <c r="I952" s="8">
        <f t="shared" ca="1" si="89"/>
        <v>0</v>
      </c>
      <c r="J952" s="9">
        <f t="shared" ca="1" si="90"/>
        <v>34</v>
      </c>
      <c r="K952" s="7" t="s">
        <v>40</v>
      </c>
      <c r="L952" s="10">
        <v>20</v>
      </c>
      <c r="M952" s="24" t="s">
        <v>40</v>
      </c>
      <c r="N952">
        <v>206</v>
      </c>
    </row>
    <row r="953" spans="1:14">
      <c r="A953" s="25">
        <f t="shared" si="85"/>
        <v>124</v>
      </c>
      <c r="B953" s="67" t="s">
        <v>6</v>
      </c>
      <c r="C953" s="67" t="s">
        <v>168</v>
      </c>
      <c r="D953" s="67" t="s">
        <v>166</v>
      </c>
      <c r="E953" s="22">
        <f t="shared" ca="1" si="86"/>
        <v>40951</v>
      </c>
      <c r="F953" s="11">
        <f>DATE(2005,4,13)</f>
        <v>38455</v>
      </c>
      <c r="G953" s="12">
        <f t="shared" ca="1" si="87"/>
        <v>7</v>
      </c>
      <c r="H953" s="12">
        <f t="shared" ca="1" si="88"/>
        <v>-2</v>
      </c>
      <c r="I953" s="13">
        <f t="shared" ca="1" si="89"/>
        <v>-1</v>
      </c>
      <c r="J953" s="14">
        <f t="shared" ca="1" si="90"/>
        <v>6</v>
      </c>
      <c r="K953" s="12" t="s">
        <v>40</v>
      </c>
      <c r="L953" s="15">
        <v>20</v>
      </c>
      <c r="M953" s="25" t="s">
        <v>44</v>
      </c>
      <c r="N953">
        <v>206</v>
      </c>
    </row>
    <row r="954" spans="1:14">
      <c r="A954" s="25">
        <f t="shared" si="85"/>
        <v>125</v>
      </c>
      <c r="B954" s="67" t="s">
        <v>6</v>
      </c>
      <c r="C954" s="67" t="s">
        <v>169</v>
      </c>
      <c r="D954" s="67" t="s">
        <v>162</v>
      </c>
      <c r="E954" s="22">
        <f t="shared" ca="1" si="86"/>
        <v>40951</v>
      </c>
      <c r="F954" s="11">
        <f>DATE(79,5,4)</f>
        <v>28979</v>
      </c>
      <c r="G954" s="12">
        <f t="shared" ca="1" si="87"/>
        <v>33</v>
      </c>
      <c r="H954" s="12">
        <f t="shared" ca="1" si="88"/>
        <v>-3</v>
      </c>
      <c r="I954" s="13">
        <f t="shared" ca="1" si="89"/>
        <v>8</v>
      </c>
      <c r="J954" s="14">
        <f t="shared" ca="1" si="90"/>
        <v>32</v>
      </c>
      <c r="K954" s="12" t="s">
        <v>40</v>
      </c>
      <c r="L954" s="15">
        <v>20</v>
      </c>
      <c r="M954" s="25" t="s">
        <v>40</v>
      </c>
      <c r="N954">
        <v>206</v>
      </c>
    </row>
    <row r="955" spans="1:14" ht="15.75" thickBot="1">
      <c r="A955" s="26">
        <f t="shared" si="85"/>
        <v>126</v>
      </c>
      <c r="B955" s="67" t="s">
        <v>6</v>
      </c>
      <c r="C955" s="68" t="s">
        <v>171</v>
      </c>
      <c r="D955" s="68" t="s">
        <v>172</v>
      </c>
      <c r="E955" s="23">
        <f t="shared" ca="1" si="86"/>
        <v>40951</v>
      </c>
      <c r="F955" s="16">
        <f>DATE(40,10,1)</f>
        <v>14885</v>
      </c>
      <c r="G955" s="17">
        <f t="shared" ca="1" si="87"/>
        <v>72</v>
      </c>
      <c r="H955" s="17">
        <f t="shared" ca="1" si="88"/>
        <v>-8</v>
      </c>
      <c r="I955" s="18">
        <f t="shared" ca="1" si="89"/>
        <v>11</v>
      </c>
      <c r="J955" s="19">
        <f t="shared" ca="1" si="90"/>
        <v>71</v>
      </c>
      <c r="K955" s="17" t="s">
        <v>40</v>
      </c>
      <c r="L955" s="20">
        <v>20</v>
      </c>
      <c r="M955" s="26" t="s">
        <v>40</v>
      </c>
      <c r="N955">
        <v>206</v>
      </c>
    </row>
    <row r="956" spans="1:14">
      <c r="A956" s="24">
        <f t="shared" si="85"/>
        <v>127</v>
      </c>
      <c r="B956" s="66" t="s">
        <v>6</v>
      </c>
      <c r="C956" s="66" t="s">
        <v>174</v>
      </c>
      <c r="D956" s="66" t="s">
        <v>171</v>
      </c>
      <c r="E956" s="21">
        <f t="shared" ca="1" si="86"/>
        <v>40951</v>
      </c>
      <c r="F956" s="6">
        <f>DATE(71,11,9)</f>
        <v>26246</v>
      </c>
      <c r="G956" s="7">
        <f t="shared" ca="1" si="87"/>
        <v>41</v>
      </c>
      <c r="H956" s="7">
        <f t="shared" ca="1" si="88"/>
        <v>-9</v>
      </c>
      <c r="I956" s="8">
        <f t="shared" ca="1" si="89"/>
        <v>3</v>
      </c>
      <c r="J956" s="9">
        <f t="shared" ca="1" si="90"/>
        <v>40</v>
      </c>
      <c r="K956" s="7" t="s">
        <v>40</v>
      </c>
      <c r="L956" s="10">
        <v>20</v>
      </c>
      <c r="M956" s="24" t="s">
        <v>40</v>
      </c>
      <c r="N956">
        <v>207</v>
      </c>
    </row>
    <row r="957" spans="1:14" ht="15.75" thickBot="1">
      <c r="A957" s="26">
        <f t="shared" si="85"/>
        <v>128</v>
      </c>
      <c r="B957" s="67" t="s">
        <v>6</v>
      </c>
      <c r="C957" s="68" t="s">
        <v>177</v>
      </c>
      <c r="D957" s="68" t="s">
        <v>174</v>
      </c>
      <c r="E957" s="23">
        <f t="shared" ca="1" si="86"/>
        <v>40951</v>
      </c>
      <c r="F957" s="16">
        <f>DATE(2003,11,12)</f>
        <v>37937</v>
      </c>
      <c r="G957" s="17">
        <f t="shared" ca="1" si="87"/>
        <v>9</v>
      </c>
      <c r="H957" s="17">
        <f t="shared" ca="1" si="88"/>
        <v>-9</v>
      </c>
      <c r="I957" s="18">
        <f t="shared" ca="1" si="89"/>
        <v>0</v>
      </c>
      <c r="J957" s="19">
        <f t="shared" ca="1" si="90"/>
        <v>8</v>
      </c>
      <c r="K957" s="17" t="s">
        <v>40</v>
      </c>
      <c r="L957" s="20">
        <v>20</v>
      </c>
      <c r="M957" s="26" t="s">
        <v>44</v>
      </c>
      <c r="N957">
        <v>207</v>
      </c>
    </row>
    <row r="958" spans="1:14" ht="15.75" thickBot="1">
      <c r="A958" s="43">
        <f t="shared" si="85"/>
        <v>129</v>
      </c>
      <c r="B958" s="69" t="s">
        <v>6</v>
      </c>
      <c r="C958" s="69" t="s">
        <v>112</v>
      </c>
      <c r="D958" s="69" t="s">
        <v>171</v>
      </c>
      <c r="E958" s="37">
        <f t="shared" ca="1" si="86"/>
        <v>40951</v>
      </c>
      <c r="F958" s="38">
        <f>DATE(74,2,25)</f>
        <v>27085</v>
      </c>
      <c r="G958" s="39">
        <f t="shared" ca="1" si="87"/>
        <v>38</v>
      </c>
      <c r="H958" s="39">
        <f t="shared" ca="1" si="88"/>
        <v>0</v>
      </c>
      <c r="I958" s="40">
        <f t="shared" ca="1" si="89"/>
        <v>-13</v>
      </c>
      <c r="J958" s="41">
        <f t="shared" ca="1" si="90"/>
        <v>37</v>
      </c>
      <c r="K958" s="39" t="s">
        <v>40</v>
      </c>
      <c r="L958" s="42">
        <v>20</v>
      </c>
      <c r="M958" s="43" t="s">
        <v>40</v>
      </c>
      <c r="N958">
        <v>208</v>
      </c>
    </row>
    <row r="959" spans="1:14">
      <c r="A959" s="24">
        <f t="shared" ref="A959:A1022" si="91">A958+1</f>
        <v>130</v>
      </c>
      <c r="B959" s="66" t="s">
        <v>6</v>
      </c>
      <c r="C959" s="66" t="s">
        <v>179</v>
      </c>
      <c r="D959" s="66" t="s">
        <v>112</v>
      </c>
      <c r="E959" s="21">
        <f t="shared" ca="1" si="86"/>
        <v>40951</v>
      </c>
      <c r="F959" s="6">
        <f>DATE(2000,1,23)</f>
        <v>36548</v>
      </c>
      <c r="G959" s="7">
        <f t="shared" ca="1" si="87"/>
        <v>12</v>
      </c>
      <c r="H959" s="7">
        <f t="shared" ca="1" si="88"/>
        <v>1</v>
      </c>
      <c r="I959" s="8">
        <f t="shared" ca="1" si="89"/>
        <v>-11</v>
      </c>
      <c r="J959" s="9">
        <f t="shared" ca="1" si="90"/>
        <v>12</v>
      </c>
      <c r="K959" s="7" t="s">
        <v>40</v>
      </c>
      <c r="L959" s="10">
        <v>20</v>
      </c>
      <c r="M959" s="24" t="s">
        <v>44</v>
      </c>
      <c r="N959">
        <v>209</v>
      </c>
    </row>
    <row r="960" spans="1:14">
      <c r="A960" s="25">
        <f t="shared" si="91"/>
        <v>131</v>
      </c>
      <c r="B960" s="67" t="s">
        <v>6</v>
      </c>
      <c r="C960" s="67" t="s">
        <v>181</v>
      </c>
      <c r="D960" s="67" t="s">
        <v>90</v>
      </c>
      <c r="E960" s="22">
        <f t="shared" ca="1" si="86"/>
        <v>40951</v>
      </c>
      <c r="F960" s="11">
        <f>DATE(61,8,23)</f>
        <v>22516</v>
      </c>
      <c r="G960" s="12">
        <f t="shared" ca="1" si="87"/>
        <v>51</v>
      </c>
      <c r="H960" s="12">
        <f t="shared" ca="1" si="88"/>
        <v>-6</v>
      </c>
      <c r="I960" s="13">
        <f t="shared" ca="1" si="89"/>
        <v>-11</v>
      </c>
      <c r="J960" s="14">
        <f t="shared" ca="1" si="90"/>
        <v>50</v>
      </c>
      <c r="K960" s="12" t="s">
        <v>40</v>
      </c>
      <c r="L960" s="15">
        <v>21</v>
      </c>
      <c r="M960" s="25" t="s">
        <v>40</v>
      </c>
      <c r="N960">
        <v>209</v>
      </c>
    </row>
    <row r="961" spans="1:14">
      <c r="A961" s="25">
        <f t="shared" si="91"/>
        <v>132</v>
      </c>
      <c r="B961" s="67" t="s">
        <v>6</v>
      </c>
      <c r="C961" s="67" t="s">
        <v>183</v>
      </c>
      <c r="D961" s="67" t="s">
        <v>181</v>
      </c>
      <c r="E961" s="22">
        <f t="shared" ref="E961:E1024" ca="1" si="92">TODAY()</f>
        <v>40951</v>
      </c>
      <c r="F961" s="11">
        <f>DATE(87,4,9)</f>
        <v>31876</v>
      </c>
      <c r="G961" s="12">
        <f t="shared" ref="G961:G1024" ca="1" si="93">YEAR(E961)-YEAR(F961)</f>
        <v>25</v>
      </c>
      <c r="H961" s="12">
        <f t="shared" ref="H961:H1024" ca="1" si="94">MONTH(E961)-MONTH(F961)</f>
        <v>-2</v>
      </c>
      <c r="I961" s="13">
        <f t="shared" ref="I961:I1024" ca="1" si="95">DAY(E961)-DAY(F961)</f>
        <v>3</v>
      </c>
      <c r="J961" s="14">
        <f t="shared" ref="J961:J1024" ca="1" si="96">IF(H961&lt;0,G961-1,IF(H961&gt;0,G961,IF(I961&lt;0,G961-1,G961)))</f>
        <v>24</v>
      </c>
      <c r="K961" s="12" t="s">
        <v>40</v>
      </c>
      <c r="L961" s="15">
        <v>21</v>
      </c>
      <c r="M961" s="25" t="s">
        <v>44</v>
      </c>
      <c r="N961">
        <v>209</v>
      </c>
    </row>
    <row r="962" spans="1:14">
      <c r="A962" s="25">
        <f t="shared" si="91"/>
        <v>133</v>
      </c>
      <c r="B962" s="67" t="s">
        <v>6</v>
      </c>
      <c r="C962" s="67" t="s">
        <v>63</v>
      </c>
      <c r="D962" s="67" t="s">
        <v>181</v>
      </c>
      <c r="E962" s="22">
        <f t="shared" ca="1" si="92"/>
        <v>40951</v>
      </c>
      <c r="F962" s="11">
        <f>DATE(88,10,15)</f>
        <v>32431</v>
      </c>
      <c r="G962" s="12">
        <f t="shared" ca="1" si="93"/>
        <v>24</v>
      </c>
      <c r="H962" s="12">
        <f t="shared" ca="1" si="94"/>
        <v>-8</v>
      </c>
      <c r="I962" s="13">
        <f t="shared" ca="1" si="95"/>
        <v>-3</v>
      </c>
      <c r="J962" s="14">
        <f t="shared" ca="1" si="96"/>
        <v>23</v>
      </c>
      <c r="K962" s="12" t="s">
        <v>40</v>
      </c>
      <c r="L962" s="15">
        <v>21</v>
      </c>
      <c r="M962" s="25" t="s">
        <v>44</v>
      </c>
      <c r="N962">
        <v>209</v>
      </c>
    </row>
    <row r="963" spans="1:14" ht="15.75" thickBot="1">
      <c r="A963" s="26">
        <f t="shared" si="91"/>
        <v>134</v>
      </c>
      <c r="B963" s="67" t="s">
        <v>6</v>
      </c>
      <c r="C963" s="68" t="s">
        <v>184</v>
      </c>
      <c r="D963" s="68" t="s">
        <v>185</v>
      </c>
      <c r="E963" s="23">
        <f t="shared" ca="1" si="92"/>
        <v>40951</v>
      </c>
      <c r="F963" s="16">
        <f>DATE(62,8,18)</f>
        <v>22876</v>
      </c>
      <c r="G963" s="17">
        <f t="shared" ca="1" si="93"/>
        <v>50</v>
      </c>
      <c r="H963" s="17">
        <f t="shared" ca="1" si="94"/>
        <v>-6</v>
      </c>
      <c r="I963" s="18">
        <f t="shared" ca="1" si="95"/>
        <v>-6</v>
      </c>
      <c r="J963" s="19">
        <f t="shared" ca="1" si="96"/>
        <v>49</v>
      </c>
      <c r="K963" s="17" t="s">
        <v>40</v>
      </c>
      <c r="L963" s="20">
        <v>21</v>
      </c>
      <c r="M963" s="26" t="s">
        <v>40</v>
      </c>
      <c r="N963">
        <v>209</v>
      </c>
    </row>
    <row r="964" spans="1:14">
      <c r="A964" s="24">
        <f t="shared" si="91"/>
        <v>135</v>
      </c>
      <c r="B964" s="66" t="s">
        <v>6</v>
      </c>
      <c r="C964" s="66" t="s">
        <v>191</v>
      </c>
      <c r="D964" s="66" t="s">
        <v>184</v>
      </c>
      <c r="E964" s="21">
        <f t="shared" ca="1" si="92"/>
        <v>40951</v>
      </c>
      <c r="F964" s="6">
        <f>DATE(83,5,10)</f>
        <v>30446</v>
      </c>
      <c r="G964" s="7">
        <f t="shared" ca="1" si="93"/>
        <v>29</v>
      </c>
      <c r="H964" s="7">
        <f t="shared" ca="1" si="94"/>
        <v>-3</v>
      </c>
      <c r="I964" s="8">
        <f t="shared" ca="1" si="95"/>
        <v>2</v>
      </c>
      <c r="J964" s="9">
        <f t="shared" ca="1" si="96"/>
        <v>28</v>
      </c>
      <c r="K964" s="7" t="s">
        <v>40</v>
      </c>
      <c r="L964" s="10">
        <v>21</v>
      </c>
      <c r="M964" s="24" t="s">
        <v>44</v>
      </c>
      <c r="N964">
        <v>210</v>
      </c>
    </row>
    <row r="965" spans="1:14">
      <c r="A965" s="25">
        <f t="shared" si="91"/>
        <v>136</v>
      </c>
      <c r="B965" s="67" t="s">
        <v>6</v>
      </c>
      <c r="C965" s="67" t="s">
        <v>193</v>
      </c>
      <c r="D965" s="67" t="s">
        <v>70</v>
      </c>
      <c r="E965" s="22">
        <f t="shared" ca="1" si="92"/>
        <v>40951</v>
      </c>
      <c r="F965" s="11">
        <f>DATE(61,11,23)</f>
        <v>22608</v>
      </c>
      <c r="G965" s="12">
        <f t="shared" ca="1" si="93"/>
        <v>51</v>
      </c>
      <c r="H965" s="12">
        <f t="shared" ca="1" si="94"/>
        <v>-9</v>
      </c>
      <c r="I965" s="13">
        <f t="shared" ca="1" si="95"/>
        <v>-11</v>
      </c>
      <c r="J965" s="14">
        <f t="shared" ca="1" si="96"/>
        <v>50</v>
      </c>
      <c r="K965" s="12" t="s">
        <v>40</v>
      </c>
      <c r="L965" s="15">
        <v>22</v>
      </c>
      <c r="M965" s="25" t="s">
        <v>40</v>
      </c>
      <c r="N965">
        <v>210</v>
      </c>
    </row>
    <row r="966" spans="1:14">
      <c r="A966" s="25">
        <f t="shared" si="91"/>
        <v>137</v>
      </c>
      <c r="B966" s="67" t="s">
        <v>6</v>
      </c>
      <c r="C966" s="67" t="s">
        <v>195</v>
      </c>
      <c r="D966" s="67" t="s">
        <v>193</v>
      </c>
      <c r="E966" s="22">
        <f t="shared" ca="1" si="92"/>
        <v>40951</v>
      </c>
      <c r="F966" s="11">
        <f>DATE(90,1,230)</f>
        <v>33103</v>
      </c>
      <c r="G966" s="12">
        <f t="shared" ca="1" si="93"/>
        <v>22</v>
      </c>
      <c r="H966" s="12">
        <f t="shared" ca="1" si="94"/>
        <v>-6</v>
      </c>
      <c r="I966" s="13">
        <f t="shared" ca="1" si="95"/>
        <v>-6</v>
      </c>
      <c r="J966" s="14">
        <f t="shared" ca="1" si="96"/>
        <v>21</v>
      </c>
      <c r="K966" s="12" t="s">
        <v>40</v>
      </c>
      <c r="L966" s="15">
        <v>22</v>
      </c>
      <c r="M966" s="25" t="s">
        <v>44</v>
      </c>
      <c r="N966">
        <v>210</v>
      </c>
    </row>
    <row r="967" spans="1:14">
      <c r="A967" s="25">
        <f t="shared" si="91"/>
        <v>138</v>
      </c>
      <c r="B967" s="67" t="s">
        <v>6</v>
      </c>
      <c r="C967" s="67" t="s">
        <v>199</v>
      </c>
      <c r="D967" s="67" t="s">
        <v>198</v>
      </c>
      <c r="E967" s="22">
        <f t="shared" ca="1" si="92"/>
        <v>40951</v>
      </c>
      <c r="F967" s="32"/>
      <c r="G967" s="12">
        <f t="shared" ca="1" si="93"/>
        <v>112</v>
      </c>
      <c r="H967" s="12">
        <f t="shared" ca="1" si="94"/>
        <v>1</v>
      </c>
      <c r="I967" s="13">
        <f t="shared" ca="1" si="95"/>
        <v>12</v>
      </c>
      <c r="J967" s="14">
        <f t="shared" ca="1" si="96"/>
        <v>112</v>
      </c>
      <c r="K967" s="12" t="s">
        <v>40</v>
      </c>
      <c r="L967" s="15">
        <v>22</v>
      </c>
      <c r="M967" s="25" t="s">
        <v>40</v>
      </c>
      <c r="N967">
        <v>210</v>
      </c>
    </row>
    <row r="968" spans="1:14">
      <c r="A968" s="25">
        <f t="shared" si="91"/>
        <v>139</v>
      </c>
      <c r="B968" s="67" t="s">
        <v>6</v>
      </c>
      <c r="C968" s="67" t="s">
        <v>201</v>
      </c>
      <c r="D968" s="67" t="s">
        <v>199</v>
      </c>
      <c r="E968" s="22">
        <f t="shared" ca="1" si="92"/>
        <v>40951</v>
      </c>
      <c r="F968" s="11">
        <f>DATE(74,12,29)</f>
        <v>27392</v>
      </c>
      <c r="G968" s="12">
        <f t="shared" ca="1" si="93"/>
        <v>38</v>
      </c>
      <c r="H968" s="12">
        <f t="shared" ca="1" si="94"/>
        <v>-10</v>
      </c>
      <c r="I968" s="13">
        <f t="shared" ca="1" si="95"/>
        <v>-17</v>
      </c>
      <c r="J968" s="14">
        <f t="shared" ca="1" si="96"/>
        <v>37</v>
      </c>
      <c r="K968" s="12" t="s">
        <v>40</v>
      </c>
      <c r="L968" s="15">
        <v>22</v>
      </c>
      <c r="M968" s="25" t="s">
        <v>40</v>
      </c>
      <c r="N968">
        <v>210</v>
      </c>
    </row>
    <row r="969" spans="1:14" ht="15.75" thickBot="1">
      <c r="A969" s="26">
        <f t="shared" si="91"/>
        <v>140</v>
      </c>
      <c r="B969" s="67" t="s">
        <v>6</v>
      </c>
      <c r="C969" s="68" t="s">
        <v>203</v>
      </c>
      <c r="D969" s="68" t="s">
        <v>201</v>
      </c>
      <c r="E969" s="23">
        <f t="shared" ca="1" si="92"/>
        <v>40951</v>
      </c>
      <c r="F969" s="16">
        <f>DATE(2004,1,24)</f>
        <v>38010</v>
      </c>
      <c r="G969" s="17">
        <f t="shared" ca="1" si="93"/>
        <v>8</v>
      </c>
      <c r="H969" s="17">
        <f t="shared" ca="1" si="94"/>
        <v>1</v>
      </c>
      <c r="I969" s="18">
        <f t="shared" ca="1" si="95"/>
        <v>-12</v>
      </c>
      <c r="J969" s="19">
        <f t="shared" ca="1" si="96"/>
        <v>8</v>
      </c>
      <c r="K969" s="17" t="s">
        <v>40</v>
      </c>
      <c r="L969" s="20">
        <v>22</v>
      </c>
      <c r="M969" s="26" t="s">
        <v>44</v>
      </c>
      <c r="N969">
        <v>210</v>
      </c>
    </row>
    <row r="970" spans="1:14">
      <c r="A970" s="24">
        <f t="shared" si="91"/>
        <v>141</v>
      </c>
      <c r="B970" s="66" t="s">
        <v>6</v>
      </c>
      <c r="C970" s="66" t="s">
        <v>204</v>
      </c>
      <c r="D970" s="66" t="s">
        <v>205</v>
      </c>
      <c r="E970" s="21">
        <f t="shared" ca="1" si="92"/>
        <v>40951</v>
      </c>
      <c r="F970" s="6">
        <f>DATE(63,6,22)</f>
        <v>23184</v>
      </c>
      <c r="G970" s="7">
        <f t="shared" ca="1" si="93"/>
        <v>49</v>
      </c>
      <c r="H970" s="7">
        <f t="shared" ca="1" si="94"/>
        <v>-4</v>
      </c>
      <c r="I970" s="8">
        <f t="shared" ca="1" si="95"/>
        <v>-10</v>
      </c>
      <c r="J970" s="9">
        <f t="shared" ca="1" si="96"/>
        <v>48</v>
      </c>
      <c r="K970" s="7" t="s">
        <v>40</v>
      </c>
      <c r="L970" s="10">
        <v>22</v>
      </c>
      <c r="M970" s="24" t="s">
        <v>40</v>
      </c>
      <c r="N970">
        <v>211</v>
      </c>
    </row>
    <row r="971" spans="1:14">
      <c r="A971" s="25">
        <f t="shared" si="91"/>
        <v>142</v>
      </c>
      <c r="B971" s="67" t="s">
        <v>6</v>
      </c>
      <c r="C971" s="67" t="s">
        <v>207</v>
      </c>
      <c r="D971" s="67" t="s">
        <v>204</v>
      </c>
      <c r="E971" s="22">
        <f t="shared" ca="1" si="92"/>
        <v>40951</v>
      </c>
      <c r="F971" s="11">
        <f>DATE(97,11,12)</f>
        <v>35746</v>
      </c>
      <c r="G971" s="12">
        <f t="shared" ca="1" si="93"/>
        <v>15</v>
      </c>
      <c r="H971" s="12">
        <f t="shared" ca="1" si="94"/>
        <v>-9</v>
      </c>
      <c r="I971" s="13">
        <f t="shared" ca="1" si="95"/>
        <v>0</v>
      </c>
      <c r="J971" s="14">
        <f t="shared" ca="1" si="96"/>
        <v>14</v>
      </c>
      <c r="K971" s="12" t="s">
        <v>40</v>
      </c>
      <c r="L971" s="15">
        <v>22</v>
      </c>
      <c r="M971" s="25" t="s">
        <v>44</v>
      </c>
      <c r="N971">
        <v>211</v>
      </c>
    </row>
    <row r="972" spans="1:14">
      <c r="A972" s="25">
        <f t="shared" si="91"/>
        <v>143</v>
      </c>
      <c r="B972" s="67" t="s">
        <v>6</v>
      </c>
      <c r="C972" s="67" t="s">
        <v>208</v>
      </c>
      <c r="D972" s="67" t="s">
        <v>209</v>
      </c>
      <c r="E972" s="22">
        <f t="shared" ca="1" si="92"/>
        <v>40951</v>
      </c>
      <c r="F972" s="11">
        <f>DATE(53,5,11)</f>
        <v>19490</v>
      </c>
      <c r="G972" s="12">
        <f t="shared" ca="1" si="93"/>
        <v>59</v>
      </c>
      <c r="H972" s="12">
        <f t="shared" ca="1" si="94"/>
        <v>-3</v>
      </c>
      <c r="I972" s="13">
        <f t="shared" ca="1" si="95"/>
        <v>1</v>
      </c>
      <c r="J972" s="14">
        <f t="shared" ca="1" si="96"/>
        <v>58</v>
      </c>
      <c r="K972" s="12" t="s">
        <v>40</v>
      </c>
      <c r="L972" s="15">
        <v>23</v>
      </c>
      <c r="M972" s="25" t="s">
        <v>40</v>
      </c>
      <c r="N972">
        <v>211</v>
      </c>
    </row>
    <row r="973" spans="1:14" ht="15.75" thickBot="1">
      <c r="A973" s="26">
        <f t="shared" si="91"/>
        <v>144</v>
      </c>
      <c r="B973" s="67" t="s">
        <v>6</v>
      </c>
      <c r="C973" s="68" t="s">
        <v>211</v>
      </c>
      <c r="D973" s="68" t="s">
        <v>208</v>
      </c>
      <c r="E973" s="23">
        <f t="shared" ca="1" si="92"/>
        <v>40951</v>
      </c>
      <c r="F973" s="16">
        <f>DATE(80,6,17)</f>
        <v>29389</v>
      </c>
      <c r="G973" s="17">
        <f t="shared" ca="1" si="93"/>
        <v>32</v>
      </c>
      <c r="H973" s="17">
        <f t="shared" ca="1" si="94"/>
        <v>-4</v>
      </c>
      <c r="I973" s="18">
        <f t="shared" ca="1" si="95"/>
        <v>-5</v>
      </c>
      <c r="J973" s="19">
        <f t="shared" ca="1" si="96"/>
        <v>31</v>
      </c>
      <c r="K973" s="17" t="s">
        <v>40</v>
      </c>
      <c r="L973" s="20">
        <v>23</v>
      </c>
      <c r="M973" s="26" t="s">
        <v>40</v>
      </c>
      <c r="N973">
        <v>211</v>
      </c>
    </row>
    <row r="974" spans="1:14">
      <c r="A974" s="24">
        <f t="shared" si="91"/>
        <v>145</v>
      </c>
      <c r="B974" s="66" t="s">
        <v>6</v>
      </c>
      <c r="C974" s="66" t="s">
        <v>214</v>
      </c>
      <c r="D974" s="66" t="s">
        <v>208</v>
      </c>
      <c r="E974" s="21">
        <f t="shared" ca="1" si="92"/>
        <v>40951</v>
      </c>
      <c r="F974" s="6">
        <f>DATE(82,10,6)</f>
        <v>30230</v>
      </c>
      <c r="G974" s="7">
        <f t="shared" ca="1" si="93"/>
        <v>30</v>
      </c>
      <c r="H974" s="7">
        <f t="shared" ca="1" si="94"/>
        <v>-8</v>
      </c>
      <c r="I974" s="8">
        <f t="shared" ca="1" si="95"/>
        <v>6</v>
      </c>
      <c r="J974" s="9">
        <f t="shared" ca="1" si="96"/>
        <v>29</v>
      </c>
      <c r="K974" s="7" t="s">
        <v>40</v>
      </c>
      <c r="L974" s="10">
        <v>23</v>
      </c>
      <c r="M974" s="24" t="s">
        <v>44</v>
      </c>
      <c r="N974">
        <v>212</v>
      </c>
    </row>
    <row r="975" spans="1:14">
      <c r="A975" s="25">
        <f t="shared" si="91"/>
        <v>146</v>
      </c>
      <c r="B975" s="67" t="s">
        <v>6</v>
      </c>
      <c r="C975" s="67" t="s">
        <v>210</v>
      </c>
      <c r="D975" s="67" t="s">
        <v>215</v>
      </c>
      <c r="E975" s="22">
        <f t="shared" ca="1" si="92"/>
        <v>40951</v>
      </c>
      <c r="F975" s="11">
        <f>DATE(50,12,24)</f>
        <v>18621</v>
      </c>
      <c r="G975" s="12">
        <f t="shared" ca="1" si="93"/>
        <v>62</v>
      </c>
      <c r="H975" s="12">
        <f t="shared" ca="1" si="94"/>
        <v>-10</v>
      </c>
      <c r="I975" s="13">
        <f t="shared" ca="1" si="95"/>
        <v>-12</v>
      </c>
      <c r="J975" s="14">
        <f t="shared" ca="1" si="96"/>
        <v>61</v>
      </c>
      <c r="K975" s="12" t="s">
        <v>40</v>
      </c>
      <c r="L975" s="15">
        <v>23</v>
      </c>
      <c r="M975" s="25" t="s">
        <v>40</v>
      </c>
      <c r="N975">
        <v>212</v>
      </c>
    </row>
    <row r="976" spans="1:14">
      <c r="A976" s="25">
        <f t="shared" si="91"/>
        <v>147</v>
      </c>
      <c r="B976" s="67" t="s">
        <v>6</v>
      </c>
      <c r="C976" s="67" t="s">
        <v>217</v>
      </c>
      <c r="D976" s="67" t="s">
        <v>209</v>
      </c>
      <c r="E976" s="22">
        <f t="shared" ca="1" si="92"/>
        <v>40951</v>
      </c>
      <c r="F976" s="11">
        <f>DATE(47,12,13)</f>
        <v>17514</v>
      </c>
      <c r="G976" s="12">
        <f t="shared" ca="1" si="93"/>
        <v>65</v>
      </c>
      <c r="H976" s="12">
        <f t="shared" ca="1" si="94"/>
        <v>-10</v>
      </c>
      <c r="I976" s="13">
        <f t="shared" ca="1" si="95"/>
        <v>-1</v>
      </c>
      <c r="J976" s="14">
        <f t="shared" ca="1" si="96"/>
        <v>64</v>
      </c>
      <c r="K976" s="12" t="s">
        <v>40</v>
      </c>
      <c r="L976" s="15">
        <v>23</v>
      </c>
      <c r="M976" s="25" t="s">
        <v>40</v>
      </c>
      <c r="N976">
        <v>212</v>
      </c>
    </row>
    <row r="977" spans="1:14">
      <c r="A977" s="25">
        <f t="shared" si="91"/>
        <v>148</v>
      </c>
      <c r="B977" s="67" t="s">
        <v>6</v>
      </c>
      <c r="C977" s="67" t="s">
        <v>118</v>
      </c>
      <c r="D977" s="67" t="s">
        <v>217</v>
      </c>
      <c r="E977" s="22">
        <f t="shared" ca="1" si="92"/>
        <v>40951</v>
      </c>
      <c r="F977" s="11">
        <f>DATE(76,9,30)</f>
        <v>28033</v>
      </c>
      <c r="G977" s="12">
        <f t="shared" ca="1" si="93"/>
        <v>36</v>
      </c>
      <c r="H977" s="12">
        <f t="shared" ca="1" si="94"/>
        <v>-7</v>
      </c>
      <c r="I977" s="13">
        <f t="shared" ca="1" si="95"/>
        <v>-18</v>
      </c>
      <c r="J977" s="14">
        <f t="shared" ca="1" si="96"/>
        <v>35</v>
      </c>
      <c r="K977" s="12" t="s">
        <v>40</v>
      </c>
      <c r="L977" s="15">
        <v>23</v>
      </c>
      <c r="M977" s="25" t="s">
        <v>40</v>
      </c>
      <c r="N977">
        <v>212</v>
      </c>
    </row>
    <row r="978" spans="1:14">
      <c r="A978" s="25">
        <f t="shared" si="91"/>
        <v>149</v>
      </c>
      <c r="B978" s="67" t="s">
        <v>6</v>
      </c>
      <c r="C978" s="67" t="s">
        <v>220</v>
      </c>
      <c r="D978" s="67" t="s">
        <v>90</v>
      </c>
      <c r="E978" s="22">
        <f t="shared" ca="1" si="92"/>
        <v>40951</v>
      </c>
      <c r="F978" s="11">
        <f>DATE(63,5,23)</f>
        <v>23154</v>
      </c>
      <c r="G978" s="12">
        <f t="shared" ca="1" si="93"/>
        <v>49</v>
      </c>
      <c r="H978" s="12">
        <f t="shared" ca="1" si="94"/>
        <v>-3</v>
      </c>
      <c r="I978" s="13">
        <f t="shared" ca="1" si="95"/>
        <v>-11</v>
      </c>
      <c r="J978" s="14">
        <f t="shared" ca="1" si="96"/>
        <v>48</v>
      </c>
      <c r="K978" s="12" t="s">
        <v>40</v>
      </c>
      <c r="L978" s="15">
        <v>24</v>
      </c>
      <c r="M978" s="25" t="s">
        <v>40</v>
      </c>
      <c r="N978">
        <v>212</v>
      </c>
    </row>
    <row r="979" spans="1:14">
      <c r="A979" s="25">
        <f t="shared" si="91"/>
        <v>150</v>
      </c>
      <c r="B979" s="67" t="s">
        <v>6</v>
      </c>
      <c r="C979" s="67" t="s">
        <v>223</v>
      </c>
      <c r="D979" s="67" t="s">
        <v>220</v>
      </c>
      <c r="E979" s="22">
        <f t="shared" ca="1" si="92"/>
        <v>40951</v>
      </c>
      <c r="F979" s="11">
        <f>DATE(94,5,18)</f>
        <v>34472</v>
      </c>
      <c r="G979" s="12">
        <f t="shared" ca="1" si="93"/>
        <v>18</v>
      </c>
      <c r="H979" s="12">
        <f t="shared" ca="1" si="94"/>
        <v>-3</v>
      </c>
      <c r="I979" s="13">
        <f t="shared" ca="1" si="95"/>
        <v>-6</v>
      </c>
      <c r="J979" s="14">
        <f t="shared" ca="1" si="96"/>
        <v>17</v>
      </c>
      <c r="K979" s="12" t="s">
        <v>40</v>
      </c>
      <c r="L979" s="15">
        <v>24</v>
      </c>
      <c r="M979" s="25" t="s">
        <v>44</v>
      </c>
      <c r="N979">
        <v>212</v>
      </c>
    </row>
    <row r="980" spans="1:14" ht="15.75" thickBot="1">
      <c r="A980" s="26">
        <f t="shared" si="91"/>
        <v>151</v>
      </c>
      <c r="B980" s="67" t="s">
        <v>6</v>
      </c>
      <c r="C980" s="68" t="s">
        <v>224</v>
      </c>
      <c r="D980" s="68" t="s">
        <v>198</v>
      </c>
      <c r="E980" s="23">
        <f t="shared" ca="1" si="92"/>
        <v>40951</v>
      </c>
      <c r="F980" s="16">
        <f>DATE(54,11,9)</f>
        <v>20037</v>
      </c>
      <c r="G980" s="17">
        <f t="shared" ca="1" si="93"/>
        <v>58</v>
      </c>
      <c r="H980" s="17">
        <f t="shared" ca="1" si="94"/>
        <v>-9</v>
      </c>
      <c r="I980" s="18">
        <f t="shared" ca="1" si="95"/>
        <v>3</v>
      </c>
      <c r="J980" s="19">
        <f t="shared" ca="1" si="96"/>
        <v>57</v>
      </c>
      <c r="K980" s="17" t="s">
        <v>40</v>
      </c>
      <c r="L980" s="20">
        <v>24</v>
      </c>
      <c r="M980" s="26" t="s">
        <v>40</v>
      </c>
      <c r="N980">
        <v>212</v>
      </c>
    </row>
    <row r="981" spans="1:14">
      <c r="A981" s="24">
        <f t="shared" si="91"/>
        <v>152</v>
      </c>
      <c r="B981" s="66" t="s">
        <v>6</v>
      </c>
      <c r="C981" s="66" t="s">
        <v>225</v>
      </c>
      <c r="D981" s="66" t="s">
        <v>224</v>
      </c>
      <c r="E981" s="21">
        <f t="shared" ca="1" si="92"/>
        <v>40951</v>
      </c>
      <c r="F981" s="6">
        <f>DATE(85,6,5)</f>
        <v>31203</v>
      </c>
      <c r="G981" s="7">
        <f t="shared" ca="1" si="93"/>
        <v>27</v>
      </c>
      <c r="H981" s="7">
        <f t="shared" ca="1" si="94"/>
        <v>-4</v>
      </c>
      <c r="I981" s="8">
        <f t="shared" ca="1" si="95"/>
        <v>7</v>
      </c>
      <c r="J981" s="9">
        <f t="shared" ca="1" si="96"/>
        <v>26</v>
      </c>
      <c r="K981" s="7" t="s">
        <v>40</v>
      </c>
      <c r="L981" s="10">
        <v>24</v>
      </c>
      <c r="M981" s="24" t="s">
        <v>44</v>
      </c>
      <c r="N981">
        <v>213</v>
      </c>
    </row>
    <row r="982" spans="1:14">
      <c r="A982" s="25">
        <f t="shared" si="91"/>
        <v>153</v>
      </c>
      <c r="B982" s="67" t="s">
        <v>6</v>
      </c>
      <c r="C982" s="67" t="s">
        <v>228</v>
      </c>
      <c r="D982" s="67" t="s">
        <v>227</v>
      </c>
      <c r="E982" s="22">
        <f t="shared" ca="1" si="92"/>
        <v>40951</v>
      </c>
      <c r="F982" s="11">
        <f>DATE(79,11,15)</f>
        <v>29174</v>
      </c>
      <c r="G982" s="12">
        <f t="shared" ca="1" si="93"/>
        <v>33</v>
      </c>
      <c r="H982" s="12">
        <f t="shared" ca="1" si="94"/>
        <v>-9</v>
      </c>
      <c r="I982" s="13">
        <f t="shared" ca="1" si="95"/>
        <v>-3</v>
      </c>
      <c r="J982" s="14">
        <f t="shared" ca="1" si="96"/>
        <v>32</v>
      </c>
      <c r="K982" s="12" t="s">
        <v>40</v>
      </c>
      <c r="L982" s="15">
        <v>24</v>
      </c>
      <c r="M982" s="25" t="s">
        <v>44</v>
      </c>
      <c r="N982">
        <v>213</v>
      </c>
    </row>
    <row r="983" spans="1:14">
      <c r="A983" s="25">
        <f t="shared" si="91"/>
        <v>154</v>
      </c>
      <c r="B983" s="67" t="s">
        <v>6</v>
      </c>
      <c r="C983" s="67" t="s">
        <v>229</v>
      </c>
      <c r="D983" s="67" t="s">
        <v>227</v>
      </c>
      <c r="E983" s="22">
        <f t="shared" ca="1" si="92"/>
        <v>40951</v>
      </c>
      <c r="F983" s="11">
        <f>DATE(81,1,16)</f>
        <v>29602</v>
      </c>
      <c r="G983" s="12">
        <f t="shared" ca="1" si="93"/>
        <v>31</v>
      </c>
      <c r="H983" s="12">
        <f t="shared" ca="1" si="94"/>
        <v>1</v>
      </c>
      <c r="I983" s="13">
        <f t="shared" ca="1" si="95"/>
        <v>-4</v>
      </c>
      <c r="J983" s="14">
        <f t="shared" ca="1" si="96"/>
        <v>31</v>
      </c>
      <c r="K983" s="12" t="s">
        <v>40</v>
      </c>
      <c r="L983" s="15">
        <v>24</v>
      </c>
      <c r="M983" s="25" t="s">
        <v>44</v>
      </c>
      <c r="N983">
        <v>213</v>
      </c>
    </row>
    <row r="984" spans="1:14">
      <c r="A984" s="25">
        <f t="shared" si="91"/>
        <v>155</v>
      </c>
      <c r="B984" s="67" t="s">
        <v>6</v>
      </c>
      <c r="C984" s="67" t="s">
        <v>230</v>
      </c>
      <c r="D984" s="67" t="s">
        <v>70</v>
      </c>
      <c r="E984" s="22">
        <f t="shared" ca="1" si="92"/>
        <v>40951</v>
      </c>
      <c r="F984" s="11">
        <f>DATE(49,12,23)</f>
        <v>18255</v>
      </c>
      <c r="G984" s="12">
        <f t="shared" ca="1" si="93"/>
        <v>63</v>
      </c>
      <c r="H984" s="12">
        <f t="shared" ca="1" si="94"/>
        <v>-10</v>
      </c>
      <c r="I984" s="13">
        <f t="shared" ca="1" si="95"/>
        <v>-11</v>
      </c>
      <c r="J984" s="14">
        <f t="shared" ca="1" si="96"/>
        <v>62</v>
      </c>
      <c r="K984" s="12" t="s">
        <v>40</v>
      </c>
      <c r="L984" s="15">
        <v>25</v>
      </c>
      <c r="M984" s="25" t="s">
        <v>40</v>
      </c>
      <c r="N984">
        <v>213</v>
      </c>
    </row>
    <row r="985" spans="1:14" ht="15.75" thickBot="1">
      <c r="A985" s="26">
        <f t="shared" si="91"/>
        <v>156</v>
      </c>
      <c r="B985" s="67" t="s">
        <v>6</v>
      </c>
      <c r="C985" s="68" t="s">
        <v>229</v>
      </c>
      <c r="D985" s="68" t="s">
        <v>230</v>
      </c>
      <c r="E985" s="23">
        <f t="shared" ca="1" si="92"/>
        <v>40951</v>
      </c>
      <c r="F985" s="16">
        <f>DATE(77,2,25)</f>
        <v>28181</v>
      </c>
      <c r="G985" s="17">
        <f t="shared" ca="1" si="93"/>
        <v>35</v>
      </c>
      <c r="H985" s="17">
        <f t="shared" ca="1" si="94"/>
        <v>0</v>
      </c>
      <c r="I985" s="18">
        <f t="shared" ca="1" si="95"/>
        <v>-13</v>
      </c>
      <c r="J985" s="19">
        <f t="shared" ca="1" si="96"/>
        <v>34</v>
      </c>
      <c r="K985" s="17" t="s">
        <v>40</v>
      </c>
      <c r="L985" s="20">
        <v>25</v>
      </c>
      <c r="M985" s="26" t="s">
        <v>40</v>
      </c>
      <c r="N985">
        <v>213</v>
      </c>
    </row>
    <row r="986" spans="1:14">
      <c r="A986" s="24">
        <f t="shared" si="91"/>
        <v>157</v>
      </c>
      <c r="B986" s="66" t="s">
        <v>6</v>
      </c>
      <c r="C986" s="66" t="s">
        <v>234</v>
      </c>
      <c r="D986" s="66" t="s">
        <v>235</v>
      </c>
      <c r="E986" s="21">
        <f t="shared" ca="1" si="92"/>
        <v>40951</v>
      </c>
      <c r="F986" s="6">
        <f>DATE(85,11,25)</f>
        <v>31376</v>
      </c>
      <c r="G986" s="7">
        <f t="shared" ca="1" si="93"/>
        <v>27</v>
      </c>
      <c r="H986" s="7">
        <f t="shared" ca="1" si="94"/>
        <v>-9</v>
      </c>
      <c r="I986" s="8">
        <f t="shared" ca="1" si="95"/>
        <v>-13</v>
      </c>
      <c r="J986" s="9">
        <f t="shared" ca="1" si="96"/>
        <v>26</v>
      </c>
      <c r="K986" s="7" t="s">
        <v>40</v>
      </c>
      <c r="L986" s="10">
        <v>25</v>
      </c>
      <c r="M986" s="24" t="s">
        <v>44</v>
      </c>
      <c r="N986">
        <v>214</v>
      </c>
    </row>
    <row r="987" spans="1:14">
      <c r="A987" s="25">
        <f t="shared" si="91"/>
        <v>158</v>
      </c>
      <c r="B987" s="67" t="s">
        <v>6</v>
      </c>
      <c r="C987" s="67" t="s">
        <v>237</v>
      </c>
      <c r="D987" s="67" t="s">
        <v>198</v>
      </c>
      <c r="E987" s="22">
        <f t="shared" ca="1" si="92"/>
        <v>40951</v>
      </c>
      <c r="F987" s="11">
        <f>DATE(49,11,1)</f>
        <v>18203</v>
      </c>
      <c r="G987" s="12">
        <f t="shared" ca="1" si="93"/>
        <v>63</v>
      </c>
      <c r="H987" s="12">
        <f t="shared" ca="1" si="94"/>
        <v>-9</v>
      </c>
      <c r="I987" s="13">
        <f t="shared" ca="1" si="95"/>
        <v>11</v>
      </c>
      <c r="J987" s="14">
        <f t="shared" ca="1" si="96"/>
        <v>62</v>
      </c>
      <c r="K987" s="12" t="s">
        <v>40</v>
      </c>
      <c r="L987" s="15">
        <v>25</v>
      </c>
      <c r="M987" s="25" t="s">
        <v>40</v>
      </c>
      <c r="N987">
        <v>214</v>
      </c>
    </row>
    <row r="988" spans="1:14">
      <c r="A988" s="25">
        <f t="shared" si="91"/>
        <v>159</v>
      </c>
      <c r="B988" s="67" t="s">
        <v>6</v>
      </c>
      <c r="C988" s="67" t="s">
        <v>239</v>
      </c>
      <c r="D988" s="67" t="s">
        <v>237</v>
      </c>
      <c r="E988" s="22">
        <f t="shared" ca="1" si="92"/>
        <v>40951</v>
      </c>
      <c r="F988" s="11">
        <f>DATE(79,10,22)</f>
        <v>29150</v>
      </c>
      <c r="G988" s="12">
        <f t="shared" ca="1" si="93"/>
        <v>33</v>
      </c>
      <c r="H988" s="12">
        <f t="shared" ca="1" si="94"/>
        <v>-8</v>
      </c>
      <c r="I988" s="13">
        <f t="shared" ca="1" si="95"/>
        <v>-10</v>
      </c>
      <c r="J988" s="14">
        <f t="shared" ca="1" si="96"/>
        <v>32</v>
      </c>
      <c r="K988" s="12" t="s">
        <v>40</v>
      </c>
      <c r="L988" s="15">
        <v>25</v>
      </c>
      <c r="M988" s="25" t="s">
        <v>40</v>
      </c>
      <c r="N988">
        <v>214</v>
      </c>
    </row>
    <row r="989" spans="1:14">
      <c r="A989" s="25">
        <f t="shared" si="91"/>
        <v>160</v>
      </c>
      <c r="B989" s="67" t="s">
        <v>6</v>
      </c>
      <c r="C989" s="67" t="s">
        <v>242</v>
      </c>
      <c r="D989" s="67" t="s">
        <v>237</v>
      </c>
      <c r="E989" s="22">
        <f t="shared" ca="1" si="92"/>
        <v>40951</v>
      </c>
      <c r="F989" s="11">
        <f>DATE(85,6,20)</f>
        <v>31218</v>
      </c>
      <c r="G989" s="12">
        <f t="shared" ca="1" si="93"/>
        <v>27</v>
      </c>
      <c r="H989" s="12">
        <f t="shared" ca="1" si="94"/>
        <v>-4</v>
      </c>
      <c r="I989" s="13">
        <f t="shared" ca="1" si="95"/>
        <v>-8</v>
      </c>
      <c r="J989" s="14">
        <f t="shared" ca="1" si="96"/>
        <v>26</v>
      </c>
      <c r="K989" s="12" t="s">
        <v>40</v>
      </c>
      <c r="L989" s="15">
        <v>25</v>
      </c>
      <c r="M989" s="25" t="s">
        <v>44</v>
      </c>
      <c r="N989">
        <v>214</v>
      </c>
    </row>
    <row r="990" spans="1:14">
      <c r="A990" s="25">
        <f t="shared" si="91"/>
        <v>161</v>
      </c>
      <c r="B990" s="67" t="s">
        <v>6</v>
      </c>
      <c r="C990" s="67" t="s">
        <v>243</v>
      </c>
      <c r="D990" s="67" t="s">
        <v>244</v>
      </c>
      <c r="E990" s="22">
        <f t="shared" ca="1" si="92"/>
        <v>40951</v>
      </c>
      <c r="F990" s="11">
        <f>DATE(45,12,17)</f>
        <v>16788</v>
      </c>
      <c r="G990" s="12">
        <f t="shared" ca="1" si="93"/>
        <v>67</v>
      </c>
      <c r="H990" s="12">
        <f t="shared" ca="1" si="94"/>
        <v>-10</v>
      </c>
      <c r="I990" s="13">
        <f t="shared" ca="1" si="95"/>
        <v>-5</v>
      </c>
      <c r="J990" s="14">
        <f t="shared" ca="1" si="96"/>
        <v>66</v>
      </c>
      <c r="K990" s="12" t="s">
        <v>40</v>
      </c>
      <c r="L990" s="15">
        <v>26</v>
      </c>
      <c r="M990" s="25" t="s">
        <v>40</v>
      </c>
      <c r="N990">
        <v>214</v>
      </c>
    </row>
    <row r="991" spans="1:14">
      <c r="A991" s="25">
        <f t="shared" si="91"/>
        <v>162</v>
      </c>
      <c r="B991" s="67" t="s">
        <v>6</v>
      </c>
      <c r="C991" s="67" t="s">
        <v>245</v>
      </c>
      <c r="D991" s="67" t="s">
        <v>243</v>
      </c>
      <c r="E991" s="22">
        <f t="shared" ca="1" si="92"/>
        <v>40951</v>
      </c>
      <c r="F991" s="11">
        <f>DATE(73,8,25)</f>
        <v>26901</v>
      </c>
      <c r="G991" s="12">
        <f t="shared" ca="1" si="93"/>
        <v>39</v>
      </c>
      <c r="H991" s="12">
        <f t="shared" ca="1" si="94"/>
        <v>-6</v>
      </c>
      <c r="I991" s="13">
        <f t="shared" ca="1" si="95"/>
        <v>-13</v>
      </c>
      <c r="J991" s="14">
        <f t="shared" ca="1" si="96"/>
        <v>38</v>
      </c>
      <c r="K991" s="12" t="s">
        <v>40</v>
      </c>
      <c r="L991" s="15">
        <v>26</v>
      </c>
      <c r="M991" s="25" t="s">
        <v>40</v>
      </c>
      <c r="N991">
        <v>214</v>
      </c>
    </row>
    <row r="992" spans="1:14" ht="15.75" thickBot="1">
      <c r="A992" s="26">
        <f t="shared" si="91"/>
        <v>163</v>
      </c>
      <c r="B992" s="67" t="s">
        <v>6</v>
      </c>
      <c r="C992" s="68" t="s">
        <v>247</v>
      </c>
      <c r="D992" s="68" t="s">
        <v>245</v>
      </c>
      <c r="E992" s="23">
        <f t="shared" ca="1" si="92"/>
        <v>40951</v>
      </c>
      <c r="F992" s="16">
        <f>DATE(2001,7,6)</f>
        <v>37078</v>
      </c>
      <c r="G992" s="17">
        <f t="shared" ca="1" si="93"/>
        <v>11</v>
      </c>
      <c r="H992" s="17">
        <f t="shared" ca="1" si="94"/>
        <v>-5</v>
      </c>
      <c r="I992" s="18">
        <f t="shared" ca="1" si="95"/>
        <v>6</v>
      </c>
      <c r="J992" s="19">
        <f t="shared" ca="1" si="96"/>
        <v>10</v>
      </c>
      <c r="K992" s="17" t="s">
        <v>40</v>
      </c>
      <c r="L992" s="20">
        <v>26</v>
      </c>
      <c r="M992" s="26" t="s">
        <v>44</v>
      </c>
      <c r="N992">
        <v>214</v>
      </c>
    </row>
    <row r="993" spans="1:14">
      <c r="A993" s="24">
        <f t="shared" si="91"/>
        <v>164</v>
      </c>
      <c r="B993" s="66" t="s">
        <v>6</v>
      </c>
      <c r="C993" s="66" t="s">
        <v>249</v>
      </c>
      <c r="D993" s="66" t="s">
        <v>250</v>
      </c>
      <c r="E993" s="21">
        <f t="shared" ca="1" si="92"/>
        <v>40951</v>
      </c>
      <c r="F993" s="6">
        <f>DATE(57,3,5)</f>
        <v>20884</v>
      </c>
      <c r="G993" s="7">
        <f t="shared" ca="1" si="93"/>
        <v>55</v>
      </c>
      <c r="H993" s="7">
        <f t="shared" ca="1" si="94"/>
        <v>-1</v>
      </c>
      <c r="I993" s="8">
        <f t="shared" ca="1" si="95"/>
        <v>7</v>
      </c>
      <c r="J993" s="9">
        <f t="shared" ca="1" si="96"/>
        <v>54</v>
      </c>
      <c r="K993" s="7" t="s">
        <v>40</v>
      </c>
      <c r="L993" s="10">
        <v>26</v>
      </c>
      <c r="M993" s="24" t="s">
        <v>40</v>
      </c>
      <c r="N993">
        <v>215</v>
      </c>
    </row>
    <row r="994" spans="1:14">
      <c r="A994" s="25">
        <f t="shared" si="91"/>
        <v>165</v>
      </c>
      <c r="B994" s="67" t="s">
        <v>6</v>
      </c>
      <c r="C994" s="67" t="s">
        <v>251</v>
      </c>
      <c r="D994" s="67" t="s">
        <v>249</v>
      </c>
      <c r="E994" s="22">
        <f t="shared" ca="1" si="92"/>
        <v>40951</v>
      </c>
      <c r="F994" s="11">
        <f>DATE(85,10,29)</f>
        <v>31349</v>
      </c>
      <c r="G994" s="12">
        <f t="shared" ca="1" si="93"/>
        <v>27</v>
      </c>
      <c r="H994" s="12">
        <f t="shared" ca="1" si="94"/>
        <v>-8</v>
      </c>
      <c r="I994" s="13">
        <f t="shared" ca="1" si="95"/>
        <v>-17</v>
      </c>
      <c r="J994" s="14">
        <f t="shared" ca="1" si="96"/>
        <v>26</v>
      </c>
      <c r="K994" s="12" t="s">
        <v>40</v>
      </c>
      <c r="L994" s="15">
        <v>26</v>
      </c>
      <c r="M994" s="25" t="s">
        <v>44</v>
      </c>
      <c r="N994">
        <v>215</v>
      </c>
    </row>
    <row r="995" spans="1:14">
      <c r="A995" s="25">
        <f t="shared" si="91"/>
        <v>166</v>
      </c>
      <c r="B995" s="67" t="s">
        <v>6</v>
      </c>
      <c r="C995" s="67" t="s">
        <v>136</v>
      </c>
      <c r="D995" s="67" t="s">
        <v>198</v>
      </c>
      <c r="E995" s="22">
        <f t="shared" ca="1" si="92"/>
        <v>40951</v>
      </c>
      <c r="F995" s="11">
        <f>DATE(34,12,12)</f>
        <v>12765</v>
      </c>
      <c r="G995" s="12">
        <f t="shared" ca="1" si="93"/>
        <v>78</v>
      </c>
      <c r="H995" s="12">
        <f t="shared" ca="1" si="94"/>
        <v>-10</v>
      </c>
      <c r="I995" s="13">
        <f t="shared" ca="1" si="95"/>
        <v>0</v>
      </c>
      <c r="J995" s="14">
        <f t="shared" ca="1" si="96"/>
        <v>77</v>
      </c>
      <c r="K995" s="12" t="s">
        <v>40</v>
      </c>
      <c r="L995" s="15">
        <v>26</v>
      </c>
      <c r="M995" s="25" t="s">
        <v>40</v>
      </c>
      <c r="N995">
        <v>215</v>
      </c>
    </row>
    <row r="996" spans="1:14" ht="15.75" thickBot="1">
      <c r="A996" s="26">
        <f t="shared" si="91"/>
        <v>167</v>
      </c>
      <c r="B996" s="67" t="s">
        <v>6</v>
      </c>
      <c r="C996" s="68" t="s">
        <v>253</v>
      </c>
      <c r="D996" s="68" t="s">
        <v>136</v>
      </c>
      <c r="E996" s="23">
        <f t="shared" ca="1" si="92"/>
        <v>40951</v>
      </c>
      <c r="F996" s="16">
        <f>DATE(71,6,30)</f>
        <v>26114</v>
      </c>
      <c r="G996" s="17">
        <f t="shared" ca="1" si="93"/>
        <v>41</v>
      </c>
      <c r="H996" s="17">
        <f t="shared" ca="1" si="94"/>
        <v>-4</v>
      </c>
      <c r="I996" s="18">
        <f t="shared" ca="1" si="95"/>
        <v>-18</v>
      </c>
      <c r="J996" s="19">
        <f t="shared" ca="1" si="96"/>
        <v>40</v>
      </c>
      <c r="K996" s="17" t="s">
        <v>40</v>
      </c>
      <c r="L996" s="20">
        <v>26</v>
      </c>
      <c r="M996" s="26" t="s">
        <v>40</v>
      </c>
      <c r="N996">
        <v>215</v>
      </c>
    </row>
    <row r="997" spans="1:14">
      <c r="A997" s="24">
        <f t="shared" si="91"/>
        <v>168</v>
      </c>
      <c r="B997" s="66" t="s">
        <v>6</v>
      </c>
      <c r="C997" s="66" t="s">
        <v>63</v>
      </c>
      <c r="D997" s="66" t="s">
        <v>254</v>
      </c>
      <c r="E997" s="21">
        <f t="shared" ca="1" si="92"/>
        <v>40951</v>
      </c>
      <c r="F997" s="6">
        <f>DATE(97,11,18)</f>
        <v>35752</v>
      </c>
      <c r="G997" s="7">
        <f t="shared" ca="1" si="93"/>
        <v>15</v>
      </c>
      <c r="H997" s="7">
        <f t="shared" ca="1" si="94"/>
        <v>-9</v>
      </c>
      <c r="I997" s="8">
        <f t="shared" ca="1" si="95"/>
        <v>-6</v>
      </c>
      <c r="J997" s="9">
        <f t="shared" ca="1" si="96"/>
        <v>14</v>
      </c>
      <c r="K997" s="7" t="s">
        <v>40</v>
      </c>
      <c r="L997" s="10">
        <v>26</v>
      </c>
      <c r="M997" s="24" t="s">
        <v>44</v>
      </c>
      <c r="N997">
        <v>216</v>
      </c>
    </row>
    <row r="998" spans="1:14">
      <c r="A998" s="25">
        <f t="shared" si="91"/>
        <v>169</v>
      </c>
      <c r="B998" s="67" t="s">
        <v>6</v>
      </c>
      <c r="C998" s="67" t="s">
        <v>183</v>
      </c>
      <c r="D998" s="67" t="s">
        <v>254</v>
      </c>
      <c r="E998" s="22">
        <f t="shared" ca="1" si="92"/>
        <v>40951</v>
      </c>
      <c r="F998" s="11">
        <f>DATE(99,6,4)</f>
        <v>36315</v>
      </c>
      <c r="G998" s="12">
        <f t="shared" ca="1" si="93"/>
        <v>13</v>
      </c>
      <c r="H998" s="12">
        <f t="shared" ca="1" si="94"/>
        <v>-4</v>
      </c>
      <c r="I998" s="13">
        <f t="shared" ca="1" si="95"/>
        <v>8</v>
      </c>
      <c r="J998" s="14">
        <f t="shared" ca="1" si="96"/>
        <v>12</v>
      </c>
      <c r="K998" s="12" t="s">
        <v>40</v>
      </c>
      <c r="L998" s="15">
        <v>26</v>
      </c>
      <c r="M998" s="25" t="s">
        <v>44</v>
      </c>
      <c r="N998">
        <v>216</v>
      </c>
    </row>
    <row r="999" spans="1:14" ht="15.75" thickBot="1">
      <c r="A999" s="26">
        <f t="shared" si="91"/>
        <v>170</v>
      </c>
      <c r="B999" s="67" t="s">
        <v>6</v>
      </c>
      <c r="C999" s="68" t="s">
        <v>255</v>
      </c>
      <c r="D999" s="68" t="s">
        <v>185</v>
      </c>
      <c r="E999" s="23">
        <f t="shared" ca="1" si="92"/>
        <v>40951</v>
      </c>
      <c r="F999" s="16">
        <f>DATE(68,9,26)</f>
        <v>25107</v>
      </c>
      <c r="G999" s="17">
        <f t="shared" ca="1" si="93"/>
        <v>44</v>
      </c>
      <c r="H999" s="17">
        <f t="shared" ca="1" si="94"/>
        <v>-7</v>
      </c>
      <c r="I999" s="18">
        <f t="shared" ca="1" si="95"/>
        <v>-14</v>
      </c>
      <c r="J999" s="19">
        <f t="shared" ca="1" si="96"/>
        <v>43</v>
      </c>
      <c r="K999" s="17" t="s">
        <v>40</v>
      </c>
      <c r="L999" s="20">
        <v>27</v>
      </c>
      <c r="M999" s="26" t="s">
        <v>40</v>
      </c>
      <c r="N999">
        <v>216</v>
      </c>
    </row>
    <row r="1000" spans="1:14">
      <c r="A1000" s="24">
        <f t="shared" si="91"/>
        <v>171</v>
      </c>
      <c r="B1000" s="66" t="s">
        <v>6</v>
      </c>
      <c r="C1000" s="66" t="s">
        <v>257</v>
      </c>
      <c r="D1000" s="66" t="s">
        <v>255</v>
      </c>
      <c r="E1000" s="21">
        <f t="shared" ca="1" si="92"/>
        <v>40951</v>
      </c>
      <c r="F1000" s="6">
        <f>DATE(92,12,18)</f>
        <v>33956</v>
      </c>
      <c r="G1000" s="7">
        <f t="shared" ca="1" si="93"/>
        <v>20</v>
      </c>
      <c r="H1000" s="7">
        <f t="shared" ca="1" si="94"/>
        <v>-10</v>
      </c>
      <c r="I1000" s="8">
        <f t="shared" ca="1" si="95"/>
        <v>-6</v>
      </c>
      <c r="J1000" s="9">
        <f t="shared" ca="1" si="96"/>
        <v>19</v>
      </c>
      <c r="K1000" s="7" t="s">
        <v>40</v>
      </c>
      <c r="L1000" s="10">
        <v>27</v>
      </c>
      <c r="M1000" s="24" t="s">
        <v>44</v>
      </c>
      <c r="N1000">
        <v>217</v>
      </c>
    </row>
    <row r="1001" spans="1:14">
      <c r="A1001" s="25">
        <f t="shared" si="91"/>
        <v>172</v>
      </c>
      <c r="B1001" s="67" t="s">
        <v>6</v>
      </c>
      <c r="C1001" s="67" t="s">
        <v>259</v>
      </c>
      <c r="D1001" s="67" t="s">
        <v>260</v>
      </c>
      <c r="E1001" s="22">
        <f t="shared" ca="1" si="92"/>
        <v>40951</v>
      </c>
      <c r="F1001" s="11">
        <f>DATE(63,6,13)</f>
        <v>23175</v>
      </c>
      <c r="G1001" s="12">
        <f t="shared" ca="1" si="93"/>
        <v>49</v>
      </c>
      <c r="H1001" s="12">
        <f t="shared" ca="1" si="94"/>
        <v>-4</v>
      </c>
      <c r="I1001" s="13">
        <f t="shared" ca="1" si="95"/>
        <v>-1</v>
      </c>
      <c r="J1001" s="14">
        <f t="shared" ca="1" si="96"/>
        <v>48</v>
      </c>
      <c r="K1001" s="12" t="s">
        <v>40</v>
      </c>
      <c r="L1001" s="15">
        <v>27</v>
      </c>
      <c r="M1001" s="25" t="s">
        <v>40</v>
      </c>
      <c r="N1001">
        <v>217</v>
      </c>
    </row>
    <row r="1002" spans="1:14">
      <c r="A1002" s="25">
        <f t="shared" si="91"/>
        <v>173</v>
      </c>
      <c r="B1002" s="67" t="s">
        <v>6</v>
      </c>
      <c r="C1002" s="67" t="s">
        <v>263</v>
      </c>
      <c r="D1002" s="67" t="s">
        <v>262</v>
      </c>
      <c r="E1002" s="22">
        <f t="shared" ca="1" si="92"/>
        <v>40951</v>
      </c>
      <c r="F1002" s="11">
        <f>DATE(98,10,17)</f>
        <v>36085</v>
      </c>
      <c r="G1002" s="12">
        <f t="shared" ca="1" si="93"/>
        <v>14</v>
      </c>
      <c r="H1002" s="12">
        <f t="shared" ca="1" si="94"/>
        <v>-8</v>
      </c>
      <c r="I1002" s="13">
        <f t="shared" ca="1" si="95"/>
        <v>-5</v>
      </c>
      <c r="J1002" s="14">
        <f t="shared" ca="1" si="96"/>
        <v>13</v>
      </c>
      <c r="K1002" s="12" t="s">
        <v>40</v>
      </c>
      <c r="L1002" s="15">
        <v>27</v>
      </c>
      <c r="M1002" s="25" t="s">
        <v>44</v>
      </c>
      <c r="N1002">
        <v>217</v>
      </c>
    </row>
    <row r="1003" spans="1:14">
      <c r="A1003" s="25">
        <f t="shared" si="91"/>
        <v>174</v>
      </c>
      <c r="B1003" s="67" t="s">
        <v>6</v>
      </c>
      <c r="C1003" s="67" t="s">
        <v>264</v>
      </c>
      <c r="D1003" s="67" t="s">
        <v>189</v>
      </c>
      <c r="E1003" s="22">
        <f t="shared" ca="1" si="92"/>
        <v>40951</v>
      </c>
      <c r="F1003" s="11">
        <f>DATE(56,7,5)</f>
        <v>20641</v>
      </c>
      <c r="G1003" s="12">
        <f t="shared" ca="1" si="93"/>
        <v>56</v>
      </c>
      <c r="H1003" s="12">
        <f t="shared" ca="1" si="94"/>
        <v>-5</v>
      </c>
      <c r="I1003" s="13">
        <f t="shared" ca="1" si="95"/>
        <v>7</v>
      </c>
      <c r="J1003" s="14">
        <f t="shared" ca="1" si="96"/>
        <v>55</v>
      </c>
      <c r="K1003" s="12" t="s">
        <v>40</v>
      </c>
      <c r="L1003" s="15">
        <v>27</v>
      </c>
      <c r="M1003" s="25" t="s">
        <v>40</v>
      </c>
      <c r="N1003">
        <v>217</v>
      </c>
    </row>
    <row r="1004" spans="1:14" ht="15.75" thickBot="1">
      <c r="A1004" s="26">
        <f t="shared" si="91"/>
        <v>175</v>
      </c>
      <c r="B1004" s="67" t="s">
        <v>6</v>
      </c>
      <c r="C1004" s="68" t="s">
        <v>251</v>
      </c>
      <c r="D1004" s="68" t="s">
        <v>264</v>
      </c>
      <c r="E1004" s="23">
        <f t="shared" ca="1" si="92"/>
        <v>40951</v>
      </c>
      <c r="F1004" s="16">
        <f>DATE(88,11,11)</f>
        <v>32458</v>
      </c>
      <c r="G1004" s="17">
        <f t="shared" ca="1" si="93"/>
        <v>24</v>
      </c>
      <c r="H1004" s="17">
        <f t="shared" ca="1" si="94"/>
        <v>-9</v>
      </c>
      <c r="I1004" s="18">
        <f t="shared" ca="1" si="95"/>
        <v>1</v>
      </c>
      <c r="J1004" s="19">
        <f t="shared" ca="1" si="96"/>
        <v>23</v>
      </c>
      <c r="K1004" s="17" t="s">
        <v>40</v>
      </c>
      <c r="L1004" s="20">
        <v>27</v>
      </c>
      <c r="M1004" s="26" t="s">
        <v>44</v>
      </c>
      <c r="N1004">
        <v>217</v>
      </c>
    </row>
    <row r="1005" spans="1:14">
      <c r="A1005" s="24">
        <f t="shared" si="91"/>
        <v>176</v>
      </c>
      <c r="B1005" s="66" t="s">
        <v>6</v>
      </c>
      <c r="C1005" s="66" t="s">
        <v>266</v>
      </c>
      <c r="D1005" s="66" t="s">
        <v>267</v>
      </c>
      <c r="E1005" s="21">
        <f t="shared" ca="1" si="92"/>
        <v>40951</v>
      </c>
      <c r="F1005" s="6">
        <f>DATE(52,12,31)</f>
        <v>19359</v>
      </c>
      <c r="G1005" s="7">
        <f t="shared" ca="1" si="93"/>
        <v>60</v>
      </c>
      <c r="H1005" s="7">
        <f t="shared" ca="1" si="94"/>
        <v>-10</v>
      </c>
      <c r="I1005" s="8">
        <f t="shared" ca="1" si="95"/>
        <v>-19</v>
      </c>
      <c r="J1005" s="9">
        <f t="shared" ca="1" si="96"/>
        <v>59</v>
      </c>
      <c r="K1005" s="7" t="s">
        <v>40</v>
      </c>
      <c r="L1005" s="10">
        <v>28</v>
      </c>
      <c r="M1005" s="24" t="s">
        <v>40</v>
      </c>
      <c r="N1005">
        <v>218</v>
      </c>
    </row>
    <row r="1006" spans="1:14">
      <c r="A1006" s="25">
        <f t="shared" si="91"/>
        <v>177</v>
      </c>
      <c r="B1006" s="67" t="s">
        <v>6</v>
      </c>
      <c r="C1006" s="67" t="s">
        <v>268</v>
      </c>
      <c r="D1006" s="67" t="s">
        <v>266</v>
      </c>
      <c r="E1006" s="22">
        <f t="shared" ca="1" si="92"/>
        <v>40951</v>
      </c>
      <c r="F1006" s="11">
        <f>DATE(80,5,20)</f>
        <v>29361</v>
      </c>
      <c r="G1006" s="12">
        <f t="shared" ca="1" si="93"/>
        <v>32</v>
      </c>
      <c r="H1006" s="12">
        <f t="shared" ca="1" si="94"/>
        <v>-3</v>
      </c>
      <c r="I1006" s="13">
        <f t="shared" ca="1" si="95"/>
        <v>-8</v>
      </c>
      <c r="J1006" s="14">
        <f t="shared" ca="1" si="96"/>
        <v>31</v>
      </c>
      <c r="K1006" s="12" t="s">
        <v>40</v>
      </c>
      <c r="L1006" s="15">
        <v>28</v>
      </c>
      <c r="M1006" s="25" t="s">
        <v>40</v>
      </c>
      <c r="N1006">
        <v>218</v>
      </c>
    </row>
    <row r="1007" spans="1:14">
      <c r="A1007" s="25">
        <f t="shared" si="91"/>
        <v>178</v>
      </c>
      <c r="B1007" s="67" t="s">
        <v>6</v>
      </c>
      <c r="C1007" s="67" t="s">
        <v>63</v>
      </c>
      <c r="D1007" s="67" t="s">
        <v>268</v>
      </c>
      <c r="E1007" s="22">
        <f t="shared" ca="1" si="92"/>
        <v>40951</v>
      </c>
      <c r="F1007" s="11">
        <f>DATE(2005,9,16)</f>
        <v>38611</v>
      </c>
      <c r="G1007" s="12">
        <f t="shared" ca="1" si="93"/>
        <v>7</v>
      </c>
      <c r="H1007" s="12">
        <f t="shared" ca="1" si="94"/>
        <v>-7</v>
      </c>
      <c r="I1007" s="13">
        <f t="shared" ca="1" si="95"/>
        <v>-4</v>
      </c>
      <c r="J1007" s="14">
        <f t="shared" ca="1" si="96"/>
        <v>6</v>
      </c>
      <c r="K1007" s="12" t="s">
        <v>40</v>
      </c>
      <c r="L1007" s="15">
        <v>28</v>
      </c>
      <c r="M1007" s="25" t="s">
        <v>44</v>
      </c>
      <c r="N1007">
        <v>218</v>
      </c>
    </row>
    <row r="1008" spans="1:14">
      <c r="A1008" s="25">
        <f t="shared" si="91"/>
        <v>179</v>
      </c>
      <c r="B1008" s="67" t="s">
        <v>6</v>
      </c>
      <c r="C1008" s="67" t="s">
        <v>269</v>
      </c>
      <c r="D1008" s="67" t="s">
        <v>266</v>
      </c>
      <c r="E1008" s="22">
        <f t="shared" ca="1" si="92"/>
        <v>40951</v>
      </c>
      <c r="F1008" s="11">
        <f>DATE(82,11,26)</f>
        <v>30281</v>
      </c>
      <c r="G1008" s="12">
        <f t="shared" ca="1" si="93"/>
        <v>30</v>
      </c>
      <c r="H1008" s="12">
        <f t="shared" ca="1" si="94"/>
        <v>-9</v>
      </c>
      <c r="I1008" s="13">
        <f t="shared" ca="1" si="95"/>
        <v>-14</v>
      </c>
      <c r="J1008" s="14">
        <f t="shared" ca="1" si="96"/>
        <v>29</v>
      </c>
      <c r="K1008" s="12" t="s">
        <v>40</v>
      </c>
      <c r="L1008" s="15">
        <v>28</v>
      </c>
      <c r="M1008" s="25" t="s">
        <v>44</v>
      </c>
      <c r="N1008">
        <v>218</v>
      </c>
    </row>
    <row r="1009" spans="1:14">
      <c r="A1009" s="25">
        <f t="shared" si="91"/>
        <v>180</v>
      </c>
      <c r="B1009" s="67" t="s">
        <v>2</v>
      </c>
      <c r="C1009" s="67" t="s">
        <v>162</v>
      </c>
      <c r="D1009" s="67" t="s">
        <v>270</v>
      </c>
      <c r="E1009" s="22">
        <f t="shared" ca="1" si="92"/>
        <v>40951</v>
      </c>
      <c r="F1009" s="11">
        <f>DATE(58,7,18)</f>
        <v>21384</v>
      </c>
      <c r="G1009" s="12">
        <f t="shared" ca="1" si="93"/>
        <v>54</v>
      </c>
      <c r="H1009" s="12">
        <f t="shared" ca="1" si="94"/>
        <v>-5</v>
      </c>
      <c r="I1009" s="13">
        <f t="shared" ca="1" si="95"/>
        <v>-6</v>
      </c>
      <c r="J1009" s="14">
        <f t="shared" ca="1" si="96"/>
        <v>53</v>
      </c>
      <c r="K1009" s="12" t="s">
        <v>40</v>
      </c>
      <c r="L1009" s="15">
        <v>29</v>
      </c>
      <c r="M1009" s="25" t="s">
        <v>40</v>
      </c>
      <c r="N1009">
        <v>218</v>
      </c>
    </row>
    <row r="1010" spans="1:14" ht="15.75" thickBot="1">
      <c r="A1010" s="26">
        <f t="shared" si="91"/>
        <v>181</v>
      </c>
      <c r="B1010" s="67" t="s">
        <v>2</v>
      </c>
      <c r="C1010" s="68" t="s">
        <v>305</v>
      </c>
      <c r="D1010" s="68" t="s">
        <v>162</v>
      </c>
      <c r="E1010" s="23">
        <f t="shared" ca="1" si="92"/>
        <v>40951</v>
      </c>
      <c r="F1010" s="16">
        <f>DATE(84,3,6)</f>
        <v>30747</v>
      </c>
      <c r="G1010" s="17">
        <f t="shared" ca="1" si="93"/>
        <v>28</v>
      </c>
      <c r="H1010" s="17">
        <f t="shared" ca="1" si="94"/>
        <v>-1</v>
      </c>
      <c r="I1010" s="18">
        <f t="shared" ca="1" si="95"/>
        <v>6</v>
      </c>
      <c r="J1010" s="19">
        <f t="shared" ca="1" si="96"/>
        <v>27</v>
      </c>
      <c r="K1010" s="17" t="s">
        <v>40</v>
      </c>
      <c r="L1010" s="20">
        <v>29</v>
      </c>
      <c r="M1010" s="26" t="s">
        <v>44</v>
      </c>
      <c r="N1010">
        <v>218</v>
      </c>
    </row>
    <row r="1011" spans="1:14">
      <c r="A1011" s="24">
        <f t="shared" si="91"/>
        <v>182</v>
      </c>
      <c r="B1011" s="66" t="s">
        <v>2</v>
      </c>
      <c r="C1011" s="66" t="s">
        <v>162</v>
      </c>
      <c r="D1011" s="66" t="s">
        <v>306</v>
      </c>
      <c r="E1011" s="21">
        <f t="shared" ca="1" si="92"/>
        <v>40951</v>
      </c>
      <c r="F1011" s="6">
        <f>DATE(66,9,25)</f>
        <v>24375</v>
      </c>
      <c r="G1011" s="7">
        <f t="shared" ca="1" si="93"/>
        <v>46</v>
      </c>
      <c r="H1011" s="7">
        <f t="shared" ca="1" si="94"/>
        <v>-7</v>
      </c>
      <c r="I1011" s="8">
        <f t="shared" ca="1" si="95"/>
        <v>-13</v>
      </c>
      <c r="J1011" s="9">
        <f t="shared" ca="1" si="96"/>
        <v>45</v>
      </c>
      <c r="K1011" s="7" t="s">
        <v>40</v>
      </c>
      <c r="L1011" s="10">
        <v>29</v>
      </c>
      <c r="M1011" s="24" t="s">
        <v>40</v>
      </c>
      <c r="N1011">
        <v>219</v>
      </c>
    </row>
    <row r="1012" spans="1:14">
      <c r="A1012" s="25">
        <f t="shared" si="91"/>
        <v>183</v>
      </c>
      <c r="B1012" s="67" t="s">
        <v>2</v>
      </c>
      <c r="C1012" s="67" t="s">
        <v>307</v>
      </c>
      <c r="D1012" s="67" t="s">
        <v>162</v>
      </c>
      <c r="E1012" s="22">
        <f t="shared" ca="1" si="92"/>
        <v>40951</v>
      </c>
      <c r="F1012" s="11">
        <f>DATE(93,7,26)</f>
        <v>34176</v>
      </c>
      <c r="G1012" s="12">
        <f t="shared" ca="1" si="93"/>
        <v>19</v>
      </c>
      <c r="H1012" s="12">
        <f t="shared" ca="1" si="94"/>
        <v>-5</v>
      </c>
      <c r="I1012" s="13">
        <f t="shared" ca="1" si="95"/>
        <v>-14</v>
      </c>
      <c r="J1012" s="14">
        <f t="shared" ca="1" si="96"/>
        <v>18</v>
      </c>
      <c r="K1012" s="12" t="s">
        <v>40</v>
      </c>
      <c r="L1012" s="15">
        <v>29</v>
      </c>
      <c r="M1012" s="25" t="s">
        <v>44</v>
      </c>
      <c r="N1012">
        <v>219</v>
      </c>
    </row>
    <row r="1013" spans="1:14">
      <c r="A1013" s="25">
        <f t="shared" si="91"/>
        <v>184</v>
      </c>
      <c r="B1013" s="67" t="s">
        <v>2</v>
      </c>
      <c r="C1013" s="67" t="s">
        <v>308</v>
      </c>
      <c r="D1013" s="67" t="s">
        <v>134</v>
      </c>
      <c r="E1013" s="22">
        <f t="shared" ca="1" si="92"/>
        <v>40951</v>
      </c>
      <c r="F1013" s="11">
        <f>DATE(53,1,23)</f>
        <v>19382</v>
      </c>
      <c r="G1013" s="12">
        <f t="shared" ca="1" si="93"/>
        <v>59</v>
      </c>
      <c r="H1013" s="12">
        <f t="shared" ca="1" si="94"/>
        <v>1</v>
      </c>
      <c r="I1013" s="13">
        <f t="shared" ca="1" si="95"/>
        <v>-11</v>
      </c>
      <c r="J1013" s="14">
        <f t="shared" ca="1" si="96"/>
        <v>59</v>
      </c>
      <c r="K1013" s="12" t="s">
        <v>40</v>
      </c>
      <c r="L1013" s="15">
        <v>29</v>
      </c>
      <c r="M1013" s="25" t="s">
        <v>40</v>
      </c>
      <c r="N1013">
        <v>219</v>
      </c>
    </row>
    <row r="1014" spans="1:14">
      <c r="A1014" s="25">
        <f t="shared" si="91"/>
        <v>185</v>
      </c>
      <c r="B1014" s="67" t="s">
        <v>2</v>
      </c>
      <c r="C1014" s="67" t="s">
        <v>96</v>
      </c>
      <c r="D1014" s="67" t="s">
        <v>308</v>
      </c>
      <c r="E1014" s="22">
        <f t="shared" ca="1" si="92"/>
        <v>40951</v>
      </c>
      <c r="F1014" s="11">
        <f>DATE(82,2,14)</f>
        <v>29996</v>
      </c>
      <c r="G1014" s="12">
        <f t="shared" ca="1" si="93"/>
        <v>30</v>
      </c>
      <c r="H1014" s="12">
        <f t="shared" ca="1" si="94"/>
        <v>0</v>
      </c>
      <c r="I1014" s="13">
        <f t="shared" ca="1" si="95"/>
        <v>-2</v>
      </c>
      <c r="J1014" s="14">
        <f t="shared" ca="1" si="96"/>
        <v>29</v>
      </c>
      <c r="K1014" s="12" t="s">
        <v>40</v>
      </c>
      <c r="L1014" s="15">
        <v>29</v>
      </c>
      <c r="M1014" s="25" t="s">
        <v>44</v>
      </c>
      <c r="N1014">
        <v>219</v>
      </c>
    </row>
    <row r="1015" spans="1:14" ht="15.75" thickBot="1">
      <c r="A1015" s="26">
        <f t="shared" si="91"/>
        <v>186</v>
      </c>
      <c r="B1015" s="67" t="s">
        <v>2</v>
      </c>
      <c r="C1015" s="68" t="s">
        <v>309</v>
      </c>
      <c r="D1015" s="68" t="s">
        <v>310</v>
      </c>
      <c r="E1015" s="23">
        <f t="shared" ca="1" si="92"/>
        <v>40951</v>
      </c>
      <c r="F1015" s="33"/>
      <c r="G1015" s="17">
        <f t="shared" ca="1" si="93"/>
        <v>112</v>
      </c>
      <c r="H1015" s="17">
        <f t="shared" ca="1" si="94"/>
        <v>1</v>
      </c>
      <c r="I1015" s="18">
        <f t="shared" ca="1" si="95"/>
        <v>12</v>
      </c>
      <c r="J1015" s="19">
        <f t="shared" ca="1" si="96"/>
        <v>112</v>
      </c>
      <c r="K1015" s="17" t="s">
        <v>40</v>
      </c>
      <c r="L1015" s="20">
        <v>30</v>
      </c>
      <c r="M1015" s="26" t="s">
        <v>40</v>
      </c>
      <c r="N1015">
        <v>219</v>
      </c>
    </row>
    <row r="1016" spans="1:14">
      <c r="A1016" s="24">
        <f t="shared" si="91"/>
        <v>187</v>
      </c>
      <c r="B1016" s="66" t="s">
        <v>2</v>
      </c>
      <c r="C1016" s="66" t="s">
        <v>312</v>
      </c>
      <c r="D1016" s="66" t="s">
        <v>309</v>
      </c>
      <c r="E1016" s="21">
        <f t="shared" ca="1" si="92"/>
        <v>40951</v>
      </c>
      <c r="F1016" s="6">
        <f>DATE(75,4,23)</f>
        <v>27507</v>
      </c>
      <c r="G1016" s="7">
        <f t="shared" ca="1" si="93"/>
        <v>37</v>
      </c>
      <c r="H1016" s="7">
        <f t="shared" ca="1" si="94"/>
        <v>-2</v>
      </c>
      <c r="I1016" s="8">
        <f t="shared" ca="1" si="95"/>
        <v>-11</v>
      </c>
      <c r="J1016" s="9">
        <f t="shared" ca="1" si="96"/>
        <v>36</v>
      </c>
      <c r="K1016" s="7" t="s">
        <v>40</v>
      </c>
      <c r="L1016" s="10">
        <v>30</v>
      </c>
      <c r="M1016" s="24" t="s">
        <v>40</v>
      </c>
      <c r="N1016">
        <v>220</v>
      </c>
    </row>
    <row r="1017" spans="1:14">
      <c r="A1017" s="25">
        <f t="shared" si="91"/>
        <v>188</v>
      </c>
      <c r="B1017" s="67" t="s">
        <v>2</v>
      </c>
      <c r="C1017" s="67" t="s">
        <v>312</v>
      </c>
      <c r="D1017" s="67" t="s">
        <v>312</v>
      </c>
      <c r="E1017" s="22">
        <f t="shared" ca="1" si="92"/>
        <v>40951</v>
      </c>
      <c r="F1017" s="11">
        <f>DATE(2006,6,22)</f>
        <v>38890</v>
      </c>
      <c r="G1017" s="12">
        <f t="shared" ca="1" si="93"/>
        <v>6</v>
      </c>
      <c r="H1017" s="12">
        <f t="shared" ca="1" si="94"/>
        <v>-4</v>
      </c>
      <c r="I1017" s="13">
        <f t="shared" ca="1" si="95"/>
        <v>-10</v>
      </c>
      <c r="J1017" s="14">
        <f t="shared" ca="1" si="96"/>
        <v>5</v>
      </c>
      <c r="K1017" s="12" t="s">
        <v>40</v>
      </c>
      <c r="L1017" s="15">
        <v>30</v>
      </c>
      <c r="M1017" s="25" t="s">
        <v>44</v>
      </c>
      <c r="N1017">
        <v>220</v>
      </c>
    </row>
    <row r="1018" spans="1:14">
      <c r="A1018" s="25">
        <f t="shared" si="91"/>
        <v>189</v>
      </c>
      <c r="B1018" s="67" t="s">
        <v>2</v>
      </c>
      <c r="C1018" s="67" t="s">
        <v>315</v>
      </c>
      <c r="D1018" s="67" t="s">
        <v>316</v>
      </c>
      <c r="E1018" s="22">
        <f t="shared" ca="1" si="92"/>
        <v>40951</v>
      </c>
      <c r="F1018" s="11">
        <f>DATE(50,11,1)</f>
        <v>18568</v>
      </c>
      <c r="G1018" s="12">
        <f t="shared" ca="1" si="93"/>
        <v>62</v>
      </c>
      <c r="H1018" s="12">
        <f t="shared" ca="1" si="94"/>
        <v>-9</v>
      </c>
      <c r="I1018" s="13">
        <f t="shared" ca="1" si="95"/>
        <v>11</v>
      </c>
      <c r="J1018" s="14">
        <f t="shared" ca="1" si="96"/>
        <v>61</v>
      </c>
      <c r="K1018" s="12" t="s">
        <v>40</v>
      </c>
      <c r="L1018" s="15">
        <v>30</v>
      </c>
      <c r="M1018" s="25" t="s">
        <v>40</v>
      </c>
      <c r="N1018">
        <v>220</v>
      </c>
    </row>
    <row r="1019" spans="1:14">
      <c r="A1019" s="25">
        <f t="shared" si="91"/>
        <v>190</v>
      </c>
      <c r="B1019" s="67" t="s">
        <v>2</v>
      </c>
      <c r="C1019" s="67" t="s">
        <v>63</v>
      </c>
      <c r="D1019" s="67" t="s">
        <v>315</v>
      </c>
      <c r="E1019" s="22">
        <f t="shared" ca="1" si="92"/>
        <v>40951</v>
      </c>
      <c r="F1019" s="11">
        <f>DATE(86,3,4)</f>
        <v>31475</v>
      </c>
      <c r="G1019" s="12">
        <f t="shared" ca="1" si="93"/>
        <v>26</v>
      </c>
      <c r="H1019" s="12">
        <f t="shared" ca="1" si="94"/>
        <v>-1</v>
      </c>
      <c r="I1019" s="13">
        <f t="shared" ca="1" si="95"/>
        <v>8</v>
      </c>
      <c r="J1019" s="14">
        <f t="shared" ca="1" si="96"/>
        <v>25</v>
      </c>
      <c r="K1019" s="12" t="s">
        <v>40</v>
      </c>
      <c r="L1019" s="15">
        <v>30</v>
      </c>
      <c r="M1019" s="25" t="s">
        <v>44</v>
      </c>
      <c r="N1019">
        <v>220</v>
      </c>
    </row>
    <row r="1020" spans="1:14">
      <c r="A1020" s="25">
        <f t="shared" si="91"/>
        <v>191</v>
      </c>
      <c r="B1020" s="67" t="s">
        <v>2</v>
      </c>
      <c r="C1020" s="67" t="s">
        <v>320</v>
      </c>
      <c r="D1020" s="67" t="s">
        <v>316</v>
      </c>
      <c r="E1020" s="22">
        <f t="shared" ca="1" si="92"/>
        <v>40951</v>
      </c>
      <c r="F1020" s="11">
        <f>DATE(48,11,3)</f>
        <v>17840</v>
      </c>
      <c r="G1020" s="12">
        <f t="shared" ca="1" si="93"/>
        <v>64</v>
      </c>
      <c r="H1020" s="12">
        <f t="shared" ca="1" si="94"/>
        <v>-9</v>
      </c>
      <c r="I1020" s="13">
        <f t="shared" ca="1" si="95"/>
        <v>9</v>
      </c>
      <c r="J1020" s="14">
        <f t="shared" ca="1" si="96"/>
        <v>63</v>
      </c>
      <c r="K1020" s="12" t="s">
        <v>40</v>
      </c>
      <c r="L1020" s="15">
        <v>30</v>
      </c>
      <c r="M1020" s="25" t="s">
        <v>40</v>
      </c>
      <c r="N1020">
        <v>220</v>
      </c>
    </row>
    <row r="1021" spans="1:14">
      <c r="A1021" s="25">
        <f t="shared" si="91"/>
        <v>192</v>
      </c>
      <c r="B1021" s="67" t="s">
        <v>2</v>
      </c>
      <c r="C1021" s="67" t="s">
        <v>325</v>
      </c>
      <c r="D1021" s="67" t="s">
        <v>322</v>
      </c>
      <c r="E1021" s="22">
        <f t="shared" ca="1" si="92"/>
        <v>40951</v>
      </c>
      <c r="F1021" s="11">
        <f>DATE(82,10,28)</f>
        <v>30252</v>
      </c>
      <c r="G1021" s="12">
        <f t="shared" ca="1" si="93"/>
        <v>30</v>
      </c>
      <c r="H1021" s="12">
        <f t="shared" ca="1" si="94"/>
        <v>-8</v>
      </c>
      <c r="I1021" s="13">
        <f t="shared" ca="1" si="95"/>
        <v>-16</v>
      </c>
      <c r="J1021" s="14">
        <f t="shared" ca="1" si="96"/>
        <v>29</v>
      </c>
      <c r="K1021" s="12" t="s">
        <v>40</v>
      </c>
      <c r="L1021" s="15">
        <v>30</v>
      </c>
      <c r="M1021" s="25" t="s">
        <v>44</v>
      </c>
      <c r="N1021">
        <v>220</v>
      </c>
    </row>
    <row r="1022" spans="1:14">
      <c r="A1022" s="25">
        <f t="shared" si="91"/>
        <v>193</v>
      </c>
      <c r="B1022" s="67" t="s">
        <v>2</v>
      </c>
      <c r="C1022" s="67" t="s">
        <v>326</v>
      </c>
      <c r="D1022" s="67" t="s">
        <v>316</v>
      </c>
      <c r="E1022" s="22">
        <f t="shared" ca="1" si="92"/>
        <v>40951</v>
      </c>
      <c r="F1022" s="11">
        <f>DATE(57,3,20)</f>
        <v>20899</v>
      </c>
      <c r="G1022" s="12">
        <f t="shared" ca="1" si="93"/>
        <v>55</v>
      </c>
      <c r="H1022" s="12">
        <f t="shared" ca="1" si="94"/>
        <v>-1</v>
      </c>
      <c r="I1022" s="13">
        <f t="shared" ca="1" si="95"/>
        <v>-8</v>
      </c>
      <c r="J1022" s="14">
        <f t="shared" ca="1" si="96"/>
        <v>54</v>
      </c>
      <c r="K1022" s="12" t="s">
        <v>40</v>
      </c>
      <c r="L1022" s="15">
        <v>31</v>
      </c>
      <c r="M1022" s="25" t="s">
        <v>40</v>
      </c>
      <c r="N1022">
        <v>220</v>
      </c>
    </row>
    <row r="1023" spans="1:14">
      <c r="A1023" s="25">
        <f t="shared" ref="A1023:A1086" si="97">A1022+1</f>
        <v>194</v>
      </c>
      <c r="B1023" s="67" t="s">
        <v>2</v>
      </c>
      <c r="C1023" s="67" t="s">
        <v>329</v>
      </c>
      <c r="D1023" s="67" t="s">
        <v>326</v>
      </c>
      <c r="E1023" s="22">
        <f t="shared" ca="1" si="92"/>
        <v>40951</v>
      </c>
      <c r="F1023" s="11">
        <f>DATE(89,4,26)</f>
        <v>32624</v>
      </c>
      <c r="G1023" s="12">
        <f t="shared" ca="1" si="93"/>
        <v>23</v>
      </c>
      <c r="H1023" s="12">
        <f t="shared" ca="1" si="94"/>
        <v>-2</v>
      </c>
      <c r="I1023" s="13">
        <f t="shared" ca="1" si="95"/>
        <v>-14</v>
      </c>
      <c r="J1023" s="14">
        <f t="shared" ca="1" si="96"/>
        <v>22</v>
      </c>
      <c r="K1023" s="12" t="s">
        <v>40</v>
      </c>
      <c r="L1023" s="15">
        <v>31</v>
      </c>
      <c r="M1023" s="25" t="s">
        <v>40</v>
      </c>
      <c r="N1023">
        <v>220</v>
      </c>
    </row>
    <row r="1024" spans="1:14">
      <c r="A1024" s="25">
        <f t="shared" si="97"/>
        <v>195</v>
      </c>
      <c r="B1024" s="67" t="s">
        <v>2</v>
      </c>
      <c r="C1024" s="67" t="s">
        <v>330</v>
      </c>
      <c r="D1024" s="67" t="s">
        <v>209</v>
      </c>
      <c r="E1024" s="22">
        <f t="shared" ca="1" si="92"/>
        <v>40951</v>
      </c>
      <c r="F1024" s="11">
        <f>DATE(54,10,17)</f>
        <v>20014</v>
      </c>
      <c r="G1024" s="12">
        <f t="shared" ca="1" si="93"/>
        <v>58</v>
      </c>
      <c r="H1024" s="12">
        <f t="shared" ca="1" si="94"/>
        <v>-8</v>
      </c>
      <c r="I1024" s="13">
        <f t="shared" ca="1" si="95"/>
        <v>-5</v>
      </c>
      <c r="J1024" s="14">
        <f t="shared" ca="1" si="96"/>
        <v>57</v>
      </c>
      <c r="K1024" s="12" t="s">
        <v>40</v>
      </c>
      <c r="L1024" s="15">
        <v>31</v>
      </c>
      <c r="M1024" s="25" t="s">
        <v>40</v>
      </c>
      <c r="N1024">
        <v>220</v>
      </c>
    </row>
    <row r="1025" spans="1:14" ht="15.75" thickBot="1">
      <c r="A1025" s="26">
        <f t="shared" si="97"/>
        <v>196</v>
      </c>
      <c r="B1025" s="67" t="s">
        <v>2</v>
      </c>
      <c r="C1025" s="68" t="s">
        <v>263</v>
      </c>
      <c r="D1025" s="68" t="s">
        <v>331</v>
      </c>
      <c r="E1025" s="23">
        <f t="shared" ref="E1025:E1088" ca="1" si="98">TODAY()</f>
        <v>40951</v>
      </c>
      <c r="F1025" s="16">
        <f>DATE(87,7,2)</f>
        <v>31960</v>
      </c>
      <c r="G1025" s="17">
        <f t="shared" ref="G1025:G1088" ca="1" si="99">YEAR(E1025)-YEAR(F1025)</f>
        <v>25</v>
      </c>
      <c r="H1025" s="17">
        <f t="shared" ref="H1025:H1088" ca="1" si="100">MONTH(E1025)-MONTH(F1025)</f>
        <v>-5</v>
      </c>
      <c r="I1025" s="18">
        <f t="shared" ref="I1025:I1088" ca="1" si="101">DAY(E1025)-DAY(F1025)</f>
        <v>10</v>
      </c>
      <c r="J1025" s="19">
        <f t="shared" ref="J1025:J1088" ca="1" si="102">IF(H1025&lt;0,G1025-1,IF(H1025&gt;0,G1025,IF(I1025&lt;0,G1025-1,G1025)))</f>
        <v>24</v>
      </c>
      <c r="K1025" s="17" t="s">
        <v>40</v>
      </c>
      <c r="L1025" s="20">
        <v>31</v>
      </c>
      <c r="M1025" s="26" t="s">
        <v>40</v>
      </c>
      <c r="N1025">
        <v>220</v>
      </c>
    </row>
    <row r="1026" spans="1:14">
      <c r="A1026" s="24">
        <f t="shared" si="97"/>
        <v>197</v>
      </c>
      <c r="B1026" s="66" t="s">
        <v>2</v>
      </c>
      <c r="C1026" s="66" t="s">
        <v>332</v>
      </c>
      <c r="D1026" s="66" t="s">
        <v>333</v>
      </c>
      <c r="E1026" s="21">
        <f t="shared" ca="1" si="98"/>
        <v>40951</v>
      </c>
      <c r="F1026" s="6">
        <f>DATE(63,11,19)</f>
        <v>23334</v>
      </c>
      <c r="G1026" s="7">
        <f t="shared" ca="1" si="99"/>
        <v>49</v>
      </c>
      <c r="H1026" s="7">
        <f t="shared" ca="1" si="100"/>
        <v>-9</v>
      </c>
      <c r="I1026" s="8">
        <f t="shared" ca="1" si="101"/>
        <v>-7</v>
      </c>
      <c r="J1026" s="9">
        <f t="shared" ca="1" si="102"/>
        <v>48</v>
      </c>
      <c r="K1026" s="7" t="s">
        <v>40</v>
      </c>
      <c r="L1026" s="10">
        <v>31</v>
      </c>
      <c r="M1026" s="24" t="s">
        <v>40</v>
      </c>
      <c r="N1026">
        <v>221</v>
      </c>
    </row>
    <row r="1027" spans="1:14">
      <c r="A1027" s="25">
        <f t="shared" si="97"/>
        <v>198</v>
      </c>
      <c r="B1027" s="67" t="s">
        <v>2</v>
      </c>
      <c r="C1027" s="67" t="s">
        <v>336</v>
      </c>
      <c r="D1027" s="67" t="s">
        <v>332</v>
      </c>
      <c r="E1027" s="22">
        <f t="shared" ca="1" si="98"/>
        <v>40951</v>
      </c>
      <c r="F1027" s="11">
        <f>DATE(96,12,28)</f>
        <v>35427</v>
      </c>
      <c r="G1027" s="12">
        <f t="shared" ca="1" si="99"/>
        <v>16</v>
      </c>
      <c r="H1027" s="12">
        <f t="shared" ca="1" si="100"/>
        <v>-10</v>
      </c>
      <c r="I1027" s="13">
        <f t="shared" ca="1" si="101"/>
        <v>-16</v>
      </c>
      <c r="J1027" s="14">
        <f t="shared" ca="1" si="102"/>
        <v>15</v>
      </c>
      <c r="K1027" s="12" t="s">
        <v>40</v>
      </c>
      <c r="L1027" s="15">
        <v>31</v>
      </c>
      <c r="M1027" s="25" t="s">
        <v>40</v>
      </c>
      <c r="N1027">
        <v>221</v>
      </c>
    </row>
    <row r="1028" spans="1:14">
      <c r="A1028" s="25">
        <f t="shared" si="97"/>
        <v>199</v>
      </c>
      <c r="B1028" s="67" t="s">
        <v>2</v>
      </c>
      <c r="C1028" s="67" t="s">
        <v>337</v>
      </c>
      <c r="D1028" s="67" t="s">
        <v>338</v>
      </c>
      <c r="E1028" s="22">
        <f t="shared" ca="1" si="98"/>
        <v>40951</v>
      </c>
      <c r="F1028" s="11">
        <f>DATE(66,11,4)</f>
        <v>24415</v>
      </c>
      <c r="G1028" s="12">
        <f t="shared" ca="1" si="99"/>
        <v>46</v>
      </c>
      <c r="H1028" s="12">
        <f t="shared" ca="1" si="100"/>
        <v>-9</v>
      </c>
      <c r="I1028" s="13">
        <f t="shared" ca="1" si="101"/>
        <v>8</v>
      </c>
      <c r="J1028" s="14">
        <f t="shared" ca="1" si="102"/>
        <v>45</v>
      </c>
      <c r="K1028" s="12" t="s">
        <v>40</v>
      </c>
      <c r="L1028" s="15">
        <v>32</v>
      </c>
      <c r="M1028" s="25" t="s">
        <v>40</v>
      </c>
      <c r="N1028">
        <v>221</v>
      </c>
    </row>
    <row r="1029" spans="1:14">
      <c r="A1029" s="25">
        <f t="shared" si="97"/>
        <v>200</v>
      </c>
      <c r="B1029" s="67" t="s">
        <v>2</v>
      </c>
      <c r="C1029" s="67" t="s">
        <v>339</v>
      </c>
      <c r="D1029" s="67" t="s">
        <v>337</v>
      </c>
      <c r="E1029" s="22">
        <f t="shared" ca="1" si="98"/>
        <v>40951</v>
      </c>
      <c r="F1029" s="11">
        <f>DATE(96,8,21)</f>
        <v>35298</v>
      </c>
      <c r="G1029" s="12">
        <f t="shared" ca="1" si="99"/>
        <v>16</v>
      </c>
      <c r="H1029" s="12">
        <f t="shared" ca="1" si="100"/>
        <v>-6</v>
      </c>
      <c r="I1029" s="13">
        <f t="shared" ca="1" si="101"/>
        <v>-9</v>
      </c>
      <c r="J1029" s="14">
        <f t="shared" ca="1" si="102"/>
        <v>15</v>
      </c>
      <c r="K1029" s="12" t="s">
        <v>40</v>
      </c>
      <c r="L1029" s="15">
        <v>32</v>
      </c>
      <c r="M1029" s="25" t="s">
        <v>44</v>
      </c>
      <c r="N1029">
        <v>221</v>
      </c>
    </row>
    <row r="1030" spans="1:14">
      <c r="A1030" s="25">
        <f t="shared" si="97"/>
        <v>201</v>
      </c>
      <c r="B1030" s="67" t="s">
        <v>2</v>
      </c>
      <c r="C1030" s="67" t="s">
        <v>341</v>
      </c>
      <c r="D1030" s="67" t="s">
        <v>209</v>
      </c>
      <c r="E1030" s="22">
        <f t="shared" ca="1" si="98"/>
        <v>40951</v>
      </c>
      <c r="F1030" s="11">
        <f>DATE(57,4,22)</f>
        <v>20932</v>
      </c>
      <c r="G1030" s="12">
        <f t="shared" ca="1" si="99"/>
        <v>55</v>
      </c>
      <c r="H1030" s="12">
        <f t="shared" ca="1" si="100"/>
        <v>-2</v>
      </c>
      <c r="I1030" s="13">
        <f t="shared" ca="1" si="101"/>
        <v>-10</v>
      </c>
      <c r="J1030" s="14">
        <f t="shared" ca="1" si="102"/>
        <v>54</v>
      </c>
      <c r="K1030" s="12" t="s">
        <v>40</v>
      </c>
      <c r="L1030" s="15">
        <v>32</v>
      </c>
      <c r="M1030" s="25" t="s">
        <v>40</v>
      </c>
      <c r="N1030">
        <v>221</v>
      </c>
    </row>
    <row r="1031" spans="1:14">
      <c r="A1031" s="25">
        <f t="shared" si="97"/>
        <v>202</v>
      </c>
      <c r="B1031" s="67" t="s">
        <v>2</v>
      </c>
      <c r="C1031" s="67" t="s">
        <v>208</v>
      </c>
      <c r="D1031" s="67" t="s">
        <v>316</v>
      </c>
      <c r="E1031" s="22">
        <f t="shared" ca="1" si="98"/>
        <v>40951</v>
      </c>
      <c r="F1031" s="11">
        <f>DATE(51,9,19)</f>
        <v>18890</v>
      </c>
      <c r="G1031" s="12">
        <f t="shared" ca="1" si="99"/>
        <v>61</v>
      </c>
      <c r="H1031" s="12">
        <f t="shared" ca="1" si="100"/>
        <v>-7</v>
      </c>
      <c r="I1031" s="13">
        <f t="shared" ca="1" si="101"/>
        <v>-7</v>
      </c>
      <c r="J1031" s="14">
        <f t="shared" ca="1" si="102"/>
        <v>60</v>
      </c>
      <c r="K1031" s="12" t="s">
        <v>40</v>
      </c>
      <c r="L1031" s="15">
        <v>33</v>
      </c>
      <c r="M1031" s="25" t="s">
        <v>40</v>
      </c>
      <c r="N1031">
        <v>221</v>
      </c>
    </row>
    <row r="1032" spans="1:14" ht="15.75" thickBot="1">
      <c r="A1032" s="26">
        <f t="shared" si="97"/>
        <v>203</v>
      </c>
      <c r="B1032" s="67" t="s">
        <v>2</v>
      </c>
      <c r="C1032" s="68" t="s">
        <v>346</v>
      </c>
      <c r="D1032" s="68" t="s">
        <v>208</v>
      </c>
      <c r="E1032" s="23">
        <f t="shared" ca="1" si="98"/>
        <v>40951</v>
      </c>
      <c r="F1032" s="16">
        <f>DATE(86,9,19)</f>
        <v>31674</v>
      </c>
      <c r="G1032" s="17">
        <f t="shared" ca="1" si="99"/>
        <v>26</v>
      </c>
      <c r="H1032" s="17">
        <f t="shared" ca="1" si="100"/>
        <v>-7</v>
      </c>
      <c r="I1032" s="18">
        <f t="shared" ca="1" si="101"/>
        <v>-7</v>
      </c>
      <c r="J1032" s="19">
        <f t="shared" ca="1" si="102"/>
        <v>25</v>
      </c>
      <c r="K1032" s="17" t="s">
        <v>40</v>
      </c>
      <c r="L1032" s="20">
        <v>33</v>
      </c>
      <c r="M1032" s="26" t="s">
        <v>44</v>
      </c>
      <c r="N1032">
        <v>221</v>
      </c>
    </row>
    <row r="1033" spans="1:14">
      <c r="A1033" s="25">
        <f t="shared" si="97"/>
        <v>204</v>
      </c>
      <c r="B1033" s="67" t="s">
        <v>2</v>
      </c>
      <c r="C1033" s="67" t="s">
        <v>135</v>
      </c>
      <c r="D1033" s="67" t="s">
        <v>316</v>
      </c>
      <c r="E1033" s="22">
        <f t="shared" ca="1" si="98"/>
        <v>40951</v>
      </c>
      <c r="F1033" s="32"/>
      <c r="G1033" s="12">
        <f t="shared" ca="1" si="99"/>
        <v>112</v>
      </c>
      <c r="H1033" s="12">
        <f t="shared" ca="1" si="100"/>
        <v>1</v>
      </c>
      <c r="I1033" s="13">
        <f t="shared" ca="1" si="101"/>
        <v>12</v>
      </c>
      <c r="J1033" s="14">
        <f t="shared" ca="1" si="102"/>
        <v>112</v>
      </c>
      <c r="K1033" s="12" t="s">
        <v>40</v>
      </c>
      <c r="L1033" s="15">
        <v>33</v>
      </c>
      <c r="M1033" s="25" t="s">
        <v>44</v>
      </c>
      <c r="N1033">
        <v>222</v>
      </c>
    </row>
    <row r="1034" spans="1:14">
      <c r="A1034" s="25">
        <f t="shared" si="97"/>
        <v>205</v>
      </c>
      <c r="B1034" s="67" t="s">
        <v>2</v>
      </c>
      <c r="C1034" s="67" t="s">
        <v>348</v>
      </c>
      <c r="D1034" s="67" t="s">
        <v>349</v>
      </c>
      <c r="E1034" s="22">
        <f t="shared" ca="1" si="98"/>
        <v>40951</v>
      </c>
      <c r="F1034" s="11">
        <f>DATE(69,10,3)</f>
        <v>25479</v>
      </c>
      <c r="G1034" s="12">
        <f t="shared" ca="1" si="99"/>
        <v>43</v>
      </c>
      <c r="H1034" s="12">
        <f t="shared" ca="1" si="100"/>
        <v>-8</v>
      </c>
      <c r="I1034" s="13">
        <f t="shared" ca="1" si="101"/>
        <v>9</v>
      </c>
      <c r="J1034" s="14">
        <f t="shared" ca="1" si="102"/>
        <v>42</v>
      </c>
      <c r="K1034" s="12" t="s">
        <v>40</v>
      </c>
      <c r="L1034" s="15">
        <v>33</v>
      </c>
      <c r="M1034" s="25" t="s">
        <v>40</v>
      </c>
      <c r="N1034">
        <v>222</v>
      </c>
    </row>
    <row r="1035" spans="1:14">
      <c r="A1035" s="25">
        <f t="shared" si="97"/>
        <v>206</v>
      </c>
      <c r="B1035" s="67" t="s">
        <v>2</v>
      </c>
      <c r="C1035" s="67" t="s">
        <v>353</v>
      </c>
      <c r="D1035" s="67" t="s">
        <v>352</v>
      </c>
      <c r="E1035" s="22">
        <f t="shared" ca="1" si="98"/>
        <v>40951</v>
      </c>
      <c r="F1035" s="11">
        <f>DATE(79,3,7)</f>
        <v>28921</v>
      </c>
      <c r="G1035" s="12">
        <f t="shared" ca="1" si="99"/>
        <v>33</v>
      </c>
      <c r="H1035" s="12">
        <f t="shared" ca="1" si="100"/>
        <v>-1</v>
      </c>
      <c r="I1035" s="13">
        <f t="shared" ca="1" si="101"/>
        <v>5</v>
      </c>
      <c r="J1035" s="14">
        <f t="shared" ca="1" si="102"/>
        <v>32</v>
      </c>
      <c r="K1035" s="12" t="s">
        <v>40</v>
      </c>
      <c r="L1035" s="15">
        <v>34</v>
      </c>
      <c r="M1035" s="25" t="s">
        <v>40</v>
      </c>
      <c r="N1035">
        <v>222</v>
      </c>
    </row>
    <row r="1036" spans="1:14" ht="15.75" thickBot="1">
      <c r="A1036" s="26">
        <f t="shared" si="97"/>
        <v>207</v>
      </c>
      <c r="B1036" s="67" t="s">
        <v>2</v>
      </c>
      <c r="C1036" s="68" t="s">
        <v>355</v>
      </c>
      <c r="D1036" s="68" t="s">
        <v>356</v>
      </c>
      <c r="E1036" s="23">
        <f t="shared" ca="1" si="98"/>
        <v>40951</v>
      </c>
      <c r="F1036" s="33"/>
      <c r="G1036" s="17">
        <f t="shared" ca="1" si="99"/>
        <v>112</v>
      </c>
      <c r="H1036" s="17">
        <f t="shared" ca="1" si="100"/>
        <v>1</v>
      </c>
      <c r="I1036" s="18">
        <f t="shared" ca="1" si="101"/>
        <v>12</v>
      </c>
      <c r="J1036" s="19">
        <f t="shared" ca="1" si="102"/>
        <v>112</v>
      </c>
      <c r="K1036" s="17" t="s">
        <v>40</v>
      </c>
      <c r="L1036" s="20">
        <v>34</v>
      </c>
      <c r="M1036" s="26" t="s">
        <v>40</v>
      </c>
      <c r="N1036">
        <v>222</v>
      </c>
    </row>
    <row r="1037" spans="1:14">
      <c r="A1037" s="25">
        <f t="shared" si="97"/>
        <v>208</v>
      </c>
      <c r="B1037" s="67" t="s">
        <v>2</v>
      </c>
      <c r="C1037" s="67" t="s">
        <v>357</v>
      </c>
      <c r="D1037" s="67" t="s">
        <v>358</v>
      </c>
      <c r="E1037" s="22">
        <f t="shared" ca="1" si="98"/>
        <v>40951</v>
      </c>
      <c r="F1037" s="11">
        <f>DATE(60,1,18)</f>
        <v>21933</v>
      </c>
      <c r="G1037" s="12">
        <f t="shared" ca="1" si="99"/>
        <v>52</v>
      </c>
      <c r="H1037" s="12">
        <f t="shared" ca="1" si="100"/>
        <v>1</v>
      </c>
      <c r="I1037" s="13">
        <f t="shared" ca="1" si="101"/>
        <v>-6</v>
      </c>
      <c r="J1037" s="14">
        <f t="shared" ca="1" si="102"/>
        <v>52</v>
      </c>
      <c r="K1037" s="12" t="s">
        <v>40</v>
      </c>
      <c r="L1037" s="15">
        <v>34</v>
      </c>
      <c r="M1037" s="25" t="s">
        <v>40</v>
      </c>
      <c r="N1037">
        <v>223</v>
      </c>
    </row>
    <row r="1038" spans="1:14">
      <c r="A1038" s="25">
        <f t="shared" si="97"/>
        <v>209</v>
      </c>
      <c r="B1038" s="67" t="s">
        <v>2</v>
      </c>
      <c r="C1038" s="67" t="s">
        <v>362</v>
      </c>
      <c r="D1038" s="67" t="s">
        <v>360</v>
      </c>
      <c r="E1038" s="22">
        <f t="shared" ca="1" si="98"/>
        <v>40951</v>
      </c>
      <c r="F1038" s="11">
        <f>DATE(94,10,2)</f>
        <v>34609</v>
      </c>
      <c r="G1038" s="12">
        <f t="shared" ca="1" si="99"/>
        <v>18</v>
      </c>
      <c r="H1038" s="12">
        <f t="shared" ca="1" si="100"/>
        <v>-8</v>
      </c>
      <c r="I1038" s="13">
        <f t="shared" ca="1" si="101"/>
        <v>10</v>
      </c>
      <c r="J1038" s="14">
        <f t="shared" ca="1" si="102"/>
        <v>17</v>
      </c>
      <c r="K1038" s="12" t="s">
        <v>40</v>
      </c>
      <c r="L1038" s="15">
        <v>34</v>
      </c>
      <c r="M1038" s="25" t="s">
        <v>44</v>
      </c>
      <c r="N1038">
        <v>223</v>
      </c>
    </row>
    <row r="1039" spans="1:14">
      <c r="A1039" s="25">
        <f t="shared" si="97"/>
        <v>210</v>
      </c>
      <c r="B1039" s="67" t="s">
        <v>2</v>
      </c>
      <c r="C1039" s="67" t="s">
        <v>112</v>
      </c>
      <c r="D1039" s="67" t="s">
        <v>363</v>
      </c>
      <c r="E1039" s="22">
        <f t="shared" ca="1" si="98"/>
        <v>40951</v>
      </c>
      <c r="F1039" s="11">
        <f>DATE(65,6,6)</f>
        <v>23899</v>
      </c>
      <c r="G1039" s="12">
        <f t="shared" ca="1" si="99"/>
        <v>47</v>
      </c>
      <c r="H1039" s="12">
        <f t="shared" ca="1" si="100"/>
        <v>-4</v>
      </c>
      <c r="I1039" s="13">
        <f t="shared" ca="1" si="101"/>
        <v>6</v>
      </c>
      <c r="J1039" s="14">
        <f t="shared" ca="1" si="102"/>
        <v>46</v>
      </c>
      <c r="K1039" s="12" t="s">
        <v>40</v>
      </c>
      <c r="L1039" s="15">
        <v>34</v>
      </c>
      <c r="M1039" s="25" t="s">
        <v>40</v>
      </c>
      <c r="N1039">
        <v>223</v>
      </c>
    </row>
    <row r="1040" spans="1:14" ht="15.75" thickBot="1">
      <c r="A1040" s="26">
        <f t="shared" si="97"/>
        <v>211</v>
      </c>
      <c r="B1040" s="67" t="s">
        <v>2</v>
      </c>
      <c r="C1040" s="68" t="s">
        <v>365</v>
      </c>
      <c r="D1040" s="68" t="s">
        <v>112</v>
      </c>
      <c r="E1040" s="23">
        <f t="shared" ca="1" si="98"/>
        <v>40951</v>
      </c>
      <c r="F1040" s="16">
        <f>DATE(96,2,10)</f>
        <v>35105</v>
      </c>
      <c r="G1040" s="17">
        <f t="shared" ca="1" si="99"/>
        <v>16</v>
      </c>
      <c r="H1040" s="17">
        <f t="shared" ca="1" si="100"/>
        <v>0</v>
      </c>
      <c r="I1040" s="18">
        <f t="shared" ca="1" si="101"/>
        <v>2</v>
      </c>
      <c r="J1040" s="19">
        <f t="shared" ca="1" si="102"/>
        <v>16</v>
      </c>
      <c r="K1040" s="17" t="s">
        <v>40</v>
      </c>
      <c r="L1040" s="20">
        <v>34</v>
      </c>
      <c r="M1040" s="26" t="s">
        <v>44</v>
      </c>
      <c r="N1040">
        <v>223</v>
      </c>
    </row>
    <row r="1041" spans="1:14" ht="15.75" thickBot="1">
      <c r="A1041" s="43">
        <f t="shared" si="97"/>
        <v>212</v>
      </c>
      <c r="B1041" s="69" t="s">
        <v>2</v>
      </c>
      <c r="C1041" s="69" t="s">
        <v>367</v>
      </c>
      <c r="D1041" s="69" t="s">
        <v>349</v>
      </c>
      <c r="E1041" s="37">
        <f t="shared" ca="1" si="98"/>
        <v>40951</v>
      </c>
      <c r="F1041" s="38">
        <f>DATE(65,6,6)</f>
        <v>23899</v>
      </c>
      <c r="G1041" s="39">
        <f t="shared" ca="1" si="99"/>
        <v>47</v>
      </c>
      <c r="H1041" s="39">
        <f t="shared" ca="1" si="100"/>
        <v>-4</v>
      </c>
      <c r="I1041" s="40">
        <f t="shared" ca="1" si="101"/>
        <v>6</v>
      </c>
      <c r="J1041" s="41">
        <f t="shared" ca="1" si="102"/>
        <v>46</v>
      </c>
      <c r="K1041" s="39" t="s">
        <v>40</v>
      </c>
      <c r="L1041" s="42">
        <v>35</v>
      </c>
      <c r="M1041" s="43" t="s">
        <v>40</v>
      </c>
      <c r="N1041">
        <v>224</v>
      </c>
    </row>
    <row r="1042" spans="1:14">
      <c r="A1042" s="24">
        <f t="shared" si="97"/>
        <v>213</v>
      </c>
      <c r="B1042" s="66" t="s">
        <v>2</v>
      </c>
      <c r="C1042" s="66" t="s">
        <v>369</v>
      </c>
      <c r="D1042" s="66" t="s">
        <v>367</v>
      </c>
      <c r="E1042" s="21">
        <f t="shared" ca="1" si="98"/>
        <v>40951</v>
      </c>
      <c r="F1042" s="6">
        <f>DATE(93,6,15)</f>
        <v>34135</v>
      </c>
      <c r="G1042" s="7">
        <f t="shared" ca="1" si="99"/>
        <v>19</v>
      </c>
      <c r="H1042" s="7">
        <f t="shared" ca="1" si="100"/>
        <v>-4</v>
      </c>
      <c r="I1042" s="8">
        <f t="shared" ca="1" si="101"/>
        <v>-3</v>
      </c>
      <c r="J1042" s="9">
        <f t="shared" ca="1" si="102"/>
        <v>18</v>
      </c>
      <c r="K1042" s="7" t="s">
        <v>40</v>
      </c>
      <c r="L1042" s="10">
        <v>35</v>
      </c>
      <c r="M1042" s="24" t="s">
        <v>44</v>
      </c>
      <c r="N1042">
        <v>225</v>
      </c>
    </row>
    <row r="1043" spans="1:14">
      <c r="A1043" s="25">
        <f t="shared" si="97"/>
        <v>214</v>
      </c>
      <c r="B1043" s="67" t="s">
        <v>2</v>
      </c>
      <c r="C1043" s="67" t="s">
        <v>370</v>
      </c>
      <c r="D1043" s="67" t="s">
        <v>367</v>
      </c>
      <c r="E1043" s="22">
        <f t="shared" ca="1" si="98"/>
        <v>40951</v>
      </c>
      <c r="F1043" s="11">
        <f>DATE(98,6,28)</f>
        <v>35974</v>
      </c>
      <c r="G1043" s="12">
        <f t="shared" ca="1" si="99"/>
        <v>14</v>
      </c>
      <c r="H1043" s="12">
        <f t="shared" ca="1" si="100"/>
        <v>-4</v>
      </c>
      <c r="I1043" s="13">
        <f t="shared" ca="1" si="101"/>
        <v>-16</v>
      </c>
      <c r="J1043" s="14">
        <f t="shared" ca="1" si="102"/>
        <v>13</v>
      </c>
      <c r="K1043" s="12" t="s">
        <v>40</v>
      </c>
      <c r="L1043" s="15">
        <v>35</v>
      </c>
      <c r="M1043" s="25" t="s">
        <v>44</v>
      </c>
      <c r="N1043">
        <v>225</v>
      </c>
    </row>
    <row r="1044" spans="1:14">
      <c r="A1044" s="25">
        <f t="shared" si="97"/>
        <v>215</v>
      </c>
      <c r="B1044" s="67" t="s">
        <v>2</v>
      </c>
      <c r="C1044" s="67" t="s">
        <v>371</v>
      </c>
      <c r="D1044" s="67" t="s">
        <v>372</v>
      </c>
      <c r="E1044" s="22">
        <f t="shared" ca="1" si="98"/>
        <v>40951</v>
      </c>
      <c r="F1044" s="11">
        <f>DATE(43,1,1)</f>
        <v>15707</v>
      </c>
      <c r="G1044" s="12">
        <f t="shared" ca="1" si="99"/>
        <v>69</v>
      </c>
      <c r="H1044" s="12">
        <f t="shared" ca="1" si="100"/>
        <v>1</v>
      </c>
      <c r="I1044" s="13">
        <f t="shared" ca="1" si="101"/>
        <v>11</v>
      </c>
      <c r="J1044" s="14">
        <f t="shared" ca="1" si="102"/>
        <v>69</v>
      </c>
      <c r="K1044" s="12" t="s">
        <v>40</v>
      </c>
      <c r="L1044" s="15">
        <v>35</v>
      </c>
      <c r="M1044" s="25" t="s">
        <v>40</v>
      </c>
      <c r="N1044">
        <v>225</v>
      </c>
    </row>
    <row r="1045" spans="1:14">
      <c r="A1045" s="25">
        <f t="shared" si="97"/>
        <v>216</v>
      </c>
      <c r="B1045" s="67" t="s">
        <v>2</v>
      </c>
      <c r="C1045" s="67" t="s">
        <v>373</v>
      </c>
      <c r="D1045" s="67" t="s">
        <v>372</v>
      </c>
      <c r="E1045" s="22">
        <f t="shared" ca="1" si="98"/>
        <v>40951</v>
      </c>
      <c r="F1045" s="11">
        <f>DATE(48,1,7)</f>
        <v>17539</v>
      </c>
      <c r="G1045" s="12">
        <f t="shared" ca="1" si="99"/>
        <v>64</v>
      </c>
      <c r="H1045" s="12">
        <f t="shared" ca="1" si="100"/>
        <v>1</v>
      </c>
      <c r="I1045" s="13">
        <f t="shared" ca="1" si="101"/>
        <v>5</v>
      </c>
      <c r="J1045" s="14">
        <f t="shared" ca="1" si="102"/>
        <v>64</v>
      </c>
      <c r="K1045" s="12" t="s">
        <v>40</v>
      </c>
      <c r="L1045" s="15">
        <v>35</v>
      </c>
      <c r="M1045" s="25" t="s">
        <v>40</v>
      </c>
      <c r="N1045">
        <v>225</v>
      </c>
    </row>
    <row r="1046" spans="1:14" ht="15.75" thickBot="1">
      <c r="A1046" s="26">
        <f t="shared" si="97"/>
        <v>217</v>
      </c>
      <c r="B1046" s="67" t="s">
        <v>2</v>
      </c>
      <c r="C1046" s="68" t="s">
        <v>375</v>
      </c>
      <c r="D1046" s="68" t="s">
        <v>94</v>
      </c>
      <c r="E1046" s="23">
        <f t="shared" ca="1" si="98"/>
        <v>40951</v>
      </c>
      <c r="F1046" s="33"/>
      <c r="G1046" s="17">
        <f t="shared" ca="1" si="99"/>
        <v>112</v>
      </c>
      <c r="H1046" s="17">
        <f t="shared" ca="1" si="100"/>
        <v>1</v>
      </c>
      <c r="I1046" s="18">
        <f t="shared" ca="1" si="101"/>
        <v>12</v>
      </c>
      <c r="J1046" s="19">
        <f t="shared" ca="1" si="102"/>
        <v>112</v>
      </c>
      <c r="K1046" s="17" t="s">
        <v>40</v>
      </c>
      <c r="L1046" s="20">
        <v>35</v>
      </c>
      <c r="M1046" s="26" t="s">
        <v>40</v>
      </c>
      <c r="N1046">
        <v>225</v>
      </c>
    </row>
    <row r="1047" spans="1:14">
      <c r="A1047" s="24">
        <f t="shared" si="97"/>
        <v>218</v>
      </c>
      <c r="B1047" s="66" t="s">
        <v>2</v>
      </c>
      <c r="C1047" s="66" t="s">
        <v>376</v>
      </c>
      <c r="D1047" s="66" t="s">
        <v>254</v>
      </c>
      <c r="E1047" s="21">
        <f t="shared" ca="1" si="98"/>
        <v>40951</v>
      </c>
      <c r="F1047" s="6">
        <f>DATE(90,10,6)</f>
        <v>33152</v>
      </c>
      <c r="G1047" s="7">
        <f t="shared" ca="1" si="99"/>
        <v>22</v>
      </c>
      <c r="H1047" s="7">
        <f t="shared" ca="1" si="100"/>
        <v>-8</v>
      </c>
      <c r="I1047" s="8">
        <f t="shared" ca="1" si="101"/>
        <v>6</v>
      </c>
      <c r="J1047" s="9">
        <f t="shared" ca="1" si="102"/>
        <v>21</v>
      </c>
      <c r="K1047" s="7" t="s">
        <v>40</v>
      </c>
      <c r="L1047" s="10">
        <v>35</v>
      </c>
      <c r="M1047" s="24" t="s">
        <v>44</v>
      </c>
      <c r="N1047">
        <v>226</v>
      </c>
    </row>
    <row r="1048" spans="1:14">
      <c r="A1048" s="25">
        <f t="shared" si="97"/>
        <v>219</v>
      </c>
      <c r="B1048" s="67" t="s">
        <v>2</v>
      </c>
      <c r="C1048" s="67" t="s">
        <v>377</v>
      </c>
      <c r="D1048" s="67" t="s">
        <v>254</v>
      </c>
      <c r="E1048" s="22">
        <f t="shared" ca="1" si="98"/>
        <v>40951</v>
      </c>
      <c r="F1048" s="11">
        <f>DATE(95,8,30)</f>
        <v>34941</v>
      </c>
      <c r="G1048" s="12">
        <f t="shared" ca="1" si="99"/>
        <v>17</v>
      </c>
      <c r="H1048" s="12">
        <f t="shared" ca="1" si="100"/>
        <v>-6</v>
      </c>
      <c r="I1048" s="13">
        <f t="shared" ca="1" si="101"/>
        <v>-18</v>
      </c>
      <c r="J1048" s="14">
        <f t="shared" ca="1" si="102"/>
        <v>16</v>
      </c>
      <c r="K1048" s="12" t="s">
        <v>40</v>
      </c>
      <c r="L1048" s="15">
        <v>35</v>
      </c>
      <c r="M1048" s="25" t="s">
        <v>44</v>
      </c>
      <c r="N1048">
        <v>226</v>
      </c>
    </row>
    <row r="1049" spans="1:14">
      <c r="A1049" s="25">
        <f t="shared" si="97"/>
        <v>220</v>
      </c>
      <c r="B1049" s="67" t="s">
        <v>2</v>
      </c>
      <c r="C1049" s="67" t="s">
        <v>378</v>
      </c>
      <c r="D1049" s="67" t="s">
        <v>379</v>
      </c>
      <c r="E1049" s="22">
        <f t="shared" ca="1" si="98"/>
        <v>40951</v>
      </c>
      <c r="F1049" s="11">
        <f>DATE(49,8,1)</f>
        <v>18111</v>
      </c>
      <c r="G1049" s="12">
        <f t="shared" ca="1" si="99"/>
        <v>63</v>
      </c>
      <c r="H1049" s="12">
        <f t="shared" ca="1" si="100"/>
        <v>-6</v>
      </c>
      <c r="I1049" s="13">
        <f t="shared" ca="1" si="101"/>
        <v>11</v>
      </c>
      <c r="J1049" s="14">
        <f t="shared" ca="1" si="102"/>
        <v>62</v>
      </c>
      <c r="K1049" s="12" t="s">
        <v>40</v>
      </c>
      <c r="L1049" s="15">
        <v>36</v>
      </c>
      <c r="M1049" s="25" t="s">
        <v>40</v>
      </c>
      <c r="N1049">
        <v>226</v>
      </c>
    </row>
    <row r="1050" spans="1:14">
      <c r="A1050" s="25">
        <f t="shared" si="97"/>
        <v>221</v>
      </c>
      <c r="B1050" s="67" t="s">
        <v>2</v>
      </c>
      <c r="C1050" s="67" t="s">
        <v>381</v>
      </c>
      <c r="D1050" s="67" t="s">
        <v>378</v>
      </c>
      <c r="E1050" s="22">
        <f t="shared" ca="1" si="98"/>
        <v>40951</v>
      </c>
      <c r="F1050" s="11">
        <f>DATE(83,3,8)</f>
        <v>30383</v>
      </c>
      <c r="G1050" s="12">
        <f t="shared" ca="1" si="99"/>
        <v>29</v>
      </c>
      <c r="H1050" s="12">
        <f t="shared" ca="1" si="100"/>
        <v>-1</v>
      </c>
      <c r="I1050" s="13">
        <f t="shared" ca="1" si="101"/>
        <v>4</v>
      </c>
      <c r="J1050" s="14">
        <f t="shared" ca="1" si="102"/>
        <v>28</v>
      </c>
      <c r="K1050" s="12" t="s">
        <v>40</v>
      </c>
      <c r="L1050" s="15">
        <v>36</v>
      </c>
      <c r="M1050" s="25" t="s">
        <v>44</v>
      </c>
      <c r="N1050">
        <v>226</v>
      </c>
    </row>
    <row r="1051" spans="1:14" ht="15.75" thickBot="1">
      <c r="A1051" s="26">
        <f t="shared" si="97"/>
        <v>222</v>
      </c>
      <c r="B1051" s="67" t="s">
        <v>2</v>
      </c>
      <c r="C1051" s="68" t="s">
        <v>383</v>
      </c>
      <c r="D1051" s="68" t="s">
        <v>378</v>
      </c>
      <c r="E1051" s="23">
        <f t="shared" ca="1" si="98"/>
        <v>40951</v>
      </c>
      <c r="F1051" s="16">
        <f>DATE(88,7,14)</f>
        <v>32338</v>
      </c>
      <c r="G1051" s="17">
        <f t="shared" ca="1" si="99"/>
        <v>24</v>
      </c>
      <c r="H1051" s="17">
        <f t="shared" ca="1" si="100"/>
        <v>-5</v>
      </c>
      <c r="I1051" s="18">
        <f t="shared" ca="1" si="101"/>
        <v>-2</v>
      </c>
      <c r="J1051" s="19">
        <f t="shared" ca="1" si="102"/>
        <v>23</v>
      </c>
      <c r="K1051" s="17" t="s">
        <v>40</v>
      </c>
      <c r="L1051" s="20">
        <v>36</v>
      </c>
      <c r="M1051" s="26" t="s">
        <v>44</v>
      </c>
      <c r="N1051">
        <v>226</v>
      </c>
    </row>
    <row r="1052" spans="1:14">
      <c r="A1052" s="25">
        <f t="shared" si="97"/>
        <v>223</v>
      </c>
      <c r="B1052" s="67" t="s">
        <v>2</v>
      </c>
      <c r="C1052" s="67" t="s">
        <v>384</v>
      </c>
      <c r="D1052" s="67" t="s">
        <v>372</v>
      </c>
      <c r="E1052" s="22">
        <f t="shared" ca="1" si="98"/>
        <v>40951</v>
      </c>
      <c r="F1052" s="11">
        <f>DATE(36,11,5)</f>
        <v>13459</v>
      </c>
      <c r="G1052" s="12">
        <f t="shared" ca="1" si="99"/>
        <v>76</v>
      </c>
      <c r="H1052" s="12">
        <f t="shared" ca="1" si="100"/>
        <v>-9</v>
      </c>
      <c r="I1052" s="13">
        <f t="shared" ca="1" si="101"/>
        <v>7</v>
      </c>
      <c r="J1052" s="14">
        <f t="shared" ca="1" si="102"/>
        <v>75</v>
      </c>
      <c r="K1052" s="12" t="s">
        <v>40</v>
      </c>
      <c r="L1052" s="15">
        <v>36</v>
      </c>
      <c r="M1052" s="25" t="s">
        <v>40</v>
      </c>
      <c r="N1052">
        <v>227</v>
      </c>
    </row>
    <row r="1053" spans="1:14">
      <c r="A1053" s="25">
        <f t="shared" si="97"/>
        <v>224</v>
      </c>
      <c r="B1053" s="67" t="s">
        <v>2</v>
      </c>
      <c r="C1053" s="67" t="s">
        <v>114</v>
      </c>
      <c r="D1053" s="67" t="s">
        <v>384</v>
      </c>
      <c r="E1053" s="22">
        <f t="shared" ca="1" si="98"/>
        <v>40951</v>
      </c>
      <c r="F1053" s="11">
        <f>DATE(61,9,7)</f>
        <v>22531</v>
      </c>
      <c r="G1053" s="12">
        <f t="shared" ca="1" si="99"/>
        <v>51</v>
      </c>
      <c r="H1053" s="12">
        <f t="shared" ca="1" si="100"/>
        <v>-7</v>
      </c>
      <c r="I1053" s="13">
        <f t="shared" ca="1" si="101"/>
        <v>5</v>
      </c>
      <c r="J1053" s="14">
        <f t="shared" ca="1" si="102"/>
        <v>50</v>
      </c>
      <c r="K1053" s="12" t="s">
        <v>40</v>
      </c>
      <c r="L1053" s="15">
        <v>36</v>
      </c>
      <c r="M1053" s="25" t="s">
        <v>40</v>
      </c>
      <c r="N1053">
        <v>227</v>
      </c>
    </row>
    <row r="1054" spans="1:14">
      <c r="A1054" s="25">
        <f t="shared" si="97"/>
        <v>225</v>
      </c>
      <c r="B1054" s="67" t="s">
        <v>2</v>
      </c>
      <c r="C1054" s="67" t="s">
        <v>386</v>
      </c>
      <c r="D1054" s="67" t="s">
        <v>114</v>
      </c>
      <c r="E1054" s="22">
        <f t="shared" ca="1" si="98"/>
        <v>40951</v>
      </c>
      <c r="F1054" s="11">
        <f>DATE(91,7,5)</f>
        <v>33424</v>
      </c>
      <c r="G1054" s="12">
        <f t="shared" ca="1" si="99"/>
        <v>21</v>
      </c>
      <c r="H1054" s="12">
        <f t="shared" ca="1" si="100"/>
        <v>-5</v>
      </c>
      <c r="I1054" s="13">
        <f t="shared" ca="1" si="101"/>
        <v>7</v>
      </c>
      <c r="J1054" s="14">
        <f t="shared" ca="1" si="102"/>
        <v>20</v>
      </c>
      <c r="K1054" s="12" t="s">
        <v>40</v>
      </c>
      <c r="L1054" s="15">
        <v>36</v>
      </c>
      <c r="M1054" s="25" t="s">
        <v>44</v>
      </c>
      <c r="N1054">
        <v>227</v>
      </c>
    </row>
    <row r="1055" spans="1:14">
      <c r="A1055" s="25">
        <f t="shared" si="97"/>
        <v>226</v>
      </c>
      <c r="B1055" s="67" t="s">
        <v>2</v>
      </c>
      <c r="C1055" s="67" t="s">
        <v>387</v>
      </c>
      <c r="D1055" s="67" t="s">
        <v>94</v>
      </c>
      <c r="E1055" s="22">
        <f t="shared" ca="1" si="98"/>
        <v>40951</v>
      </c>
      <c r="F1055" s="11">
        <f>DATE(56,6,4)</f>
        <v>20610</v>
      </c>
      <c r="G1055" s="12">
        <f t="shared" ca="1" si="99"/>
        <v>56</v>
      </c>
      <c r="H1055" s="12">
        <f t="shared" ca="1" si="100"/>
        <v>-4</v>
      </c>
      <c r="I1055" s="13">
        <f t="shared" ca="1" si="101"/>
        <v>8</v>
      </c>
      <c r="J1055" s="14">
        <f t="shared" ca="1" si="102"/>
        <v>55</v>
      </c>
      <c r="K1055" s="12" t="s">
        <v>40</v>
      </c>
      <c r="L1055" s="15">
        <v>36</v>
      </c>
      <c r="M1055" s="25" t="s">
        <v>40</v>
      </c>
      <c r="N1055">
        <v>227</v>
      </c>
    </row>
    <row r="1056" spans="1:14">
      <c r="A1056" s="25">
        <f t="shared" si="97"/>
        <v>227</v>
      </c>
      <c r="B1056" s="67" t="s">
        <v>2</v>
      </c>
      <c r="C1056" s="67" t="s">
        <v>305</v>
      </c>
      <c r="D1056" s="67" t="s">
        <v>387</v>
      </c>
      <c r="E1056" s="22">
        <f t="shared" ca="1" si="98"/>
        <v>40951</v>
      </c>
      <c r="F1056" s="11">
        <f>DATE(82,1,7)</f>
        <v>29958</v>
      </c>
      <c r="G1056" s="12">
        <f t="shared" ca="1" si="99"/>
        <v>30</v>
      </c>
      <c r="H1056" s="12">
        <f t="shared" ca="1" si="100"/>
        <v>1</v>
      </c>
      <c r="I1056" s="13">
        <f t="shared" ca="1" si="101"/>
        <v>5</v>
      </c>
      <c r="J1056" s="14">
        <f t="shared" ca="1" si="102"/>
        <v>30</v>
      </c>
      <c r="K1056" s="12" t="s">
        <v>40</v>
      </c>
      <c r="L1056" s="15">
        <v>36</v>
      </c>
      <c r="M1056" s="25" t="s">
        <v>44</v>
      </c>
      <c r="N1056">
        <v>227</v>
      </c>
    </row>
    <row r="1057" spans="1:14">
      <c r="A1057" s="25">
        <f t="shared" si="97"/>
        <v>228</v>
      </c>
      <c r="B1057" s="67" t="s">
        <v>2</v>
      </c>
      <c r="C1057" s="67" t="s">
        <v>389</v>
      </c>
      <c r="D1057" s="67" t="s">
        <v>387</v>
      </c>
      <c r="E1057" s="22">
        <f t="shared" ca="1" si="98"/>
        <v>40951</v>
      </c>
      <c r="F1057" s="11">
        <f>DATE(86,6,4)</f>
        <v>31567</v>
      </c>
      <c r="G1057" s="12">
        <f t="shared" ca="1" si="99"/>
        <v>26</v>
      </c>
      <c r="H1057" s="12">
        <f t="shared" ca="1" si="100"/>
        <v>-4</v>
      </c>
      <c r="I1057" s="13">
        <f t="shared" ca="1" si="101"/>
        <v>8</v>
      </c>
      <c r="J1057" s="14">
        <f t="shared" ca="1" si="102"/>
        <v>25</v>
      </c>
      <c r="K1057" s="12" t="s">
        <v>40</v>
      </c>
      <c r="L1057" s="15">
        <v>36</v>
      </c>
      <c r="M1057" s="25" t="s">
        <v>44</v>
      </c>
      <c r="N1057">
        <v>227</v>
      </c>
    </row>
    <row r="1058" spans="1:14">
      <c r="A1058" s="25">
        <f t="shared" si="97"/>
        <v>229</v>
      </c>
      <c r="B1058" s="67" t="s">
        <v>2</v>
      </c>
      <c r="C1058" s="67" t="s">
        <v>234</v>
      </c>
      <c r="D1058" s="67" t="s">
        <v>387</v>
      </c>
      <c r="E1058" s="22">
        <f t="shared" ca="1" si="98"/>
        <v>40951</v>
      </c>
      <c r="F1058" s="11">
        <f>DATE(88,8,11)</f>
        <v>32366</v>
      </c>
      <c r="G1058" s="12">
        <f t="shared" ca="1" si="99"/>
        <v>24</v>
      </c>
      <c r="H1058" s="12">
        <f t="shared" ca="1" si="100"/>
        <v>-6</v>
      </c>
      <c r="I1058" s="13">
        <f t="shared" ca="1" si="101"/>
        <v>1</v>
      </c>
      <c r="J1058" s="14">
        <f t="shared" ca="1" si="102"/>
        <v>23</v>
      </c>
      <c r="K1058" s="12" t="s">
        <v>40</v>
      </c>
      <c r="L1058" s="15">
        <v>36</v>
      </c>
      <c r="M1058" s="25" t="s">
        <v>44</v>
      </c>
      <c r="N1058">
        <v>227</v>
      </c>
    </row>
    <row r="1059" spans="1:14">
      <c r="A1059" s="25">
        <f t="shared" si="97"/>
        <v>230</v>
      </c>
      <c r="B1059" s="67" t="s">
        <v>2</v>
      </c>
      <c r="C1059" s="67" t="s">
        <v>93</v>
      </c>
      <c r="D1059" s="67" t="s">
        <v>390</v>
      </c>
      <c r="E1059" s="22">
        <f t="shared" ca="1" si="98"/>
        <v>40951</v>
      </c>
      <c r="F1059" s="11">
        <f>DATE(60,3,21)</f>
        <v>21996</v>
      </c>
      <c r="G1059" s="12">
        <f t="shared" ca="1" si="99"/>
        <v>52</v>
      </c>
      <c r="H1059" s="12">
        <f t="shared" ca="1" si="100"/>
        <v>-1</v>
      </c>
      <c r="I1059" s="13">
        <f t="shared" ca="1" si="101"/>
        <v>-9</v>
      </c>
      <c r="J1059" s="14">
        <f t="shared" ca="1" si="102"/>
        <v>51</v>
      </c>
      <c r="K1059" s="12" t="s">
        <v>40</v>
      </c>
      <c r="L1059" s="15">
        <v>37</v>
      </c>
      <c r="M1059" s="25" t="s">
        <v>40</v>
      </c>
      <c r="N1059">
        <v>227</v>
      </c>
    </row>
    <row r="1060" spans="1:14">
      <c r="A1060" s="25">
        <f t="shared" si="97"/>
        <v>231</v>
      </c>
      <c r="B1060" s="67" t="s">
        <v>2</v>
      </c>
      <c r="C1060" s="67" t="s">
        <v>96</v>
      </c>
      <c r="D1060" s="67" t="s">
        <v>391</v>
      </c>
      <c r="E1060" s="22">
        <f t="shared" ca="1" si="98"/>
        <v>40951</v>
      </c>
      <c r="F1060" s="11">
        <f>DATE(63,8,22)</f>
        <v>23245</v>
      </c>
      <c r="G1060" s="12">
        <f t="shared" ca="1" si="99"/>
        <v>49</v>
      </c>
      <c r="H1060" s="12">
        <f t="shared" ca="1" si="100"/>
        <v>-6</v>
      </c>
      <c r="I1060" s="13">
        <f t="shared" ca="1" si="101"/>
        <v>-10</v>
      </c>
      <c r="J1060" s="14">
        <f t="shared" ca="1" si="102"/>
        <v>48</v>
      </c>
      <c r="K1060" s="12" t="s">
        <v>40</v>
      </c>
      <c r="L1060" s="15">
        <v>37</v>
      </c>
      <c r="M1060" s="25" t="s">
        <v>40</v>
      </c>
      <c r="N1060">
        <v>227</v>
      </c>
    </row>
    <row r="1061" spans="1:14">
      <c r="A1061" s="25">
        <f t="shared" si="97"/>
        <v>232</v>
      </c>
      <c r="B1061" s="67" t="s">
        <v>2</v>
      </c>
      <c r="C1061" s="67" t="s">
        <v>392</v>
      </c>
      <c r="D1061" s="67" t="s">
        <v>96</v>
      </c>
      <c r="E1061" s="22">
        <f t="shared" ca="1" si="98"/>
        <v>40951</v>
      </c>
      <c r="F1061" s="11">
        <f>DATE(89,11,14)</f>
        <v>32826</v>
      </c>
      <c r="G1061" s="12">
        <f t="shared" ca="1" si="99"/>
        <v>23</v>
      </c>
      <c r="H1061" s="12">
        <f t="shared" ca="1" si="100"/>
        <v>-9</v>
      </c>
      <c r="I1061" s="13">
        <f t="shared" ca="1" si="101"/>
        <v>-2</v>
      </c>
      <c r="J1061" s="14">
        <f t="shared" ca="1" si="102"/>
        <v>22</v>
      </c>
      <c r="K1061" s="12" t="s">
        <v>40</v>
      </c>
      <c r="L1061" s="15">
        <v>37</v>
      </c>
      <c r="M1061" s="25" t="s">
        <v>44</v>
      </c>
      <c r="N1061">
        <v>227</v>
      </c>
    </row>
    <row r="1062" spans="1:14">
      <c r="A1062" s="25">
        <f t="shared" si="97"/>
        <v>233</v>
      </c>
      <c r="B1062" s="67" t="s">
        <v>2</v>
      </c>
      <c r="C1062" s="67" t="s">
        <v>234</v>
      </c>
      <c r="D1062" s="67" t="s">
        <v>96</v>
      </c>
      <c r="E1062" s="22">
        <f t="shared" ca="1" si="98"/>
        <v>40951</v>
      </c>
      <c r="F1062" s="11">
        <f>DATE(92,8,7)</f>
        <v>33823</v>
      </c>
      <c r="G1062" s="12">
        <f t="shared" ca="1" si="99"/>
        <v>20</v>
      </c>
      <c r="H1062" s="12">
        <f t="shared" ca="1" si="100"/>
        <v>-6</v>
      </c>
      <c r="I1062" s="13">
        <f t="shared" ca="1" si="101"/>
        <v>5</v>
      </c>
      <c r="J1062" s="14">
        <f t="shared" ca="1" si="102"/>
        <v>19</v>
      </c>
      <c r="K1062" s="12" t="s">
        <v>40</v>
      </c>
      <c r="L1062" s="15">
        <v>37</v>
      </c>
      <c r="M1062" s="25" t="s">
        <v>44</v>
      </c>
      <c r="N1062">
        <v>227</v>
      </c>
    </row>
    <row r="1063" spans="1:14">
      <c r="A1063" s="25">
        <f t="shared" si="97"/>
        <v>234</v>
      </c>
      <c r="B1063" s="67" t="s">
        <v>2</v>
      </c>
      <c r="C1063" s="67" t="s">
        <v>109</v>
      </c>
      <c r="D1063" s="67" t="s">
        <v>394</v>
      </c>
      <c r="E1063" s="22">
        <f t="shared" ca="1" si="98"/>
        <v>40951</v>
      </c>
      <c r="F1063" s="11">
        <f>DATE(49,3,5)</f>
        <v>17962</v>
      </c>
      <c r="G1063" s="12">
        <f t="shared" ca="1" si="99"/>
        <v>63</v>
      </c>
      <c r="H1063" s="12">
        <f t="shared" ca="1" si="100"/>
        <v>-1</v>
      </c>
      <c r="I1063" s="13">
        <f t="shared" ca="1" si="101"/>
        <v>7</v>
      </c>
      <c r="J1063" s="14">
        <f t="shared" ca="1" si="102"/>
        <v>62</v>
      </c>
      <c r="K1063" s="12" t="s">
        <v>40</v>
      </c>
      <c r="L1063" s="15">
        <v>37</v>
      </c>
      <c r="M1063" s="25" t="s">
        <v>40</v>
      </c>
      <c r="N1063">
        <v>227</v>
      </c>
    </row>
    <row r="1064" spans="1:14">
      <c r="A1064" s="25">
        <f t="shared" si="97"/>
        <v>235</v>
      </c>
      <c r="B1064" s="67" t="s">
        <v>2</v>
      </c>
      <c r="C1064" s="67" t="s">
        <v>396</v>
      </c>
      <c r="D1064" s="67" t="s">
        <v>109</v>
      </c>
      <c r="E1064" s="22">
        <f t="shared" ca="1" si="98"/>
        <v>40951</v>
      </c>
      <c r="F1064" s="11">
        <f>DATE(73,4,1)</f>
        <v>26755</v>
      </c>
      <c r="G1064" s="12">
        <f t="shared" ca="1" si="99"/>
        <v>39</v>
      </c>
      <c r="H1064" s="12">
        <f t="shared" ca="1" si="100"/>
        <v>-2</v>
      </c>
      <c r="I1064" s="13">
        <f t="shared" ca="1" si="101"/>
        <v>11</v>
      </c>
      <c r="J1064" s="14">
        <f t="shared" ca="1" si="102"/>
        <v>38</v>
      </c>
      <c r="K1064" s="12" t="s">
        <v>40</v>
      </c>
      <c r="L1064" s="15">
        <v>37</v>
      </c>
      <c r="M1064" s="25" t="s">
        <v>40</v>
      </c>
      <c r="N1064">
        <v>227</v>
      </c>
    </row>
    <row r="1065" spans="1:14">
      <c r="A1065" s="25">
        <f t="shared" si="97"/>
        <v>236</v>
      </c>
      <c r="B1065" s="67" t="s">
        <v>2</v>
      </c>
      <c r="C1065" s="67" t="s">
        <v>398</v>
      </c>
      <c r="D1065" s="67" t="s">
        <v>396</v>
      </c>
      <c r="E1065" s="22">
        <f t="shared" ca="1" si="98"/>
        <v>40951</v>
      </c>
      <c r="F1065" s="11">
        <f>DATE(2002,12,9)</f>
        <v>37599</v>
      </c>
      <c r="G1065" s="12">
        <f t="shared" ca="1" si="99"/>
        <v>10</v>
      </c>
      <c r="H1065" s="12">
        <f t="shared" ca="1" si="100"/>
        <v>-10</v>
      </c>
      <c r="I1065" s="13">
        <f t="shared" ca="1" si="101"/>
        <v>3</v>
      </c>
      <c r="J1065" s="14">
        <f t="shared" ca="1" si="102"/>
        <v>9</v>
      </c>
      <c r="K1065" s="12" t="s">
        <v>40</v>
      </c>
      <c r="L1065" s="15">
        <v>37</v>
      </c>
      <c r="M1065" s="25" t="s">
        <v>44</v>
      </c>
      <c r="N1065">
        <v>227</v>
      </c>
    </row>
    <row r="1066" spans="1:14" ht="15.75" thickBot="1">
      <c r="A1066" s="26">
        <f t="shared" si="97"/>
        <v>237</v>
      </c>
      <c r="B1066" s="67" t="s">
        <v>2</v>
      </c>
      <c r="C1066" s="68" t="s">
        <v>123</v>
      </c>
      <c r="D1066" s="68" t="s">
        <v>358</v>
      </c>
      <c r="E1066" s="23">
        <f t="shared" ca="1" si="98"/>
        <v>40951</v>
      </c>
      <c r="F1066" s="16">
        <f>DATE(65,6,17)</f>
        <v>23910</v>
      </c>
      <c r="G1066" s="17">
        <f t="shared" ca="1" si="99"/>
        <v>47</v>
      </c>
      <c r="H1066" s="17">
        <f t="shared" ca="1" si="100"/>
        <v>-4</v>
      </c>
      <c r="I1066" s="18">
        <f t="shared" ca="1" si="101"/>
        <v>-5</v>
      </c>
      <c r="J1066" s="19">
        <f t="shared" ca="1" si="102"/>
        <v>46</v>
      </c>
      <c r="K1066" s="17" t="s">
        <v>40</v>
      </c>
      <c r="L1066" s="20">
        <v>38</v>
      </c>
      <c r="M1066" s="26" t="s">
        <v>40</v>
      </c>
      <c r="N1066">
        <v>227</v>
      </c>
    </row>
    <row r="1067" spans="1:14">
      <c r="A1067" s="25">
        <f t="shared" si="97"/>
        <v>238</v>
      </c>
      <c r="B1067" s="67" t="s">
        <v>2</v>
      </c>
      <c r="C1067" s="67" t="s">
        <v>183</v>
      </c>
      <c r="D1067" s="67" t="s">
        <v>123</v>
      </c>
      <c r="E1067" s="22">
        <f t="shared" ca="1" si="98"/>
        <v>40951</v>
      </c>
      <c r="F1067" s="11">
        <f>DATE(92,10,10)</f>
        <v>33887</v>
      </c>
      <c r="G1067" s="12">
        <f t="shared" ca="1" si="99"/>
        <v>20</v>
      </c>
      <c r="H1067" s="12">
        <f t="shared" ca="1" si="100"/>
        <v>-8</v>
      </c>
      <c r="I1067" s="13">
        <f t="shared" ca="1" si="101"/>
        <v>2</v>
      </c>
      <c r="J1067" s="14">
        <f t="shared" ca="1" si="102"/>
        <v>19</v>
      </c>
      <c r="K1067" s="12" t="s">
        <v>40</v>
      </c>
      <c r="L1067" s="15">
        <v>38</v>
      </c>
      <c r="M1067" s="25" t="s">
        <v>44</v>
      </c>
      <c r="N1067">
        <v>228</v>
      </c>
    </row>
    <row r="1068" spans="1:14">
      <c r="A1068" s="25">
        <f t="shared" si="97"/>
        <v>239</v>
      </c>
      <c r="B1068" s="67" t="s">
        <v>2</v>
      </c>
      <c r="C1068" s="67" t="s">
        <v>399</v>
      </c>
      <c r="D1068" s="67" t="s">
        <v>372</v>
      </c>
      <c r="E1068" s="22">
        <f t="shared" ca="1" si="98"/>
        <v>40951</v>
      </c>
      <c r="F1068" s="11">
        <f>DATE(41,9,14)</f>
        <v>15233</v>
      </c>
      <c r="G1068" s="12">
        <f t="shared" ca="1" si="99"/>
        <v>71</v>
      </c>
      <c r="H1068" s="12">
        <f t="shared" ca="1" si="100"/>
        <v>-7</v>
      </c>
      <c r="I1068" s="13">
        <f t="shared" ca="1" si="101"/>
        <v>-2</v>
      </c>
      <c r="J1068" s="14">
        <f t="shared" ca="1" si="102"/>
        <v>70</v>
      </c>
      <c r="K1068" s="12" t="s">
        <v>40</v>
      </c>
      <c r="L1068" s="15">
        <v>38</v>
      </c>
      <c r="M1068" s="25" t="s">
        <v>40</v>
      </c>
      <c r="N1068">
        <v>228</v>
      </c>
    </row>
    <row r="1069" spans="1:14">
      <c r="A1069" s="25">
        <f t="shared" si="97"/>
        <v>240</v>
      </c>
      <c r="B1069" s="67" t="s">
        <v>2</v>
      </c>
      <c r="C1069" s="67" t="s">
        <v>401</v>
      </c>
      <c r="D1069" s="67" t="s">
        <v>399</v>
      </c>
      <c r="E1069" s="22">
        <f t="shared" ca="1" si="98"/>
        <v>40951</v>
      </c>
      <c r="F1069" s="11">
        <f>DATE(69,6,12)</f>
        <v>25366</v>
      </c>
      <c r="G1069" s="12">
        <f t="shared" ca="1" si="99"/>
        <v>43</v>
      </c>
      <c r="H1069" s="12">
        <f t="shared" ca="1" si="100"/>
        <v>-4</v>
      </c>
      <c r="I1069" s="13">
        <f t="shared" ca="1" si="101"/>
        <v>0</v>
      </c>
      <c r="J1069" s="14">
        <f t="shared" ca="1" si="102"/>
        <v>42</v>
      </c>
      <c r="K1069" s="12" t="s">
        <v>40</v>
      </c>
      <c r="L1069" s="15">
        <v>38</v>
      </c>
      <c r="M1069" s="25" t="s">
        <v>40</v>
      </c>
      <c r="N1069">
        <v>228</v>
      </c>
    </row>
    <row r="1070" spans="1:14" ht="15.75" thickBot="1">
      <c r="A1070" s="26">
        <f t="shared" si="97"/>
        <v>241</v>
      </c>
      <c r="B1070" s="67" t="s">
        <v>2</v>
      </c>
      <c r="C1070" s="68" t="s">
        <v>405</v>
      </c>
      <c r="D1070" s="68" t="s">
        <v>399</v>
      </c>
      <c r="E1070" s="23">
        <f t="shared" ca="1" si="98"/>
        <v>40951</v>
      </c>
      <c r="F1070" s="16">
        <f>DATE(77,3,16)</f>
        <v>28200</v>
      </c>
      <c r="G1070" s="17">
        <f t="shared" ca="1" si="99"/>
        <v>35</v>
      </c>
      <c r="H1070" s="17">
        <f t="shared" ca="1" si="100"/>
        <v>-1</v>
      </c>
      <c r="I1070" s="18">
        <f t="shared" ca="1" si="101"/>
        <v>-4</v>
      </c>
      <c r="J1070" s="19">
        <f t="shared" ca="1" si="102"/>
        <v>34</v>
      </c>
      <c r="K1070" s="17" t="s">
        <v>40</v>
      </c>
      <c r="L1070" s="20">
        <v>38</v>
      </c>
      <c r="M1070" s="26" t="s">
        <v>44</v>
      </c>
      <c r="N1070">
        <v>228</v>
      </c>
    </row>
    <row r="1071" spans="1:14">
      <c r="A1071" s="24">
        <f t="shared" si="97"/>
        <v>242</v>
      </c>
      <c r="B1071" s="66" t="s">
        <v>2</v>
      </c>
      <c r="C1071" s="66" t="s">
        <v>305</v>
      </c>
      <c r="D1071" s="66" t="s">
        <v>408</v>
      </c>
      <c r="E1071" s="21">
        <f t="shared" ca="1" si="98"/>
        <v>40951</v>
      </c>
      <c r="F1071" s="6">
        <f>DATE(70,8,16)</f>
        <v>25796</v>
      </c>
      <c r="G1071" s="7">
        <f t="shared" ca="1" si="99"/>
        <v>42</v>
      </c>
      <c r="H1071" s="7">
        <f t="shared" ca="1" si="100"/>
        <v>-6</v>
      </c>
      <c r="I1071" s="8">
        <f t="shared" ca="1" si="101"/>
        <v>-4</v>
      </c>
      <c r="J1071" s="9">
        <f t="shared" ca="1" si="102"/>
        <v>41</v>
      </c>
      <c r="K1071" s="7" t="s">
        <v>40</v>
      </c>
      <c r="L1071" s="10">
        <v>39</v>
      </c>
      <c r="M1071" s="24" t="s">
        <v>40</v>
      </c>
      <c r="N1071">
        <v>229</v>
      </c>
    </row>
    <row r="1072" spans="1:14">
      <c r="A1072" s="25">
        <f t="shared" si="97"/>
        <v>243</v>
      </c>
      <c r="B1072" s="67" t="s">
        <v>2</v>
      </c>
      <c r="C1072" s="67" t="s">
        <v>203</v>
      </c>
      <c r="D1072" s="67" t="s">
        <v>305</v>
      </c>
      <c r="E1072" s="22">
        <f t="shared" ca="1" si="98"/>
        <v>40951</v>
      </c>
      <c r="F1072" s="11">
        <f>DATE(98,2,14)</f>
        <v>35840</v>
      </c>
      <c r="G1072" s="12">
        <f t="shared" ca="1" si="99"/>
        <v>14</v>
      </c>
      <c r="H1072" s="12">
        <f t="shared" ca="1" si="100"/>
        <v>0</v>
      </c>
      <c r="I1072" s="13">
        <f t="shared" ca="1" si="101"/>
        <v>-2</v>
      </c>
      <c r="J1072" s="14">
        <f t="shared" ca="1" si="102"/>
        <v>13</v>
      </c>
      <c r="K1072" s="12" t="s">
        <v>40</v>
      </c>
      <c r="L1072" s="15">
        <v>39</v>
      </c>
      <c r="M1072" s="25" t="s">
        <v>44</v>
      </c>
      <c r="N1072">
        <v>229</v>
      </c>
    </row>
    <row r="1073" spans="1:14">
      <c r="A1073" s="25">
        <f t="shared" si="97"/>
        <v>244</v>
      </c>
      <c r="B1073" s="67" t="s">
        <v>2</v>
      </c>
      <c r="C1073" s="67" t="s">
        <v>234</v>
      </c>
      <c r="D1073" s="67" t="s">
        <v>408</v>
      </c>
      <c r="E1073" s="22">
        <f t="shared" ca="1" si="98"/>
        <v>40951</v>
      </c>
      <c r="F1073" s="11">
        <f>DATE(76,5,27)</f>
        <v>27907</v>
      </c>
      <c r="G1073" s="12">
        <f t="shared" ca="1" si="99"/>
        <v>36</v>
      </c>
      <c r="H1073" s="12">
        <f t="shared" ca="1" si="100"/>
        <v>-3</v>
      </c>
      <c r="I1073" s="13">
        <f t="shared" ca="1" si="101"/>
        <v>-15</v>
      </c>
      <c r="J1073" s="14">
        <f t="shared" ca="1" si="102"/>
        <v>35</v>
      </c>
      <c r="K1073" s="12" t="s">
        <v>40</v>
      </c>
      <c r="L1073" s="15">
        <v>39</v>
      </c>
      <c r="M1073" s="25" t="s">
        <v>40</v>
      </c>
      <c r="N1073">
        <v>229</v>
      </c>
    </row>
    <row r="1074" spans="1:14">
      <c r="A1074" s="25">
        <f t="shared" si="97"/>
        <v>245</v>
      </c>
      <c r="B1074" s="67" t="s">
        <v>2</v>
      </c>
      <c r="C1074" s="67" t="s">
        <v>410</v>
      </c>
      <c r="D1074" s="67" t="s">
        <v>411</v>
      </c>
      <c r="E1074" s="22">
        <f t="shared" ca="1" si="98"/>
        <v>40951</v>
      </c>
      <c r="F1074" s="11">
        <f>DATE(53,9,15)</f>
        <v>19617</v>
      </c>
      <c r="G1074" s="12">
        <f t="shared" ca="1" si="99"/>
        <v>59</v>
      </c>
      <c r="H1074" s="12">
        <f t="shared" ca="1" si="100"/>
        <v>-7</v>
      </c>
      <c r="I1074" s="13">
        <f t="shared" ca="1" si="101"/>
        <v>-3</v>
      </c>
      <c r="J1074" s="14">
        <f t="shared" ca="1" si="102"/>
        <v>58</v>
      </c>
      <c r="K1074" s="12" t="s">
        <v>40</v>
      </c>
      <c r="L1074" s="15">
        <v>39</v>
      </c>
      <c r="M1074" s="25" t="s">
        <v>40</v>
      </c>
      <c r="N1074">
        <v>229</v>
      </c>
    </row>
    <row r="1075" spans="1:14">
      <c r="A1075" s="25">
        <f t="shared" si="97"/>
        <v>246</v>
      </c>
      <c r="B1075" s="67" t="s">
        <v>2</v>
      </c>
      <c r="C1075" s="67" t="s">
        <v>140</v>
      </c>
      <c r="D1075" s="67" t="s">
        <v>410</v>
      </c>
      <c r="E1075" s="22">
        <f t="shared" ca="1" si="98"/>
        <v>40951</v>
      </c>
      <c r="F1075" s="11">
        <f>DATE(84,7,28)</f>
        <v>30891</v>
      </c>
      <c r="G1075" s="12">
        <f t="shared" ca="1" si="99"/>
        <v>28</v>
      </c>
      <c r="H1075" s="12">
        <f t="shared" ca="1" si="100"/>
        <v>-5</v>
      </c>
      <c r="I1075" s="13">
        <f t="shared" ca="1" si="101"/>
        <v>-16</v>
      </c>
      <c r="J1075" s="14">
        <f t="shared" ca="1" si="102"/>
        <v>27</v>
      </c>
      <c r="K1075" s="12" t="s">
        <v>40</v>
      </c>
      <c r="L1075" s="15">
        <v>39</v>
      </c>
      <c r="M1075" s="25" t="s">
        <v>44</v>
      </c>
      <c r="N1075">
        <v>229</v>
      </c>
    </row>
    <row r="1076" spans="1:14" ht="15.75" thickBot="1">
      <c r="A1076" s="26">
        <f t="shared" si="97"/>
        <v>247</v>
      </c>
      <c r="B1076" s="67" t="s">
        <v>2</v>
      </c>
      <c r="C1076" s="68" t="s">
        <v>412</v>
      </c>
      <c r="D1076" s="68" t="s">
        <v>372</v>
      </c>
      <c r="E1076" s="23">
        <f t="shared" ca="1" si="98"/>
        <v>40951</v>
      </c>
      <c r="F1076" s="16">
        <f>DATE(50,2,25)</f>
        <v>18319</v>
      </c>
      <c r="G1076" s="17">
        <f t="shared" ca="1" si="99"/>
        <v>62</v>
      </c>
      <c r="H1076" s="17">
        <f t="shared" ca="1" si="100"/>
        <v>0</v>
      </c>
      <c r="I1076" s="18">
        <f t="shared" ca="1" si="101"/>
        <v>-13</v>
      </c>
      <c r="J1076" s="19">
        <f t="shared" ca="1" si="102"/>
        <v>61</v>
      </c>
      <c r="K1076" s="17" t="s">
        <v>40</v>
      </c>
      <c r="L1076" s="20">
        <v>40</v>
      </c>
      <c r="M1076" s="26" t="s">
        <v>40</v>
      </c>
      <c r="N1076">
        <v>229</v>
      </c>
    </row>
    <row r="1077" spans="1:14">
      <c r="A1077" s="24">
        <f t="shared" si="97"/>
        <v>248</v>
      </c>
      <c r="B1077" s="66" t="s">
        <v>2</v>
      </c>
      <c r="C1077" s="66" t="s">
        <v>169</v>
      </c>
      <c r="D1077" s="66" t="s">
        <v>412</v>
      </c>
      <c r="E1077" s="21">
        <f t="shared" ca="1" si="98"/>
        <v>40951</v>
      </c>
      <c r="F1077" s="6">
        <f>DATE(76,3,13)</f>
        <v>27832</v>
      </c>
      <c r="G1077" s="7">
        <f t="shared" ca="1" si="99"/>
        <v>36</v>
      </c>
      <c r="H1077" s="7">
        <f t="shared" ca="1" si="100"/>
        <v>-1</v>
      </c>
      <c r="I1077" s="8">
        <f t="shared" ca="1" si="101"/>
        <v>-1</v>
      </c>
      <c r="J1077" s="9">
        <f t="shared" ca="1" si="102"/>
        <v>35</v>
      </c>
      <c r="K1077" s="7" t="s">
        <v>40</v>
      </c>
      <c r="L1077" s="10">
        <v>40</v>
      </c>
      <c r="M1077" s="24" t="s">
        <v>40</v>
      </c>
      <c r="N1077">
        <v>230</v>
      </c>
    </row>
    <row r="1078" spans="1:14">
      <c r="A1078" s="25">
        <f t="shared" si="97"/>
        <v>249</v>
      </c>
      <c r="B1078" s="67" t="s">
        <v>2</v>
      </c>
      <c r="C1078" s="67" t="s">
        <v>301</v>
      </c>
      <c r="D1078" s="67" t="s">
        <v>412</v>
      </c>
      <c r="E1078" s="22">
        <f t="shared" ca="1" si="98"/>
        <v>40951</v>
      </c>
      <c r="F1078" s="11">
        <f>DATE(80,2,24)</f>
        <v>29275</v>
      </c>
      <c r="G1078" s="12">
        <f t="shared" ca="1" si="99"/>
        <v>32</v>
      </c>
      <c r="H1078" s="12">
        <f t="shared" ca="1" si="100"/>
        <v>0</v>
      </c>
      <c r="I1078" s="13">
        <f t="shared" ca="1" si="101"/>
        <v>-12</v>
      </c>
      <c r="J1078" s="14">
        <f t="shared" ca="1" si="102"/>
        <v>31</v>
      </c>
      <c r="K1078" s="12" t="s">
        <v>40</v>
      </c>
      <c r="L1078" s="15">
        <v>40</v>
      </c>
      <c r="M1078" s="25" t="s">
        <v>40</v>
      </c>
      <c r="N1078">
        <v>230</v>
      </c>
    </row>
    <row r="1079" spans="1:14">
      <c r="A1079" s="25">
        <f t="shared" si="97"/>
        <v>250</v>
      </c>
      <c r="B1079" s="67" t="s">
        <v>2</v>
      </c>
      <c r="C1079" s="67" t="s">
        <v>414</v>
      </c>
      <c r="D1079" s="67" t="s">
        <v>209</v>
      </c>
      <c r="E1079" s="22">
        <f t="shared" ca="1" si="98"/>
        <v>40951</v>
      </c>
      <c r="F1079" s="11">
        <f>DATE(41,8,10)</f>
        <v>15198</v>
      </c>
      <c r="G1079" s="12">
        <f t="shared" ca="1" si="99"/>
        <v>71</v>
      </c>
      <c r="H1079" s="12">
        <f t="shared" ca="1" si="100"/>
        <v>-6</v>
      </c>
      <c r="I1079" s="13">
        <f t="shared" ca="1" si="101"/>
        <v>2</v>
      </c>
      <c r="J1079" s="14">
        <f t="shared" ca="1" si="102"/>
        <v>70</v>
      </c>
      <c r="K1079" s="12" t="s">
        <v>40</v>
      </c>
      <c r="L1079" s="15">
        <v>40</v>
      </c>
      <c r="M1079" s="25" t="s">
        <v>40</v>
      </c>
      <c r="N1079">
        <v>230</v>
      </c>
    </row>
    <row r="1080" spans="1:14">
      <c r="A1080" s="25">
        <f t="shared" si="97"/>
        <v>251</v>
      </c>
      <c r="B1080" s="67" t="s">
        <v>2</v>
      </c>
      <c r="C1080" s="67" t="s">
        <v>416</v>
      </c>
      <c r="D1080" s="67" t="s">
        <v>414</v>
      </c>
      <c r="E1080" s="22">
        <f t="shared" ca="1" si="98"/>
        <v>40951</v>
      </c>
      <c r="F1080" s="11">
        <f>DATE(70,2,3)</f>
        <v>25602</v>
      </c>
      <c r="G1080" s="12">
        <f t="shared" ca="1" si="99"/>
        <v>42</v>
      </c>
      <c r="H1080" s="12">
        <f t="shared" ca="1" si="100"/>
        <v>0</v>
      </c>
      <c r="I1080" s="13">
        <f t="shared" ca="1" si="101"/>
        <v>9</v>
      </c>
      <c r="J1080" s="14">
        <f t="shared" ca="1" si="102"/>
        <v>42</v>
      </c>
      <c r="K1080" s="12" t="s">
        <v>40</v>
      </c>
      <c r="L1080" s="15">
        <v>40</v>
      </c>
      <c r="M1080" s="25" t="s">
        <v>40</v>
      </c>
      <c r="N1080">
        <v>230</v>
      </c>
    </row>
    <row r="1081" spans="1:14">
      <c r="A1081" s="25">
        <f t="shared" si="97"/>
        <v>252</v>
      </c>
      <c r="B1081" s="67" t="s">
        <v>7</v>
      </c>
      <c r="C1081" s="67" t="s">
        <v>162</v>
      </c>
      <c r="D1081" s="67" t="s">
        <v>417</v>
      </c>
      <c r="E1081" s="22">
        <f t="shared" ca="1" si="98"/>
        <v>40951</v>
      </c>
      <c r="F1081" s="11">
        <f>DATE(47,10,22)</f>
        <v>17462</v>
      </c>
      <c r="G1081" s="12">
        <f t="shared" ca="1" si="99"/>
        <v>65</v>
      </c>
      <c r="H1081" s="12">
        <f t="shared" ca="1" si="100"/>
        <v>-8</v>
      </c>
      <c r="I1081" s="13">
        <f t="shared" ca="1" si="101"/>
        <v>-10</v>
      </c>
      <c r="J1081" s="14">
        <f t="shared" ca="1" si="102"/>
        <v>64</v>
      </c>
      <c r="K1081" s="12" t="s">
        <v>40</v>
      </c>
      <c r="L1081" s="15">
        <v>41</v>
      </c>
      <c r="M1081" s="25" t="s">
        <v>40</v>
      </c>
      <c r="N1081">
        <v>230</v>
      </c>
    </row>
    <row r="1082" spans="1:14">
      <c r="A1082" s="25">
        <f t="shared" si="97"/>
        <v>253</v>
      </c>
      <c r="B1082" s="67" t="s">
        <v>7</v>
      </c>
      <c r="C1082" s="67" t="s">
        <v>305</v>
      </c>
      <c r="D1082" s="67" t="s">
        <v>162</v>
      </c>
      <c r="E1082" s="22">
        <f t="shared" ca="1" si="98"/>
        <v>40951</v>
      </c>
      <c r="F1082" s="11">
        <f>DATE(75,2,7)</f>
        <v>27432</v>
      </c>
      <c r="G1082" s="12">
        <f t="shared" ca="1" si="99"/>
        <v>37</v>
      </c>
      <c r="H1082" s="12">
        <f t="shared" ca="1" si="100"/>
        <v>0</v>
      </c>
      <c r="I1082" s="13">
        <f t="shared" ca="1" si="101"/>
        <v>5</v>
      </c>
      <c r="J1082" s="14">
        <f t="shared" ca="1" si="102"/>
        <v>37</v>
      </c>
      <c r="K1082" s="12" t="s">
        <v>40</v>
      </c>
      <c r="L1082" s="15">
        <v>41</v>
      </c>
      <c r="M1082" s="25" t="s">
        <v>40</v>
      </c>
      <c r="N1082">
        <v>230</v>
      </c>
    </row>
    <row r="1083" spans="1:14" ht="15.75" thickBot="1">
      <c r="A1083" s="26">
        <f t="shared" si="97"/>
        <v>254</v>
      </c>
      <c r="B1083" s="67" t="s">
        <v>7</v>
      </c>
      <c r="C1083" s="68" t="s">
        <v>421</v>
      </c>
      <c r="D1083" s="68" t="s">
        <v>305</v>
      </c>
      <c r="E1083" s="23">
        <f t="shared" ca="1" si="98"/>
        <v>40951</v>
      </c>
      <c r="F1083" s="16">
        <f>DATE(76,8,12)</f>
        <v>27984</v>
      </c>
      <c r="G1083" s="17">
        <f t="shared" ca="1" si="99"/>
        <v>36</v>
      </c>
      <c r="H1083" s="17">
        <f t="shared" ca="1" si="100"/>
        <v>-6</v>
      </c>
      <c r="I1083" s="18">
        <f t="shared" ca="1" si="101"/>
        <v>0</v>
      </c>
      <c r="J1083" s="19">
        <f t="shared" ca="1" si="102"/>
        <v>35</v>
      </c>
      <c r="K1083" s="17" t="s">
        <v>40</v>
      </c>
      <c r="L1083" s="20">
        <v>41</v>
      </c>
      <c r="M1083" s="26" t="s">
        <v>40</v>
      </c>
      <c r="N1083">
        <v>230</v>
      </c>
    </row>
    <row r="1084" spans="1:14">
      <c r="A1084" s="25">
        <f t="shared" si="97"/>
        <v>255</v>
      </c>
      <c r="B1084" s="67" t="s">
        <v>7</v>
      </c>
      <c r="C1084" s="67" t="s">
        <v>120</v>
      </c>
      <c r="D1084" s="67" t="s">
        <v>421</v>
      </c>
      <c r="E1084" s="22">
        <f t="shared" ca="1" si="98"/>
        <v>40951</v>
      </c>
      <c r="F1084" s="11">
        <f>DATE(2004,8,25)</f>
        <v>38224</v>
      </c>
      <c r="G1084" s="12">
        <f t="shared" ca="1" si="99"/>
        <v>8</v>
      </c>
      <c r="H1084" s="12">
        <f t="shared" ca="1" si="100"/>
        <v>-6</v>
      </c>
      <c r="I1084" s="13">
        <f t="shared" ca="1" si="101"/>
        <v>-13</v>
      </c>
      <c r="J1084" s="14">
        <f t="shared" ca="1" si="102"/>
        <v>7</v>
      </c>
      <c r="K1084" s="12" t="s">
        <v>40</v>
      </c>
      <c r="L1084" s="15">
        <v>41</v>
      </c>
      <c r="M1084" s="25" t="s">
        <v>44</v>
      </c>
      <c r="N1084">
        <v>231</v>
      </c>
    </row>
    <row r="1085" spans="1:14">
      <c r="A1085" s="25">
        <f t="shared" si="97"/>
        <v>256</v>
      </c>
      <c r="B1085" s="67" t="s">
        <v>7</v>
      </c>
      <c r="C1085" s="67" t="s">
        <v>305</v>
      </c>
      <c r="D1085" s="67" t="s">
        <v>423</v>
      </c>
      <c r="E1085" s="22">
        <f t="shared" ca="1" si="98"/>
        <v>40951</v>
      </c>
      <c r="F1085" s="11">
        <f>DATE(83,3,18)</f>
        <v>30393</v>
      </c>
      <c r="G1085" s="12">
        <f t="shared" ca="1" si="99"/>
        <v>29</v>
      </c>
      <c r="H1085" s="12">
        <f t="shared" ca="1" si="100"/>
        <v>-1</v>
      </c>
      <c r="I1085" s="13">
        <f t="shared" ca="1" si="101"/>
        <v>-6</v>
      </c>
      <c r="J1085" s="14">
        <f t="shared" ca="1" si="102"/>
        <v>28</v>
      </c>
      <c r="K1085" s="12" t="s">
        <v>40</v>
      </c>
      <c r="L1085" s="15">
        <v>41</v>
      </c>
      <c r="M1085" s="25" t="s">
        <v>44</v>
      </c>
      <c r="N1085">
        <v>231</v>
      </c>
    </row>
    <row r="1086" spans="1:14">
      <c r="A1086" s="25">
        <f t="shared" si="97"/>
        <v>257</v>
      </c>
      <c r="B1086" s="67" t="s">
        <v>7</v>
      </c>
      <c r="C1086" s="67" t="s">
        <v>424</v>
      </c>
      <c r="D1086" s="67" t="s">
        <v>425</v>
      </c>
      <c r="E1086" s="22">
        <f t="shared" ca="1" si="98"/>
        <v>40951</v>
      </c>
      <c r="F1086" s="11">
        <f>DATE(52,5,24)</f>
        <v>19138</v>
      </c>
      <c r="G1086" s="12">
        <f t="shared" ca="1" si="99"/>
        <v>60</v>
      </c>
      <c r="H1086" s="12">
        <f t="shared" ca="1" si="100"/>
        <v>-3</v>
      </c>
      <c r="I1086" s="13">
        <f t="shared" ca="1" si="101"/>
        <v>-12</v>
      </c>
      <c r="J1086" s="14">
        <f t="shared" ca="1" si="102"/>
        <v>59</v>
      </c>
      <c r="K1086" s="12" t="s">
        <v>40</v>
      </c>
      <c r="L1086" s="15">
        <v>41</v>
      </c>
      <c r="M1086" s="25" t="s">
        <v>40</v>
      </c>
      <c r="N1086">
        <v>231</v>
      </c>
    </row>
    <row r="1087" spans="1:14" ht="15.75" thickBot="1">
      <c r="A1087" s="26">
        <f t="shared" ref="A1087:A1129" si="103">A1086+1</f>
        <v>258</v>
      </c>
      <c r="B1087" s="67" t="s">
        <v>7</v>
      </c>
      <c r="C1087" s="68" t="s">
        <v>427</v>
      </c>
      <c r="D1087" s="68" t="s">
        <v>424</v>
      </c>
      <c r="E1087" s="23">
        <f t="shared" ca="1" si="98"/>
        <v>40951</v>
      </c>
      <c r="F1087" s="16">
        <f>DATE(81,1,6)</f>
        <v>29592</v>
      </c>
      <c r="G1087" s="17">
        <f t="shared" ca="1" si="99"/>
        <v>31</v>
      </c>
      <c r="H1087" s="17">
        <f t="shared" ca="1" si="100"/>
        <v>1</v>
      </c>
      <c r="I1087" s="18">
        <f t="shared" ca="1" si="101"/>
        <v>6</v>
      </c>
      <c r="J1087" s="19">
        <f t="shared" ca="1" si="102"/>
        <v>31</v>
      </c>
      <c r="K1087" s="17" t="s">
        <v>40</v>
      </c>
      <c r="L1087" s="20">
        <v>41</v>
      </c>
      <c r="M1087" s="26" t="s">
        <v>44</v>
      </c>
      <c r="N1087">
        <v>231</v>
      </c>
    </row>
    <row r="1088" spans="1:14">
      <c r="A1088" s="25">
        <f t="shared" si="103"/>
        <v>259</v>
      </c>
      <c r="B1088" s="67" t="s">
        <v>7</v>
      </c>
      <c r="C1088" s="67" t="s">
        <v>225</v>
      </c>
      <c r="D1088" s="67" t="s">
        <v>424</v>
      </c>
      <c r="E1088" s="22">
        <f t="shared" ca="1" si="98"/>
        <v>40951</v>
      </c>
      <c r="F1088" s="11">
        <f>DATE(85,8,21)</f>
        <v>31280</v>
      </c>
      <c r="G1088" s="12">
        <f t="shared" ca="1" si="99"/>
        <v>27</v>
      </c>
      <c r="H1088" s="12">
        <f t="shared" ca="1" si="100"/>
        <v>-6</v>
      </c>
      <c r="I1088" s="13">
        <f t="shared" ca="1" si="101"/>
        <v>-9</v>
      </c>
      <c r="J1088" s="14">
        <f t="shared" ca="1" si="102"/>
        <v>26</v>
      </c>
      <c r="K1088" s="12" t="s">
        <v>40</v>
      </c>
      <c r="L1088" s="15">
        <v>41</v>
      </c>
      <c r="M1088" s="25" t="s">
        <v>44</v>
      </c>
      <c r="N1088">
        <v>232</v>
      </c>
    </row>
    <row r="1089" spans="1:14">
      <c r="A1089" s="25">
        <f t="shared" si="103"/>
        <v>260</v>
      </c>
      <c r="B1089" s="67" t="s">
        <v>7</v>
      </c>
      <c r="C1089" s="67" t="s">
        <v>181</v>
      </c>
      <c r="D1089" s="67" t="s">
        <v>94</v>
      </c>
      <c r="E1089" s="22">
        <f t="shared" ref="E1089:E1152" ca="1" si="104">TODAY()</f>
        <v>40951</v>
      </c>
      <c r="F1089" s="11">
        <f>DATE(51,10,3)</f>
        <v>18904</v>
      </c>
      <c r="G1089" s="12">
        <f t="shared" ref="G1089:G1152" ca="1" si="105">YEAR(E1089)-YEAR(F1089)</f>
        <v>61</v>
      </c>
      <c r="H1089" s="12">
        <f t="shared" ref="H1089:H1152" ca="1" si="106">MONTH(E1089)-MONTH(F1089)</f>
        <v>-8</v>
      </c>
      <c r="I1089" s="13">
        <f t="shared" ref="I1089:I1152" ca="1" si="107">DAY(E1089)-DAY(F1089)</f>
        <v>9</v>
      </c>
      <c r="J1089" s="14">
        <f t="shared" ref="J1089:J1152" ca="1" si="108">IF(H1089&lt;0,G1089-1,IF(H1089&gt;0,G1089,IF(I1089&lt;0,G1089-1,G1089)))</f>
        <v>60</v>
      </c>
      <c r="K1089" s="12" t="s">
        <v>40</v>
      </c>
      <c r="L1089" s="15">
        <v>42</v>
      </c>
      <c r="M1089" s="25" t="s">
        <v>40</v>
      </c>
      <c r="N1089">
        <v>232</v>
      </c>
    </row>
    <row r="1090" spans="1:14">
      <c r="A1090" s="25">
        <f t="shared" si="103"/>
        <v>261</v>
      </c>
      <c r="B1090" s="67" t="s">
        <v>7</v>
      </c>
      <c r="C1090" s="67" t="s">
        <v>332</v>
      </c>
      <c r="D1090" s="67" t="s">
        <v>429</v>
      </c>
      <c r="E1090" s="22">
        <f t="shared" ca="1" si="104"/>
        <v>40951</v>
      </c>
      <c r="F1090" s="11">
        <f>DATE(39,7,1)</f>
        <v>14427</v>
      </c>
      <c r="G1090" s="12">
        <f t="shared" ca="1" si="105"/>
        <v>73</v>
      </c>
      <c r="H1090" s="12">
        <f t="shared" ca="1" si="106"/>
        <v>-5</v>
      </c>
      <c r="I1090" s="13">
        <f t="shared" ca="1" si="107"/>
        <v>11</v>
      </c>
      <c r="J1090" s="14">
        <f t="shared" ca="1" si="108"/>
        <v>72</v>
      </c>
      <c r="K1090" s="12" t="s">
        <v>40</v>
      </c>
      <c r="L1090" s="15">
        <v>42</v>
      </c>
      <c r="M1090" s="25" t="s">
        <v>40</v>
      </c>
      <c r="N1090">
        <v>232</v>
      </c>
    </row>
    <row r="1091" spans="1:14">
      <c r="A1091" s="25">
        <f t="shared" si="103"/>
        <v>262</v>
      </c>
      <c r="B1091" s="67" t="s">
        <v>7</v>
      </c>
      <c r="C1091" s="67" t="s">
        <v>251</v>
      </c>
      <c r="D1091" s="67" t="s">
        <v>332</v>
      </c>
      <c r="E1091" s="22">
        <f t="shared" ca="1" si="104"/>
        <v>40951</v>
      </c>
      <c r="F1091" s="11">
        <f>DATE(79,6,4)</f>
        <v>29010</v>
      </c>
      <c r="G1091" s="12">
        <f t="shared" ca="1" si="105"/>
        <v>33</v>
      </c>
      <c r="H1091" s="12">
        <f t="shared" ca="1" si="106"/>
        <v>-4</v>
      </c>
      <c r="I1091" s="13">
        <f t="shared" ca="1" si="107"/>
        <v>8</v>
      </c>
      <c r="J1091" s="14">
        <f t="shared" ca="1" si="108"/>
        <v>32</v>
      </c>
      <c r="K1091" s="12" t="s">
        <v>40</v>
      </c>
      <c r="L1091" s="15">
        <v>42</v>
      </c>
      <c r="M1091" s="25" t="s">
        <v>44</v>
      </c>
      <c r="N1091">
        <v>232</v>
      </c>
    </row>
    <row r="1092" spans="1:14" ht="15.75" thickBot="1">
      <c r="A1092" s="26">
        <f t="shared" si="103"/>
        <v>263</v>
      </c>
      <c r="B1092" s="67" t="s">
        <v>7</v>
      </c>
      <c r="C1092" s="68" t="s">
        <v>432</v>
      </c>
      <c r="D1092" s="68" t="s">
        <v>332</v>
      </c>
      <c r="E1092" s="23">
        <f t="shared" ca="1" si="104"/>
        <v>40951</v>
      </c>
      <c r="F1092" s="16">
        <f>DATE(68,3,31)</f>
        <v>24928</v>
      </c>
      <c r="G1092" s="17">
        <f t="shared" ca="1" si="105"/>
        <v>44</v>
      </c>
      <c r="H1092" s="17">
        <f t="shared" ca="1" si="106"/>
        <v>-1</v>
      </c>
      <c r="I1092" s="18">
        <f t="shared" ca="1" si="107"/>
        <v>-19</v>
      </c>
      <c r="J1092" s="19">
        <f t="shared" ca="1" si="108"/>
        <v>43</v>
      </c>
      <c r="K1092" s="17" t="s">
        <v>40</v>
      </c>
      <c r="L1092" s="20">
        <v>42</v>
      </c>
      <c r="M1092" s="26" t="s">
        <v>40</v>
      </c>
      <c r="N1092">
        <v>232</v>
      </c>
    </row>
    <row r="1093" spans="1:14">
      <c r="A1093" s="24">
        <f t="shared" si="103"/>
        <v>264</v>
      </c>
      <c r="B1093" s="66" t="s">
        <v>7</v>
      </c>
      <c r="C1093" s="66" t="s">
        <v>434</v>
      </c>
      <c r="D1093" s="66" t="s">
        <v>435</v>
      </c>
      <c r="E1093" s="21">
        <f t="shared" ca="1" si="104"/>
        <v>40951</v>
      </c>
      <c r="F1093" s="6">
        <f>DATE(60,2,2)</f>
        <v>21948</v>
      </c>
      <c r="G1093" s="7">
        <f t="shared" ca="1" si="105"/>
        <v>52</v>
      </c>
      <c r="H1093" s="7">
        <f t="shared" ca="1" si="106"/>
        <v>0</v>
      </c>
      <c r="I1093" s="8">
        <f t="shared" ca="1" si="107"/>
        <v>10</v>
      </c>
      <c r="J1093" s="9">
        <f t="shared" ca="1" si="108"/>
        <v>52</v>
      </c>
      <c r="K1093" s="7" t="s">
        <v>40</v>
      </c>
      <c r="L1093" s="10">
        <v>42</v>
      </c>
      <c r="M1093" s="24" t="s">
        <v>40</v>
      </c>
      <c r="N1093">
        <v>233</v>
      </c>
    </row>
    <row r="1094" spans="1:14">
      <c r="A1094" s="25">
        <f t="shared" si="103"/>
        <v>265</v>
      </c>
      <c r="B1094" s="67" t="s">
        <v>7</v>
      </c>
      <c r="C1094" s="67" t="s">
        <v>437</v>
      </c>
      <c r="D1094" s="67" t="s">
        <v>436</v>
      </c>
      <c r="E1094" s="22">
        <f t="shared" ca="1" si="104"/>
        <v>40951</v>
      </c>
      <c r="F1094" s="11">
        <f>DATE(97,10,9)</f>
        <v>35712</v>
      </c>
      <c r="G1094" s="12">
        <f t="shared" ca="1" si="105"/>
        <v>15</v>
      </c>
      <c r="H1094" s="12">
        <f t="shared" ca="1" si="106"/>
        <v>-8</v>
      </c>
      <c r="I1094" s="13">
        <f t="shared" ca="1" si="107"/>
        <v>3</v>
      </c>
      <c r="J1094" s="14">
        <f t="shared" ca="1" si="108"/>
        <v>14</v>
      </c>
      <c r="K1094" s="12" t="s">
        <v>40</v>
      </c>
      <c r="L1094" s="15">
        <v>42</v>
      </c>
      <c r="M1094" s="25" t="s">
        <v>44</v>
      </c>
      <c r="N1094">
        <v>233</v>
      </c>
    </row>
    <row r="1095" spans="1:14">
      <c r="A1095" s="25">
        <f t="shared" si="103"/>
        <v>266</v>
      </c>
      <c r="B1095" s="67" t="s">
        <v>7</v>
      </c>
      <c r="C1095" s="67" t="s">
        <v>439</v>
      </c>
      <c r="D1095" s="67" t="s">
        <v>438</v>
      </c>
      <c r="E1095" s="22">
        <f t="shared" ca="1" si="104"/>
        <v>40951</v>
      </c>
      <c r="F1095" s="11">
        <f>DATE(57,6,7)</f>
        <v>20978</v>
      </c>
      <c r="G1095" s="12">
        <f t="shared" ca="1" si="105"/>
        <v>55</v>
      </c>
      <c r="H1095" s="12">
        <f t="shared" ca="1" si="106"/>
        <v>-4</v>
      </c>
      <c r="I1095" s="13">
        <f t="shared" ca="1" si="107"/>
        <v>5</v>
      </c>
      <c r="J1095" s="14">
        <f t="shared" ca="1" si="108"/>
        <v>54</v>
      </c>
      <c r="K1095" s="12" t="s">
        <v>40</v>
      </c>
      <c r="L1095" s="15">
        <v>43</v>
      </c>
      <c r="M1095" s="25" t="s">
        <v>40</v>
      </c>
      <c r="N1095">
        <v>233</v>
      </c>
    </row>
    <row r="1096" spans="1:14">
      <c r="A1096" s="25">
        <f t="shared" si="103"/>
        <v>267</v>
      </c>
      <c r="B1096" s="67" t="s">
        <v>7</v>
      </c>
      <c r="C1096" s="67" t="s">
        <v>410</v>
      </c>
      <c r="D1096" s="67" t="s">
        <v>438</v>
      </c>
      <c r="E1096" s="22">
        <f t="shared" ca="1" si="104"/>
        <v>40951</v>
      </c>
      <c r="F1096" s="11">
        <f>DATE(65,9,8)</f>
        <v>23993</v>
      </c>
      <c r="G1096" s="12">
        <f t="shared" ca="1" si="105"/>
        <v>47</v>
      </c>
      <c r="H1096" s="12">
        <f t="shared" ca="1" si="106"/>
        <v>-7</v>
      </c>
      <c r="I1096" s="13">
        <f t="shared" ca="1" si="107"/>
        <v>4</v>
      </c>
      <c r="J1096" s="14">
        <f t="shared" ca="1" si="108"/>
        <v>46</v>
      </c>
      <c r="K1096" s="12" t="s">
        <v>40</v>
      </c>
      <c r="L1096" s="15">
        <v>43</v>
      </c>
      <c r="M1096" s="25" t="s">
        <v>40</v>
      </c>
      <c r="N1096">
        <v>233</v>
      </c>
    </row>
    <row r="1097" spans="1:14">
      <c r="A1097" s="25">
        <f t="shared" si="103"/>
        <v>268</v>
      </c>
      <c r="B1097" s="67" t="s">
        <v>7</v>
      </c>
      <c r="C1097" s="67" t="s">
        <v>365</v>
      </c>
      <c r="D1097" s="67" t="s">
        <v>410</v>
      </c>
      <c r="E1097" s="22">
        <f t="shared" ca="1" si="104"/>
        <v>40951</v>
      </c>
      <c r="F1097" s="11">
        <f>DATE(96,6,6)</f>
        <v>35222</v>
      </c>
      <c r="G1097" s="12">
        <f t="shared" ca="1" si="105"/>
        <v>16</v>
      </c>
      <c r="H1097" s="12">
        <f t="shared" ca="1" si="106"/>
        <v>-4</v>
      </c>
      <c r="I1097" s="13">
        <f t="shared" ca="1" si="107"/>
        <v>6</v>
      </c>
      <c r="J1097" s="14">
        <f t="shared" ca="1" si="108"/>
        <v>15</v>
      </c>
      <c r="K1097" s="12" t="s">
        <v>40</v>
      </c>
      <c r="L1097" s="15">
        <v>43</v>
      </c>
      <c r="M1097" s="25" t="s">
        <v>44</v>
      </c>
      <c r="N1097">
        <v>233</v>
      </c>
    </row>
    <row r="1098" spans="1:14">
      <c r="A1098" s="25">
        <f t="shared" si="103"/>
        <v>269</v>
      </c>
      <c r="B1098" s="67" t="s">
        <v>7</v>
      </c>
      <c r="C1098" s="67" t="s">
        <v>230</v>
      </c>
      <c r="D1098" s="67" t="s">
        <v>425</v>
      </c>
      <c r="E1098" s="22">
        <f t="shared" ca="1" si="104"/>
        <v>40951</v>
      </c>
      <c r="F1098" s="32"/>
      <c r="G1098" s="12">
        <f t="shared" ca="1" si="105"/>
        <v>112</v>
      </c>
      <c r="H1098" s="12">
        <f t="shared" ca="1" si="106"/>
        <v>1</v>
      </c>
      <c r="I1098" s="13">
        <f t="shared" ca="1" si="107"/>
        <v>12</v>
      </c>
      <c r="J1098" s="14">
        <f t="shared" ca="1" si="108"/>
        <v>112</v>
      </c>
      <c r="K1098" s="12" t="s">
        <v>40</v>
      </c>
      <c r="L1098" s="15">
        <v>43</v>
      </c>
      <c r="M1098" s="25" t="s">
        <v>40</v>
      </c>
      <c r="N1098">
        <v>233</v>
      </c>
    </row>
    <row r="1099" spans="1:14">
      <c r="A1099" s="25">
        <f t="shared" si="103"/>
        <v>270</v>
      </c>
      <c r="B1099" s="67" t="s">
        <v>7</v>
      </c>
      <c r="C1099" s="67" t="s">
        <v>444</v>
      </c>
      <c r="D1099" s="67" t="s">
        <v>443</v>
      </c>
      <c r="E1099" s="22">
        <f t="shared" ca="1" si="104"/>
        <v>40951</v>
      </c>
      <c r="F1099" s="11">
        <f>DATE(72,10,26)</f>
        <v>26598</v>
      </c>
      <c r="G1099" s="12">
        <f t="shared" ca="1" si="105"/>
        <v>40</v>
      </c>
      <c r="H1099" s="12">
        <f t="shared" ca="1" si="106"/>
        <v>-8</v>
      </c>
      <c r="I1099" s="13">
        <f t="shared" ca="1" si="107"/>
        <v>-14</v>
      </c>
      <c r="J1099" s="14">
        <f t="shared" ca="1" si="108"/>
        <v>39</v>
      </c>
      <c r="K1099" s="12" t="s">
        <v>40</v>
      </c>
      <c r="L1099" s="15">
        <v>43</v>
      </c>
      <c r="M1099" s="25" t="s">
        <v>40</v>
      </c>
      <c r="N1099">
        <v>233</v>
      </c>
    </row>
    <row r="1100" spans="1:14">
      <c r="A1100" s="25">
        <f t="shared" si="103"/>
        <v>271</v>
      </c>
      <c r="B1100" s="67" t="s">
        <v>7</v>
      </c>
      <c r="C1100" s="67" t="s">
        <v>445</v>
      </c>
      <c r="D1100" s="67" t="s">
        <v>444</v>
      </c>
      <c r="E1100" s="22">
        <f t="shared" ca="1" si="104"/>
        <v>40951</v>
      </c>
      <c r="F1100" s="11">
        <f>DATE(2004,12,16)</f>
        <v>38337</v>
      </c>
      <c r="G1100" s="12">
        <f t="shared" ca="1" si="105"/>
        <v>8</v>
      </c>
      <c r="H1100" s="12">
        <f t="shared" ca="1" si="106"/>
        <v>-10</v>
      </c>
      <c r="I1100" s="13">
        <f t="shared" ca="1" si="107"/>
        <v>-4</v>
      </c>
      <c r="J1100" s="14">
        <f t="shared" ca="1" si="108"/>
        <v>7</v>
      </c>
      <c r="K1100" s="12" t="s">
        <v>40</v>
      </c>
      <c r="L1100" s="15">
        <v>43</v>
      </c>
      <c r="M1100" s="25" t="s">
        <v>44</v>
      </c>
      <c r="N1100">
        <v>233</v>
      </c>
    </row>
    <row r="1101" spans="1:14">
      <c r="A1101" s="25">
        <f t="shared" si="103"/>
        <v>272</v>
      </c>
      <c r="B1101" s="67" t="s">
        <v>7</v>
      </c>
      <c r="C1101" s="67" t="s">
        <v>446</v>
      </c>
      <c r="D1101" s="67" t="s">
        <v>443</v>
      </c>
      <c r="E1101" s="22">
        <f t="shared" ca="1" si="104"/>
        <v>40951</v>
      </c>
      <c r="F1101" s="11">
        <f>DATE(75,7,6)</f>
        <v>27581</v>
      </c>
      <c r="G1101" s="12">
        <f t="shared" ca="1" si="105"/>
        <v>37</v>
      </c>
      <c r="H1101" s="12">
        <f t="shared" ca="1" si="106"/>
        <v>-5</v>
      </c>
      <c r="I1101" s="13">
        <f t="shared" ca="1" si="107"/>
        <v>6</v>
      </c>
      <c r="J1101" s="14">
        <f t="shared" ca="1" si="108"/>
        <v>36</v>
      </c>
      <c r="K1101" s="12" t="s">
        <v>40</v>
      </c>
      <c r="L1101" s="15">
        <v>43</v>
      </c>
      <c r="M1101" s="25" t="s">
        <v>40</v>
      </c>
      <c r="N1101">
        <v>233</v>
      </c>
    </row>
    <row r="1102" spans="1:14">
      <c r="A1102" s="25">
        <f t="shared" si="103"/>
        <v>273</v>
      </c>
      <c r="B1102" s="67" t="s">
        <v>7</v>
      </c>
      <c r="C1102" s="67" t="s">
        <v>305</v>
      </c>
      <c r="D1102" s="67" t="s">
        <v>443</v>
      </c>
      <c r="E1102" s="22">
        <f t="shared" ca="1" si="104"/>
        <v>40951</v>
      </c>
      <c r="F1102" s="11">
        <f>DATE(78,6,20)</f>
        <v>28661</v>
      </c>
      <c r="G1102" s="12">
        <f t="shared" ca="1" si="105"/>
        <v>34</v>
      </c>
      <c r="H1102" s="12">
        <f t="shared" ca="1" si="106"/>
        <v>-4</v>
      </c>
      <c r="I1102" s="13">
        <f t="shared" ca="1" si="107"/>
        <v>-8</v>
      </c>
      <c r="J1102" s="14">
        <f t="shared" ca="1" si="108"/>
        <v>33</v>
      </c>
      <c r="K1102" s="12" t="s">
        <v>40</v>
      </c>
      <c r="L1102" s="15">
        <v>43</v>
      </c>
      <c r="M1102" s="25" t="s">
        <v>44</v>
      </c>
      <c r="N1102">
        <v>233</v>
      </c>
    </row>
    <row r="1103" spans="1:14">
      <c r="A1103" s="25">
        <f t="shared" si="103"/>
        <v>274</v>
      </c>
      <c r="B1103" s="67" t="s">
        <v>7</v>
      </c>
      <c r="C1103" s="67" t="s">
        <v>448</v>
      </c>
      <c r="D1103" s="67" t="s">
        <v>443</v>
      </c>
      <c r="E1103" s="22">
        <f t="shared" ca="1" si="104"/>
        <v>40951</v>
      </c>
      <c r="F1103" s="11">
        <f>DATE(80,2,20)</f>
        <v>29271</v>
      </c>
      <c r="G1103" s="12">
        <f t="shared" ca="1" si="105"/>
        <v>32</v>
      </c>
      <c r="H1103" s="12">
        <f t="shared" ca="1" si="106"/>
        <v>0</v>
      </c>
      <c r="I1103" s="13">
        <f t="shared" ca="1" si="107"/>
        <v>-8</v>
      </c>
      <c r="J1103" s="14">
        <f t="shared" ca="1" si="108"/>
        <v>31</v>
      </c>
      <c r="K1103" s="12" t="s">
        <v>40</v>
      </c>
      <c r="L1103" s="15">
        <v>43</v>
      </c>
      <c r="M1103" s="25" t="s">
        <v>44</v>
      </c>
      <c r="N1103">
        <v>233</v>
      </c>
    </row>
    <row r="1104" spans="1:14" ht="15.75" thickBot="1">
      <c r="A1104" s="26">
        <f t="shared" si="103"/>
        <v>275</v>
      </c>
      <c r="B1104" s="67" t="s">
        <v>7</v>
      </c>
      <c r="C1104" s="68" t="s">
        <v>449</v>
      </c>
      <c r="D1104" s="68" t="s">
        <v>450</v>
      </c>
      <c r="E1104" s="23">
        <f t="shared" ca="1" si="104"/>
        <v>40951</v>
      </c>
      <c r="F1104" s="16">
        <f>DATE(36,4,1)</f>
        <v>13241</v>
      </c>
      <c r="G1104" s="17">
        <f t="shared" ca="1" si="105"/>
        <v>76</v>
      </c>
      <c r="H1104" s="17">
        <f t="shared" ca="1" si="106"/>
        <v>-2</v>
      </c>
      <c r="I1104" s="18">
        <f t="shared" ca="1" si="107"/>
        <v>11</v>
      </c>
      <c r="J1104" s="19">
        <f t="shared" ca="1" si="108"/>
        <v>75</v>
      </c>
      <c r="K1104" s="17" t="s">
        <v>40</v>
      </c>
      <c r="L1104" s="20">
        <v>44</v>
      </c>
      <c r="M1104" s="26" t="s">
        <v>40</v>
      </c>
      <c r="N1104">
        <v>233</v>
      </c>
    </row>
    <row r="1105" spans="1:14">
      <c r="A1105" s="24">
        <f t="shared" si="103"/>
        <v>276</v>
      </c>
      <c r="B1105" s="66" t="s">
        <v>7</v>
      </c>
      <c r="C1105" s="66" t="s">
        <v>452</v>
      </c>
      <c r="D1105" s="66" t="s">
        <v>449</v>
      </c>
      <c r="E1105" s="21">
        <f t="shared" ca="1" si="104"/>
        <v>40951</v>
      </c>
      <c r="F1105" s="6">
        <f>DATE(68,5,31)</f>
        <v>24989</v>
      </c>
      <c r="G1105" s="7">
        <f t="shared" ca="1" si="105"/>
        <v>44</v>
      </c>
      <c r="H1105" s="7">
        <f t="shared" ca="1" si="106"/>
        <v>-3</v>
      </c>
      <c r="I1105" s="8">
        <f t="shared" ca="1" si="107"/>
        <v>-19</v>
      </c>
      <c r="J1105" s="9">
        <f t="shared" ca="1" si="108"/>
        <v>43</v>
      </c>
      <c r="K1105" s="7" t="s">
        <v>40</v>
      </c>
      <c r="L1105" s="10">
        <v>44</v>
      </c>
      <c r="M1105" s="24" t="s">
        <v>40</v>
      </c>
      <c r="N1105">
        <v>234</v>
      </c>
    </row>
    <row r="1106" spans="1:14" ht="15.75" thickBot="1">
      <c r="A1106" s="26">
        <f t="shared" si="103"/>
        <v>277</v>
      </c>
      <c r="B1106" s="67" t="s">
        <v>7</v>
      </c>
      <c r="C1106" s="68" t="s">
        <v>277</v>
      </c>
      <c r="D1106" s="68" t="s">
        <v>457</v>
      </c>
      <c r="E1106" s="23">
        <f t="shared" ca="1" si="104"/>
        <v>40951</v>
      </c>
      <c r="F1106" s="16">
        <f>DATE(57,7,10)</f>
        <v>21011</v>
      </c>
      <c r="G1106" s="17">
        <f t="shared" ca="1" si="105"/>
        <v>55</v>
      </c>
      <c r="H1106" s="17">
        <f t="shared" ca="1" si="106"/>
        <v>-5</v>
      </c>
      <c r="I1106" s="18">
        <f t="shared" ca="1" si="107"/>
        <v>2</v>
      </c>
      <c r="J1106" s="19">
        <f t="shared" ca="1" si="108"/>
        <v>54</v>
      </c>
      <c r="K1106" s="17" t="s">
        <v>40</v>
      </c>
      <c r="L1106" s="20">
        <v>44</v>
      </c>
      <c r="M1106" s="26" t="s">
        <v>40</v>
      </c>
      <c r="N1106">
        <v>234</v>
      </c>
    </row>
    <row r="1107" spans="1:14">
      <c r="A1107" s="24">
        <f t="shared" si="103"/>
        <v>278</v>
      </c>
      <c r="B1107" s="66" t="s">
        <v>7</v>
      </c>
      <c r="C1107" s="66" t="s">
        <v>169</v>
      </c>
      <c r="D1107" s="66" t="s">
        <v>277</v>
      </c>
      <c r="E1107" s="21">
        <f t="shared" ca="1" si="104"/>
        <v>40951</v>
      </c>
      <c r="F1107" s="6">
        <f>DATE(85,3,7)</f>
        <v>31113</v>
      </c>
      <c r="G1107" s="7">
        <f t="shared" ca="1" si="105"/>
        <v>27</v>
      </c>
      <c r="H1107" s="7">
        <f t="shared" ca="1" si="106"/>
        <v>-1</v>
      </c>
      <c r="I1107" s="8">
        <f t="shared" ca="1" si="107"/>
        <v>5</v>
      </c>
      <c r="J1107" s="9">
        <f t="shared" ca="1" si="108"/>
        <v>26</v>
      </c>
      <c r="K1107" s="7" t="s">
        <v>40</v>
      </c>
      <c r="L1107" s="10">
        <v>44</v>
      </c>
      <c r="M1107" s="24" t="s">
        <v>44</v>
      </c>
      <c r="N1107">
        <v>235</v>
      </c>
    </row>
    <row r="1108" spans="1:14">
      <c r="A1108" s="25">
        <f t="shared" si="103"/>
        <v>279</v>
      </c>
      <c r="B1108" s="67" t="s">
        <v>7</v>
      </c>
      <c r="C1108" s="67" t="s">
        <v>459</v>
      </c>
      <c r="D1108" s="67" t="s">
        <v>184</v>
      </c>
      <c r="E1108" s="22">
        <f t="shared" ca="1" si="104"/>
        <v>40951</v>
      </c>
      <c r="F1108" s="11">
        <f>DATE(82,9,25)</f>
        <v>30219</v>
      </c>
      <c r="G1108" s="12">
        <f t="shared" ca="1" si="105"/>
        <v>30</v>
      </c>
      <c r="H1108" s="12">
        <f t="shared" ca="1" si="106"/>
        <v>-7</v>
      </c>
      <c r="I1108" s="13">
        <f t="shared" ca="1" si="107"/>
        <v>-13</v>
      </c>
      <c r="J1108" s="14">
        <f t="shared" ca="1" si="108"/>
        <v>29</v>
      </c>
      <c r="K1108" s="12" t="s">
        <v>40</v>
      </c>
      <c r="L1108" s="15">
        <v>44</v>
      </c>
      <c r="M1108" s="25" t="s">
        <v>44</v>
      </c>
      <c r="N1108">
        <v>235</v>
      </c>
    </row>
    <row r="1109" spans="1:14">
      <c r="A1109" s="25">
        <f t="shared" si="103"/>
        <v>280</v>
      </c>
      <c r="B1109" s="67" t="s">
        <v>7</v>
      </c>
      <c r="C1109" s="67" t="s">
        <v>208</v>
      </c>
      <c r="D1109" s="67" t="s">
        <v>134</v>
      </c>
      <c r="E1109" s="22">
        <f t="shared" ca="1" si="104"/>
        <v>40951</v>
      </c>
      <c r="F1109" s="11">
        <f>DATE(67,3,27)</f>
        <v>24558</v>
      </c>
      <c r="G1109" s="12">
        <f t="shared" ca="1" si="105"/>
        <v>45</v>
      </c>
      <c r="H1109" s="12">
        <f t="shared" ca="1" si="106"/>
        <v>-1</v>
      </c>
      <c r="I1109" s="13">
        <f t="shared" ca="1" si="107"/>
        <v>-15</v>
      </c>
      <c r="J1109" s="14">
        <f t="shared" ca="1" si="108"/>
        <v>44</v>
      </c>
      <c r="K1109" s="12" t="s">
        <v>40</v>
      </c>
      <c r="L1109" s="15">
        <v>45</v>
      </c>
      <c r="M1109" s="25" t="s">
        <v>40</v>
      </c>
      <c r="N1109">
        <v>235</v>
      </c>
    </row>
    <row r="1110" spans="1:14" ht="15.75" thickBot="1">
      <c r="A1110" s="26">
        <f t="shared" si="103"/>
        <v>281</v>
      </c>
      <c r="B1110" s="67" t="s">
        <v>7</v>
      </c>
      <c r="C1110" s="68" t="s">
        <v>460</v>
      </c>
      <c r="D1110" s="68" t="s">
        <v>208</v>
      </c>
      <c r="E1110" s="23">
        <f t="shared" ca="1" si="104"/>
        <v>40951</v>
      </c>
      <c r="F1110" s="16">
        <f>DATE(97,1,29)</f>
        <v>35459</v>
      </c>
      <c r="G1110" s="17">
        <f t="shared" ca="1" si="105"/>
        <v>15</v>
      </c>
      <c r="H1110" s="17">
        <f t="shared" ca="1" si="106"/>
        <v>1</v>
      </c>
      <c r="I1110" s="18">
        <f t="shared" ca="1" si="107"/>
        <v>-17</v>
      </c>
      <c r="J1110" s="19">
        <f t="shared" ca="1" si="108"/>
        <v>15</v>
      </c>
      <c r="K1110" s="17" t="s">
        <v>40</v>
      </c>
      <c r="L1110" s="20">
        <v>45</v>
      </c>
      <c r="M1110" s="26" t="s">
        <v>40</v>
      </c>
      <c r="N1110">
        <v>235</v>
      </c>
    </row>
    <row r="1111" spans="1:14">
      <c r="A1111" s="24">
        <f t="shared" si="103"/>
        <v>282</v>
      </c>
      <c r="B1111" s="66" t="s">
        <v>7</v>
      </c>
      <c r="C1111" s="66" t="s">
        <v>49</v>
      </c>
      <c r="D1111" s="66" t="s">
        <v>443</v>
      </c>
      <c r="E1111" s="21">
        <f t="shared" ca="1" si="104"/>
        <v>40951</v>
      </c>
      <c r="F1111" s="6">
        <f>DATE(56,10,28)</f>
        <v>20756</v>
      </c>
      <c r="G1111" s="7">
        <f t="shared" ca="1" si="105"/>
        <v>56</v>
      </c>
      <c r="H1111" s="7">
        <f t="shared" ca="1" si="106"/>
        <v>-8</v>
      </c>
      <c r="I1111" s="8">
        <f t="shared" ca="1" si="107"/>
        <v>-16</v>
      </c>
      <c r="J1111" s="9">
        <f t="shared" ca="1" si="108"/>
        <v>55</v>
      </c>
      <c r="K1111" s="7" t="s">
        <v>40</v>
      </c>
      <c r="L1111" s="10">
        <v>45</v>
      </c>
      <c r="M1111" s="24" t="s">
        <v>40</v>
      </c>
      <c r="N1111">
        <v>236</v>
      </c>
    </row>
    <row r="1112" spans="1:14">
      <c r="A1112" s="25">
        <f t="shared" si="103"/>
        <v>283</v>
      </c>
      <c r="B1112" s="67" t="s">
        <v>7</v>
      </c>
      <c r="C1112" s="67" t="s">
        <v>301</v>
      </c>
      <c r="D1112" s="67" t="s">
        <v>49</v>
      </c>
      <c r="E1112" s="22">
        <f t="shared" ca="1" si="104"/>
        <v>40951</v>
      </c>
      <c r="F1112" s="11">
        <f>DATE(83,3,11)</f>
        <v>30386</v>
      </c>
      <c r="G1112" s="12">
        <f t="shared" ca="1" si="105"/>
        <v>29</v>
      </c>
      <c r="H1112" s="12">
        <f t="shared" ca="1" si="106"/>
        <v>-1</v>
      </c>
      <c r="I1112" s="13">
        <f t="shared" ca="1" si="107"/>
        <v>1</v>
      </c>
      <c r="J1112" s="14">
        <f t="shared" ca="1" si="108"/>
        <v>28</v>
      </c>
      <c r="K1112" s="12" t="s">
        <v>40</v>
      </c>
      <c r="L1112" s="15">
        <v>45</v>
      </c>
      <c r="M1112" s="25" t="s">
        <v>44</v>
      </c>
      <c r="N1112">
        <v>236</v>
      </c>
    </row>
    <row r="1113" spans="1:14" ht="15.75" thickBot="1">
      <c r="A1113" s="26">
        <f t="shared" si="103"/>
        <v>284</v>
      </c>
      <c r="B1113" s="67" t="s">
        <v>7</v>
      </c>
      <c r="C1113" s="68" t="s">
        <v>463</v>
      </c>
      <c r="D1113" s="68" t="s">
        <v>443</v>
      </c>
      <c r="E1113" s="23">
        <f t="shared" ca="1" si="104"/>
        <v>40951</v>
      </c>
      <c r="F1113" s="16">
        <f>DATE(58,9,13)</f>
        <v>21441</v>
      </c>
      <c r="G1113" s="17">
        <f t="shared" ca="1" si="105"/>
        <v>54</v>
      </c>
      <c r="H1113" s="17">
        <f t="shared" ca="1" si="106"/>
        <v>-7</v>
      </c>
      <c r="I1113" s="18">
        <f t="shared" ca="1" si="107"/>
        <v>-1</v>
      </c>
      <c r="J1113" s="19">
        <f t="shared" ca="1" si="108"/>
        <v>53</v>
      </c>
      <c r="K1113" s="17" t="s">
        <v>40</v>
      </c>
      <c r="L1113" s="20">
        <v>45</v>
      </c>
      <c r="M1113" s="26" t="s">
        <v>40</v>
      </c>
      <c r="N1113">
        <v>236</v>
      </c>
    </row>
    <row r="1114" spans="1:14">
      <c r="A1114" s="25">
        <f t="shared" si="103"/>
        <v>285</v>
      </c>
      <c r="B1114" s="67" t="s">
        <v>7</v>
      </c>
      <c r="C1114" s="67" t="s">
        <v>183</v>
      </c>
      <c r="D1114" s="67" t="s">
        <v>463</v>
      </c>
      <c r="E1114" s="22">
        <f t="shared" ca="1" si="104"/>
        <v>40951</v>
      </c>
      <c r="F1114" s="11">
        <f>DATE(85,1,19)</f>
        <v>31066</v>
      </c>
      <c r="G1114" s="12">
        <f t="shared" ca="1" si="105"/>
        <v>27</v>
      </c>
      <c r="H1114" s="12">
        <f t="shared" ca="1" si="106"/>
        <v>1</v>
      </c>
      <c r="I1114" s="13">
        <f t="shared" ca="1" si="107"/>
        <v>-7</v>
      </c>
      <c r="J1114" s="14">
        <f t="shared" ca="1" si="108"/>
        <v>27</v>
      </c>
      <c r="K1114" s="12" t="s">
        <v>40</v>
      </c>
      <c r="L1114" s="15">
        <v>45</v>
      </c>
      <c r="M1114" s="25" t="s">
        <v>44</v>
      </c>
      <c r="N1114">
        <v>237</v>
      </c>
    </row>
    <row r="1115" spans="1:14">
      <c r="A1115" s="25">
        <f t="shared" si="103"/>
        <v>286</v>
      </c>
      <c r="B1115" s="67" t="s">
        <v>7</v>
      </c>
      <c r="C1115" s="67" t="s">
        <v>465</v>
      </c>
      <c r="D1115" s="67" t="s">
        <v>443</v>
      </c>
      <c r="E1115" s="22">
        <f t="shared" ca="1" si="104"/>
        <v>40951</v>
      </c>
      <c r="F1115" s="11">
        <f>DATE(62,10,6)</f>
        <v>22925</v>
      </c>
      <c r="G1115" s="12">
        <f t="shared" ca="1" si="105"/>
        <v>50</v>
      </c>
      <c r="H1115" s="12">
        <f t="shared" ca="1" si="106"/>
        <v>-8</v>
      </c>
      <c r="I1115" s="13">
        <f t="shared" ca="1" si="107"/>
        <v>6</v>
      </c>
      <c r="J1115" s="14">
        <f t="shared" ca="1" si="108"/>
        <v>49</v>
      </c>
      <c r="K1115" s="12" t="s">
        <v>40</v>
      </c>
      <c r="L1115" s="15">
        <v>45</v>
      </c>
      <c r="M1115" s="25" t="s">
        <v>40</v>
      </c>
      <c r="N1115">
        <v>237</v>
      </c>
    </row>
    <row r="1116" spans="1:14">
      <c r="A1116" s="25">
        <f t="shared" si="103"/>
        <v>287</v>
      </c>
      <c r="B1116" s="67" t="s">
        <v>7</v>
      </c>
      <c r="C1116" s="67" t="s">
        <v>339</v>
      </c>
      <c r="D1116" s="67" t="s">
        <v>465</v>
      </c>
      <c r="E1116" s="22">
        <f t="shared" ca="1" si="104"/>
        <v>40951</v>
      </c>
      <c r="F1116" s="11">
        <f>DATE(98,3,10)</f>
        <v>35864</v>
      </c>
      <c r="G1116" s="12">
        <f t="shared" ca="1" si="105"/>
        <v>14</v>
      </c>
      <c r="H1116" s="12">
        <f t="shared" ca="1" si="106"/>
        <v>-1</v>
      </c>
      <c r="I1116" s="13">
        <f t="shared" ca="1" si="107"/>
        <v>2</v>
      </c>
      <c r="J1116" s="14">
        <f t="shared" ca="1" si="108"/>
        <v>13</v>
      </c>
      <c r="K1116" s="12" t="s">
        <v>40</v>
      </c>
      <c r="L1116" s="15">
        <v>45</v>
      </c>
      <c r="M1116" s="25" t="s">
        <v>44</v>
      </c>
      <c r="N1116">
        <v>237</v>
      </c>
    </row>
    <row r="1117" spans="1:14">
      <c r="A1117" s="25">
        <f t="shared" si="103"/>
        <v>288</v>
      </c>
      <c r="B1117" s="67" t="s">
        <v>7</v>
      </c>
      <c r="C1117" s="67" t="s">
        <v>348</v>
      </c>
      <c r="D1117" s="67" t="s">
        <v>435</v>
      </c>
      <c r="E1117" s="22">
        <f t="shared" ca="1" si="104"/>
        <v>40951</v>
      </c>
      <c r="F1117" s="11">
        <f>DATE(58,7,15)</f>
        <v>21381</v>
      </c>
      <c r="G1117" s="12">
        <f t="shared" ca="1" si="105"/>
        <v>54</v>
      </c>
      <c r="H1117" s="12">
        <f t="shared" ca="1" si="106"/>
        <v>-5</v>
      </c>
      <c r="I1117" s="13">
        <f t="shared" ca="1" si="107"/>
        <v>-3</v>
      </c>
      <c r="J1117" s="14">
        <f t="shared" ca="1" si="108"/>
        <v>53</v>
      </c>
      <c r="K1117" s="12" t="s">
        <v>40</v>
      </c>
      <c r="L1117" s="15">
        <v>46</v>
      </c>
      <c r="M1117" s="25" t="s">
        <v>40</v>
      </c>
      <c r="N1117">
        <v>237</v>
      </c>
    </row>
    <row r="1118" spans="1:14" ht="15.75" thickBot="1">
      <c r="A1118" s="26">
        <f t="shared" si="103"/>
        <v>289</v>
      </c>
      <c r="B1118" s="67" t="s">
        <v>7</v>
      </c>
      <c r="C1118" s="68" t="s">
        <v>466</v>
      </c>
      <c r="D1118" s="68" t="s">
        <v>348</v>
      </c>
      <c r="E1118" s="23">
        <f t="shared" ca="1" si="104"/>
        <v>40951</v>
      </c>
      <c r="F1118" s="16">
        <f>DATE(92,11,23)</f>
        <v>33931</v>
      </c>
      <c r="G1118" s="17">
        <f t="shared" ca="1" si="105"/>
        <v>20</v>
      </c>
      <c r="H1118" s="17">
        <f t="shared" ca="1" si="106"/>
        <v>-9</v>
      </c>
      <c r="I1118" s="18">
        <f t="shared" ca="1" si="107"/>
        <v>-11</v>
      </c>
      <c r="J1118" s="19">
        <f t="shared" ca="1" si="108"/>
        <v>19</v>
      </c>
      <c r="K1118" s="17" t="s">
        <v>40</v>
      </c>
      <c r="L1118" s="20">
        <v>46</v>
      </c>
      <c r="M1118" s="26" t="s">
        <v>44</v>
      </c>
      <c r="N1118">
        <v>237</v>
      </c>
    </row>
    <row r="1119" spans="1:14">
      <c r="A1119" s="24">
        <f t="shared" si="103"/>
        <v>290</v>
      </c>
      <c r="B1119" s="66" t="s">
        <v>7</v>
      </c>
      <c r="C1119" s="66" t="s">
        <v>467</v>
      </c>
      <c r="D1119" s="66" t="s">
        <v>417</v>
      </c>
      <c r="E1119" s="21">
        <f t="shared" ca="1" si="104"/>
        <v>40951</v>
      </c>
      <c r="F1119" s="6">
        <f>DATE(57,4,22)</f>
        <v>20932</v>
      </c>
      <c r="G1119" s="7">
        <f t="shared" ca="1" si="105"/>
        <v>55</v>
      </c>
      <c r="H1119" s="7">
        <f t="shared" ca="1" si="106"/>
        <v>-2</v>
      </c>
      <c r="I1119" s="8">
        <f t="shared" ca="1" si="107"/>
        <v>-10</v>
      </c>
      <c r="J1119" s="9">
        <f t="shared" ca="1" si="108"/>
        <v>54</v>
      </c>
      <c r="K1119" s="7" t="s">
        <v>40</v>
      </c>
      <c r="L1119" s="10">
        <v>46</v>
      </c>
      <c r="M1119" s="24" t="s">
        <v>40</v>
      </c>
      <c r="N1119">
        <v>238</v>
      </c>
    </row>
    <row r="1120" spans="1:14">
      <c r="A1120" s="25">
        <f t="shared" si="103"/>
        <v>291</v>
      </c>
      <c r="B1120" s="67" t="s">
        <v>7</v>
      </c>
      <c r="C1120" s="67" t="s">
        <v>113</v>
      </c>
      <c r="D1120" s="67" t="s">
        <v>467</v>
      </c>
      <c r="E1120" s="22">
        <f t="shared" ca="1" si="104"/>
        <v>40951</v>
      </c>
      <c r="F1120" s="11">
        <f>DATE(62,9,17)</f>
        <v>22906</v>
      </c>
      <c r="G1120" s="12">
        <f t="shared" ca="1" si="105"/>
        <v>50</v>
      </c>
      <c r="H1120" s="12">
        <f t="shared" ca="1" si="106"/>
        <v>-7</v>
      </c>
      <c r="I1120" s="13">
        <f t="shared" ca="1" si="107"/>
        <v>-5</v>
      </c>
      <c r="J1120" s="14">
        <f t="shared" ca="1" si="108"/>
        <v>49</v>
      </c>
      <c r="K1120" s="12" t="s">
        <v>40</v>
      </c>
      <c r="L1120" s="15">
        <v>46</v>
      </c>
      <c r="M1120" s="25" t="s">
        <v>40</v>
      </c>
      <c r="N1120">
        <v>238</v>
      </c>
    </row>
    <row r="1121" spans="1:14">
      <c r="A1121" s="25">
        <f t="shared" si="103"/>
        <v>292</v>
      </c>
      <c r="B1121" s="67" t="s">
        <v>7</v>
      </c>
      <c r="C1121" s="67" t="s">
        <v>463</v>
      </c>
      <c r="D1121" s="67" t="s">
        <v>469</v>
      </c>
      <c r="E1121" s="22">
        <f t="shared" ca="1" si="104"/>
        <v>40951</v>
      </c>
      <c r="F1121" s="11">
        <f>DATE(56,12,23)</f>
        <v>20812</v>
      </c>
      <c r="G1121" s="12">
        <f t="shared" ca="1" si="105"/>
        <v>56</v>
      </c>
      <c r="H1121" s="12">
        <f t="shared" ca="1" si="106"/>
        <v>-10</v>
      </c>
      <c r="I1121" s="13">
        <f t="shared" ca="1" si="107"/>
        <v>-11</v>
      </c>
      <c r="J1121" s="14">
        <f t="shared" ca="1" si="108"/>
        <v>55</v>
      </c>
      <c r="K1121" s="12" t="s">
        <v>40</v>
      </c>
      <c r="L1121" s="15">
        <v>46</v>
      </c>
      <c r="M1121" s="25" t="s">
        <v>40</v>
      </c>
      <c r="N1121">
        <v>238</v>
      </c>
    </row>
    <row r="1122" spans="1:14">
      <c r="A1122" s="25">
        <f t="shared" si="103"/>
        <v>293</v>
      </c>
      <c r="B1122" s="67" t="s">
        <v>7</v>
      </c>
      <c r="C1122" s="67" t="s">
        <v>472</v>
      </c>
      <c r="D1122" s="67" t="s">
        <v>463</v>
      </c>
      <c r="E1122" s="22">
        <f t="shared" ca="1" si="104"/>
        <v>40951</v>
      </c>
      <c r="F1122" s="11">
        <f>DATE(93,9,17)</f>
        <v>34229</v>
      </c>
      <c r="G1122" s="12">
        <f t="shared" ca="1" si="105"/>
        <v>19</v>
      </c>
      <c r="H1122" s="12">
        <f t="shared" ca="1" si="106"/>
        <v>-7</v>
      </c>
      <c r="I1122" s="13">
        <f t="shared" ca="1" si="107"/>
        <v>-5</v>
      </c>
      <c r="J1122" s="14">
        <f t="shared" ca="1" si="108"/>
        <v>18</v>
      </c>
      <c r="K1122" s="12" t="s">
        <v>40</v>
      </c>
      <c r="L1122" s="15">
        <v>46</v>
      </c>
      <c r="M1122" s="25" t="s">
        <v>44</v>
      </c>
      <c r="N1122">
        <v>238</v>
      </c>
    </row>
    <row r="1123" spans="1:14" ht="15.75" thickBot="1">
      <c r="A1123" s="26">
        <f t="shared" si="103"/>
        <v>294</v>
      </c>
      <c r="B1123" s="67" t="s">
        <v>7</v>
      </c>
      <c r="C1123" s="68" t="s">
        <v>473</v>
      </c>
      <c r="D1123" s="68" t="s">
        <v>65</v>
      </c>
      <c r="E1123" s="23">
        <f t="shared" ca="1" si="104"/>
        <v>40951</v>
      </c>
      <c r="F1123" s="16">
        <f>DATE(70,1,13)</f>
        <v>25581</v>
      </c>
      <c r="G1123" s="17">
        <f t="shared" ca="1" si="105"/>
        <v>42</v>
      </c>
      <c r="H1123" s="17">
        <f t="shared" ca="1" si="106"/>
        <v>1</v>
      </c>
      <c r="I1123" s="18">
        <f t="shared" ca="1" si="107"/>
        <v>-1</v>
      </c>
      <c r="J1123" s="19">
        <f t="shared" ca="1" si="108"/>
        <v>42</v>
      </c>
      <c r="K1123" s="17" t="s">
        <v>40</v>
      </c>
      <c r="L1123" s="20">
        <v>47</v>
      </c>
      <c r="M1123" s="26" t="s">
        <v>40</v>
      </c>
      <c r="N1123">
        <v>238</v>
      </c>
    </row>
    <row r="1124" spans="1:14">
      <c r="A1124" s="24">
        <f t="shared" si="103"/>
        <v>295</v>
      </c>
      <c r="B1124" s="66" t="s">
        <v>7</v>
      </c>
      <c r="C1124" s="66" t="s">
        <v>151</v>
      </c>
      <c r="D1124" s="66" t="s">
        <v>473</v>
      </c>
      <c r="E1124" s="21">
        <f t="shared" ca="1" si="104"/>
        <v>40951</v>
      </c>
      <c r="F1124" s="6">
        <f>DATE(98,7,4)</f>
        <v>35980</v>
      </c>
      <c r="G1124" s="7">
        <f t="shared" ca="1" si="105"/>
        <v>14</v>
      </c>
      <c r="H1124" s="7">
        <f t="shared" ca="1" si="106"/>
        <v>-5</v>
      </c>
      <c r="I1124" s="8">
        <f t="shared" ca="1" si="107"/>
        <v>8</v>
      </c>
      <c r="J1124" s="9">
        <f t="shared" ca="1" si="108"/>
        <v>13</v>
      </c>
      <c r="K1124" s="7" t="s">
        <v>40</v>
      </c>
      <c r="L1124" s="10">
        <v>47</v>
      </c>
      <c r="M1124" s="24" t="s">
        <v>44</v>
      </c>
      <c r="N1124">
        <v>239</v>
      </c>
    </row>
    <row r="1125" spans="1:14">
      <c r="A1125" s="25">
        <f t="shared" si="103"/>
        <v>296</v>
      </c>
      <c r="B1125" s="67" t="s">
        <v>7</v>
      </c>
      <c r="C1125" s="67" t="s">
        <v>475</v>
      </c>
      <c r="D1125" s="67" t="s">
        <v>457</v>
      </c>
      <c r="E1125" s="22">
        <f t="shared" ca="1" si="104"/>
        <v>40951</v>
      </c>
      <c r="F1125" s="11">
        <f>DATE(60,12,27)</f>
        <v>22277</v>
      </c>
      <c r="G1125" s="12">
        <f t="shared" ca="1" si="105"/>
        <v>52</v>
      </c>
      <c r="H1125" s="12">
        <f t="shared" ca="1" si="106"/>
        <v>-10</v>
      </c>
      <c r="I1125" s="13">
        <f t="shared" ca="1" si="107"/>
        <v>-15</v>
      </c>
      <c r="J1125" s="14">
        <f t="shared" ca="1" si="108"/>
        <v>51</v>
      </c>
      <c r="K1125" s="12" t="s">
        <v>40</v>
      </c>
      <c r="L1125" s="15">
        <v>47</v>
      </c>
      <c r="M1125" s="25" t="s">
        <v>40</v>
      </c>
      <c r="N1125">
        <v>239</v>
      </c>
    </row>
    <row r="1126" spans="1:14">
      <c r="A1126" s="25">
        <f t="shared" si="103"/>
        <v>297</v>
      </c>
      <c r="B1126" s="67" t="s">
        <v>7</v>
      </c>
      <c r="C1126" s="67" t="s">
        <v>478</v>
      </c>
      <c r="D1126" s="67" t="s">
        <v>475</v>
      </c>
      <c r="E1126" s="22">
        <f t="shared" ca="1" si="104"/>
        <v>40951</v>
      </c>
      <c r="F1126" s="11">
        <f>DATE(95,7,23)</f>
        <v>34903</v>
      </c>
      <c r="G1126" s="12">
        <f t="shared" ca="1" si="105"/>
        <v>17</v>
      </c>
      <c r="H1126" s="12">
        <f t="shared" ca="1" si="106"/>
        <v>-5</v>
      </c>
      <c r="I1126" s="13">
        <f t="shared" ca="1" si="107"/>
        <v>-11</v>
      </c>
      <c r="J1126" s="14">
        <f t="shared" ca="1" si="108"/>
        <v>16</v>
      </c>
      <c r="K1126" s="12" t="s">
        <v>40</v>
      </c>
      <c r="L1126" s="15">
        <v>47</v>
      </c>
      <c r="M1126" s="25" t="s">
        <v>44</v>
      </c>
      <c r="N1126">
        <v>239</v>
      </c>
    </row>
    <row r="1127" spans="1:14">
      <c r="A1127" s="25">
        <f t="shared" si="103"/>
        <v>298</v>
      </c>
      <c r="B1127" s="67" t="s">
        <v>7</v>
      </c>
      <c r="C1127" s="67" t="s">
        <v>479</v>
      </c>
      <c r="D1127" s="67" t="s">
        <v>475</v>
      </c>
      <c r="E1127" s="22">
        <f t="shared" ca="1" si="104"/>
        <v>40951</v>
      </c>
      <c r="F1127" s="11">
        <f>DATE(2002,12,28)</f>
        <v>37618</v>
      </c>
      <c r="G1127" s="12">
        <f t="shared" ca="1" si="105"/>
        <v>10</v>
      </c>
      <c r="H1127" s="12">
        <f t="shared" ca="1" si="106"/>
        <v>-10</v>
      </c>
      <c r="I1127" s="13">
        <f t="shared" ca="1" si="107"/>
        <v>-16</v>
      </c>
      <c r="J1127" s="14">
        <f t="shared" ca="1" si="108"/>
        <v>9</v>
      </c>
      <c r="K1127" s="12" t="s">
        <v>40</v>
      </c>
      <c r="L1127" s="15">
        <v>47</v>
      </c>
      <c r="M1127" s="25" t="s">
        <v>44</v>
      </c>
      <c r="N1127">
        <v>239</v>
      </c>
    </row>
    <row r="1128" spans="1:14" ht="15.75" thickBot="1">
      <c r="A1128" s="26">
        <f t="shared" si="103"/>
        <v>299</v>
      </c>
      <c r="B1128" s="67" t="s">
        <v>7</v>
      </c>
      <c r="C1128" s="68" t="s">
        <v>481</v>
      </c>
      <c r="D1128" s="68" t="s">
        <v>94</v>
      </c>
      <c r="E1128" s="23">
        <f t="shared" ca="1" si="104"/>
        <v>40951</v>
      </c>
      <c r="F1128" s="16">
        <f>DATE(43,6,1)</f>
        <v>15858</v>
      </c>
      <c r="G1128" s="17">
        <f t="shared" ca="1" si="105"/>
        <v>69</v>
      </c>
      <c r="H1128" s="17">
        <f t="shared" ca="1" si="106"/>
        <v>-4</v>
      </c>
      <c r="I1128" s="18">
        <f t="shared" ca="1" si="107"/>
        <v>11</v>
      </c>
      <c r="J1128" s="19">
        <f t="shared" ca="1" si="108"/>
        <v>68</v>
      </c>
      <c r="K1128" s="17" t="s">
        <v>40</v>
      </c>
      <c r="L1128" s="20">
        <v>47</v>
      </c>
      <c r="M1128" s="26" t="s">
        <v>40</v>
      </c>
      <c r="N1128">
        <v>239</v>
      </c>
    </row>
    <row r="1129" spans="1:14">
      <c r="A1129" s="51">
        <f t="shared" si="103"/>
        <v>300</v>
      </c>
      <c r="B1129" s="67" t="s">
        <v>7</v>
      </c>
      <c r="C1129" s="70" t="s">
        <v>229</v>
      </c>
      <c r="D1129" s="70" t="s">
        <v>483</v>
      </c>
      <c r="E1129" s="52">
        <f t="shared" ca="1" si="104"/>
        <v>40951</v>
      </c>
      <c r="F1129" s="44">
        <f>DATE(82,10,6)</f>
        <v>30230</v>
      </c>
      <c r="G1129" s="53">
        <f t="shared" ca="1" si="105"/>
        <v>30</v>
      </c>
      <c r="H1129" s="53">
        <f t="shared" ca="1" si="106"/>
        <v>-8</v>
      </c>
      <c r="I1129" s="54">
        <f t="shared" ca="1" si="107"/>
        <v>6</v>
      </c>
      <c r="J1129" s="55">
        <f t="shared" ca="1" si="108"/>
        <v>29</v>
      </c>
      <c r="K1129" s="53" t="s">
        <v>40</v>
      </c>
      <c r="L1129" s="56">
        <v>47</v>
      </c>
      <c r="M1129" s="51" t="s">
        <v>44</v>
      </c>
      <c r="N1129">
        <v>240</v>
      </c>
    </row>
    <row r="1130" spans="1:14">
      <c r="A1130" s="51"/>
      <c r="B1130" s="67" t="s">
        <v>7</v>
      </c>
      <c r="C1130" s="70" t="s">
        <v>484</v>
      </c>
      <c r="D1130" s="70" t="s">
        <v>483</v>
      </c>
      <c r="E1130" s="52">
        <f t="shared" ca="1" si="104"/>
        <v>40951</v>
      </c>
      <c r="F1130" s="44">
        <f>DATE(85,8,5)</f>
        <v>31264</v>
      </c>
      <c r="G1130" s="53">
        <f t="shared" ca="1" si="105"/>
        <v>27</v>
      </c>
      <c r="H1130" s="53">
        <f t="shared" ca="1" si="106"/>
        <v>-6</v>
      </c>
      <c r="I1130" s="54">
        <f t="shared" ca="1" si="107"/>
        <v>7</v>
      </c>
      <c r="J1130" s="55">
        <f t="shared" ca="1" si="108"/>
        <v>26</v>
      </c>
      <c r="K1130" s="53" t="s">
        <v>40</v>
      </c>
      <c r="L1130" s="56">
        <v>47</v>
      </c>
      <c r="M1130" s="51" t="s">
        <v>44</v>
      </c>
      <c r="N1130">
        <v>240</v>
      </c>
    </row>
    <row r="1131" spans="1:14">
      <c r="A1131" s="25">
        <f>A1129+1</f>
        <v>301</v>
      </c>
      <c r="B1131" s="67" t="s">
        <v>7</v>
      </c>
      <c r="C1131" s="67" t="s">
        <v>485</v>
      </c>
      <c r="D1131" s="67" t="s">
        <v>417</v>
      </c>
      <c r="E1131" s="22">
        <f t="shared" ca="1" si="104"/>
        <v>40951</v>
      </c>
      <c r="F1131" s="11">
        <f>DATE(49,10,22)</f>
        <v>18193</v>
      </c>
      <c r="G1131" s="12">
        <f t="shared" ca="1" si="105"/>
        <v>63</v>
      </c>
      <c r="H1131" s="12">
        <f t="shared" ca="1" si="106"/>
        <v>-8</v>
      </c>
      <c r="I1131" s="13">
        <f t="shared" ca="1" si="107"/>
        <v>-10</v>
      </c>
      <c r="J1131" s="14">
        <f t="shared" ca="1" si="108"/>
        <v>62</v>
      </c>
      <c r="K1131" s="12" t="s">
        <v>40</v>
      </c>
      <c r="L1131" s="15">
        <v>48</v>
      </c>
      <c r="M1131" s="25" t="s">
        <v>40</v>
      </c>
      <c r="N1131">
        <v>240</v>
      </c>
    </row>
    <row r="1132" spans="1:14" ht="15.75" thickBot="1">
      <c r="A1132" s="26">
        <f t="shared" ref="A1132:A1163" si="109">A1131+1</f>
        <v>302</v>
      </c>
      <c r="B1132" s="67" t="s">
        <v>7</v>
      </c>
      <c r="C1132" s="68" t="s">
        <v>486</v>
      </c>
      <c r="D1132" s="68" t="s">
        <v>485</v>
      </c>
      <c r="E1132" s="23">
        <f t="shared" ca="1" si="104"/>
        <v>40951</v>
      </c>
      <c r="F1132" s="79">
        <f>DATE(77,4,20)</f>
        <v>28235</v>
      </c>
      <c r="G1132" s="17">
        <f t="shared" ca="1" si="105"/>
        <v>35</v>
      </c>
      <c r="H1132" s="17">
        <f t="shared" ca="1" si="106"/>
        <v>-2</v>
      </c>
      <c r="I1132" s="18">
        <f t="shared" ca="1" si="107"/>
        <v>-8</v>
      </c>
      <c r="J1132" s="19">
        <f t="shared" ca="1" si="108"/>
        <v>34</v>
      </c>
      <c r="K1132" s="17" t="s">
        <v>40</v>
      </c>
      <c r="L1132" s="20">
        <v>48</v>
      </c>
      <c r="M1132" s="26" t="s">
        <v>40</v>
      </c>
      <c r="N1132">
        <v>240</v>
      </c>
    </row>
    <row r="1133" spans="1:14">
      <c r="A1133" s="25">
        <f t="shared" si="109"/>
        <v>303</v>
      </c>
      <c r="B1133" s="67" t="s">
        <v>7</v>
      </c>
      <c r="C1133" s="67" t="s">
        <v>239</v>
      </c>
      <c r="D1133" s="67" t="s">
        <v>485</v>
      </c>
      <c r="E1133" s="22">
        <f t="shared" ca="1" si="104"/>
        <v>40951</v>
      </c>
      <c r="F1133" s="11">
        <f>DATE(81,10,12)</f>
        <v>29871</v>
      </c>
      <c r="G1133" s="12">
        <f t="shared" ca="1" si="105"/>
        <v>31</v>
      </c>
      <c r="H1133" s="12">
        <f t="shared" ca="1" si="106"/>
        <v>-8</v>
      </c>
      <c r="I1133" s="13">
        <f t="shared" ca="1" si="107"/>
        <v>0</v>
      </c>
      <c r="J1133" s="14">
        <f t="shared" ca="1" si="108"/>
        <v>30</v>
      </c>
      <c r="K1133" s="12" t="s">
        <v>40</v>
      </c>
      <c r="L1133" s="15">
        <v>48</v>
      </c>
      <c r="M1133" s="25" t="s">
        <v>40</v>
      </c>
      <c r="N1133">
        <v>241</v>
      </c>
    </row>
    <row r="1134" spans="1:14">
      <c r="A1134" s="25">
        <f t="shared" si="109"/>
        <v>304</v>
      </c>
      <c r="B1134" s="67" t="s">
        <v>7</v>
      </c>
      <c r="C1134" s="67" t="s">
        <v>489</v>
      </c>
      <c r="D1134" s="67" t="s">
        <v>490</v>
      </c>
      <c r="E1134" s="22">
        <f t="shared" ca="1" si="104"/>
        <v>40951</v>
      </c>
      <c r="F1134" s="11">
        <f>DATE(72,11,9)</f>
        <v>26612</v>
      </c>
      <c r="G1134" s="12">
        <f t="shared" ca="1" si="105"/>
        <v>40</v>
      </c>
      <c r="H1134" s="12">
        <f t="shared" ca="1" si="106"/>
        <v>-9</v>
      </c>
      <c r="I1134" s="13">
        <f t="shared" ca="1" si="107"/>
        <v>3</v>
      </c>
      <c r="J1134" s="14">
        <f t="shared" ca="1" si="108"/>
        <v>39</v>
      </c>
      <c r="K1134" s="12" t="s">
        <v>40</v>
      </c>
      <c r="L1134" s="15">
        <v>48</v>
      </c>
      <c r="M1134" s="25" t="s">
        <v>40</v>
      </c>
      <c r="N1134">
        <v>241</v>
      </c>
    </row>
    <row r="1135" spans="1:14">
      <c r="A1135" s="25">
        <f t="shared" si="109"/>
        <v>305</v>
      </c>
      <c r="B1135" s="67" t="s">
        <v>7</v>
      </c>
      <c r="C1135" s="67" t="s">
        <v>492</v>
      </c>
      <c r="D1135" s="67" t="s">
        <v>489</v>
      </c>
      <c r="E1135" s="22">
        <f t="shared" ca="1" si="104"/>
        <v>40951</v>
      </c>
      <c r="F1135" s="11">
        <f>DATE(2003,2,3)</f>
        <v>37655</v>
      </c>
      <c r="G1135" s="12">
        <f t="shared" ca="1" si="105"/>
        <v>9</v>
      </c>
      <c r="H1135" s="12">
        <f t="shared" ca="1" si="106"/>
        <v>0</v>
      </c>
      <c r="I1135" s="13">
        <f t="shared" ca="1" si="107"/>
        <v>9</v>
      </c>
      <c r="J1135" s="14">
        <f t="shared" ca="1" si="108"/>
        <v>9</v>
      </c>
      <c r="K1135" s="12" t="s">
        <v>40</v>
      </c>
      <c r="L1135" s="15">
        <v>48</v>
      </c>
      <c r="M1135" s="25" t="s">
        <v>44</v>
      </c>
      <c r="N1135">
        <v>241</v>
      </c>
    </row>
    <row r="1136" spans="1:14" ht="15.75" thickBot="1">
      <c r="A1136" s="26">
        <f t="shared" si="109"/>
        <v>306</v>
      </c>
      <c r="B1136" s="67" t="s">
        <v>7</v>
      </c>
      <c r="C1136" s="68" t="s">
        <v>493</v>
      </c>
      <c r="D1136" s="68" t="s">
        <v>490</v>
      </c>
      <c r="E1136" s="23">
        <f t="shared" ca="1" si="104"/>
        <v>40951</v>
      </c>
      <c r="F1136" s="16">
        <f>DATE(79,5,29)</f>
        <v>29004</v>
      </c>
      <c r="G1136" s="17">
        <f t="shared" ca="1" si="105"/>
        <v>33</v>
      </c>
      <c r="H1136" s="17">
        <f t="shared" ca="1" si="106"/>
        <v>-3</v>
      </c>
      <c r="I1136" s="18">
        <f t="shared" ca="1" si="107"/>
        <v>-17</v>
      </c>
      <c r="J1136" s="19">
        <f t="shared" ca="1" si="108"/>
        <v>32</v>
      </c>
      <c r="K1136" s="17" t="s">
        <v>40</v>
      </c>
      <c r="L1136" s="20">
        <v>48</v>
      </c>
      <c r="M1136" s="26" t="s">
        <v>40</v>
      </c>
      <c r="N1136">
        <v>241</v>
      </c>
    </row>
    <row r="1137" spans="1:14">
      <c r="A1137" s="25">
        <f t="shared" si="109"/>
        <v>307</v>
      </c>
      <c r="B1137" s="67" t="s">
        <v>7</v>
      </c>
      <c r="C1137" s="67" t="s">
        <v>495</v>
      </c>
      <c r="D1137" s="67" t="s">
        <v>493</v>
      </c>
      <c r="E1137" s="22">
        <f t="shared" ca="1" si="104"/>
        <v>40951</v>
      </c>
      <c r="F1137" s="11">
        <f>DATE(2004,11,2)</f>
        <v>38293</v>
      </c>
      <c r="G1137" s="12">
        <f t="shared" ca="1" si="105"/>
        <v>8</v>
      </c>
      <c r="H1137" s="12">
        <f t="shared" ca="1" si="106"/>
        <v>-9</v>
      </c>
      <c r="I1137" s="13">
        <f t="shared" ca="1" si="107"/>
        <v>10</v>
      </c>
      <c r="J1137" s="14">
        <f t="shared" ca="1" si="108"/>
        <v>7</v>
      </c>
      <c r="K1137" s="12" t="s">
        <v>40</v>
      </c>
      <c r="L1137" s="15">
        <v>48</v>
      </c>
      <c r="M1137" s="25" t="s">
        <v>44</v>
      </c>
      <c r="N1137">
        <v>242</v>
      </c>
    </row>
    <row r="1138" spans="1:14">
      <c r="A1138" s="25">
        <f t="shared" si="109"/>
        <v>308</v>
      </c>
      <c r="B1138" s="67" t="s">
        <v>7</v>
      </c>
      <c r="C1138" s="67" t="s">
        <v>496</v>
      </c>
      <c r="D1138" s="67" t="s">
        <v>497</v>
      </c>
      <c r="E1138" s="22">
        <f t="shared" ca="1" si="104"/>
        <v>40951</v>
      </c>
      <c r="F1138" s="11">
        <f>DATE(80,6,24)</f>
        <v>29396</v>
      </c>
      <c r="G1138" s="12">
        <f t="shared" ca="1" si="105"/>
        <v>32</v>
      </c>
      <c r="H1138" s="12">
        <f t="shared" ca="1" si="106"/>
        <v>-4</v>
      </c>
      <c r="I1138" s="13">
        <f t="shared" ca="1" si="107"/>
        <v>-12</v>
      </c>
      <c r="J1138" s="14">
        <f t="shared" ca="1" si="108"/>
        <v>31</v>
      </c>
      <c r="K1138" s="12" t="s">
        <v>40</v>
      </c>
      <c r="L1138" s="15">
        <v>48</v>
      </c>
      <c r="M1138" s="25" t="s">
        <v>44</v>
      </c>
      <c r="N1138">
        <v>242</v>
      </c>
    </row>
    <row r="1139" spans="1:14">
      <c r="A1139" s="25">
        <f t="shared" si="109"/>
        <v>309</v>
      </c>
      <c r="B1139" s="67" t="s">
        <v>7</v>
      </c>
      <c r="C1139" s="67" t="s">
        <v>498</v>
      </c>
      <c r="D1139" s="67" t="s">
        <v>316</v>
      </c>
      <c r="E1139" s="22">
        <f t="shared" ca="1" si="104"/>
        <v>40951</v>
      </c>
      <c r="F1139" s="11">
        <f>DATE(63,8,14)</f>
        <v>23237</v>
      </c>
      <c r="G1139" s="12">
        <f t="shared" ca="1" si="105"/>
        <v>49</v>
      </c>
      <c r="H1139" s="12">
        <f t="shared" ca="1" si="106"/>
        <v>-6</v>
      </c>
      <c r="I1139" s="13">
        <f t="shared" ca="1" si="107"/>
        <v>-2</v>
      </c>
      <c r="J1139" s="14">
        <f t="shared" ca="1" si="108"/>
        <v>48</v>
      </c>
      <c r="K1139" s="12" t="s">
        <v>40</v>
      </c>
      <c r="L1139" s="15">
        <v>49</v>
      </c>
      <c r="M1139" s="25" t="s">
        <v>40</v>
      </c>
      <c r="N1139">
        <v>242</v>
      </c>
    </row>
    <row r="1140" spans="1:14">
      <c r="A1140" s="25">
        <f t="shared" si="109"/>
        <v>310</v>
      </c>
      <c r="B1140" s="67" t="s">
        <v>7</v>
      </c>
      <c r="C1140" s="67" t="s">
        <v>500</v>
      </c>
      <c r="D1140" s="67" t="s">
        <v>498</v>
      </c>
      <c r="E1140" s="22">
        <f t="shared" ca="1" si="104"/>
        <v>40951</v>
      </c>
      <c r="F1140" s="11">
        <f>DATE(90,3,21)</f>
        <v>32953</v>
      </c>
      <c r="G1140" s="12">
        <f t="shared" ca="1" si="105"/>
        <v>22</v>
      </c>
      <c r="H1140" s="12">
        <f t="shared" ca="1" si="106"/>
        <v>-1</v>
      </c>
      <c r="I1140" s="13">
        <f t="shared" ca="1" si="107"/>
        <v>-9</v>
      </c>
      <c r="J1140" s="14">
        <f t="shared" ca="1" si="108"/>
        <v>21</v>
      </c>
      <c r="K1140" s="12" t="s">
        <v>40</v>
      </c>
      <c r="L1140" s="15">
        <v>49</v>
      </c>
      <c r="M1140" s="25" t="s">
        <v>44</v>
      </c>
      <c r="N1140">
        <v>242</v>
      </c>
    </row>
    <row r="1141" spans="1:14">
      <c r="A1141" s="25">
        <f t="shared" si="109"/>
        <v>311</v>
      </c>
      <c r="B1141" s="67" t="s">
        <v>7</v>
      </c>
      <c r="C1141" s="67" t="s">
        <v>501</v>
      </c>
      <c r="D1141" s="67" t="s">
        <v>498</v>
      </c>
      <c r="E1141" s="22">
        <f t="shared" ca="1" si="104"/>
        <v>40951</v>
      </c>
      <c r="F1141" s="11">
        <f>DATE(95,2,9)</f>
        <v>34739</v>
      </c>
      <c r="G1141" s="12">
        <f t="shared" ca="1" si="105"/>
        <v>17</v>
      </c>
      <c r="H1141" s="12">
        <f t="shared" ca="1" si="106"/>
        <v>0</v>
      </c>
      <c r="I1141" s="13">
        <f t="shared" ca="1" si="107"/>
        <v>3</v>
      </c>
      <c r="J1141" s="14">
        <f t="shared" ca="1" si="108"/>
        <v>17</v>
      </c>
      <c r="K1141" s="12" t="s">
        <v>40</v>
      </c>
      <c r="L1141" s="15">
        <v>49</v>
      </c>
      <c r="M1141" s="25" t="s">
        <v>44</v>
      </c>
      <c r="N1141">
        <v>242</v>
      </c>
    </row>
    <row r="1142" spans="1:14">
      <c r="A1142" s="25">
        <f t="shared" si="109"/>
        <v>312</v>
      </c>
      <c r="B1142" s="67" t="s">
        <v>7</v>
      </c>
      <c r="C1142" s="67" t="s">
        <v>502</v>
      </c>
      <c r="D1142" s="67" t="s">
        <v>498</v>
      </c>
      <c r="E1142" s="22">
        <f t="shared" ca="1" si="104"/>
        <v>40951</v>
      </c>
      <c r="F1142" s="11">
        <f>DATE(97,5,17)</f>
        <v>35567</v>
      </c>
      <c r="G1142" s="12">
        <f t="shared" ca="1" si="105"/>
        <v>15</v>
      </c>
      <c r="H1142" s="12">
        <f t="shared" ca="1" si="106"/>
        <v>-3</v>
      </c>
      <c r="I1142" s="13">
        <f t="shared" ca="1" si="107"/>
        <v>-5</v>
      </c>
      <c r="J1142" s="14">
        <f t="shared" ca="1" si="108"/>
        <v>14</v>
      </c>
      <c r="K1142" s="12" t="s">
        <v>40</v>
      </c>
      <c r="L1142" s="15">
        <v>49</v>
      </c>
      <c r="M1142" s="25" t="s">
        <v>44</v>
      </c>
      <c r="N1142">
        <v>242</v>
      </c>
    </row>
    <row r="1143" spans="1:14" ht="15.75" thickBot="1">
      <c r="A1143" s="26">
        <f t="shared" si="109"/>
        <v>313</v>
      </c>
      <c r="B1143" s="67" t="s">
        <v>7</v>
      </c>
      <c r="C1143" s="68" t="s">
        <v>504</v>
      </c>
      <c r="D1143" s="68" t="s">
        <v>435</v>
      </c>
      <c r="E1143" s="23">
        <f t="shared" ca="1" si="104"/>
        <v>40951</v>
      </c>
      <c r="F1143" s="16">
        <f>DATE(61,9,12)</f>
        <v>22536</v>
      </c>
      <c r="G1143" s="17">
        <f t="shared" ca="1" si="105"/>
        <v>51</v>
      </c>
      <c r="H1143" s="17">
        <f t="shared" ca="1" si="106"/>
        <v>-7</v>
      </c>
      <c r="I1143" s="18">
        <f t="shared" ca="1" si="107"/>
        <v>0</v>
      </c>
      <c r="J1143" s="19">
        <f t="shared" ca="1" si="108"/>
        <v>50</v>
      </c>
      <c r="K1143" s="17" t="s">
        <v>40</v>
      </c>
      <c r="L1143" s="20">
        <v>49</v>
      </c>
      <c r="M1143" s="26" t="s">
        <v>40</v>
      </c>
      <c r="N1143">
        <v>242</v>
      </c>
    </row>
    <row r="1144" spans="1:14">
      <c r="A1144" s="25">
        <f t="shared" si="109"/>
        <v>314</v>
      </c>
      <c r="B1144" s="67" t="s">
        <v>7</v>
      </c>
      <c r="C1144" s="67" t="s">
        <v>506</v>
      </c>
      <c r="D1144" s="67" t="s">
        <v>505</v>
      </c>
      <c r="E1144" s="22">
        <f t="shared" ca="1" si="104"/>
        <v>40951</v>
      </c>
      <c r="F1144" s="11">
        <f>DATE(2002,9,25)</f>
        <v>37524</v>
      </c>
      <c r="G1144" s="12">
        <f t="shared" ca="1" si="105"/>
        <v>10</v>
      </c>
      <c r="H1144" s="12">
        <f t="shared" ca="1" si="106"/>
        <v>-7</v>
      </c>
      <c r="I1144" s="13">
        <f t="shared" ca="1" si="107"/>
        <v>-13</v>
      </c>
      <c r="J1144" s="14">
        <f t="shared" ca="1" si="108"/>
        <v>9</v>
      </c>
      <c r="K1144" s="12" t="s">
        <v>40</v>
      </c>
      <c r="L1144" s="15">
        <v>49</v>
      </c>
      <c r="M1144" s="25" t="s">
        <v>44</v>
      </c>
      <c r="N1144">
        <v>243</v>
      </c>
    </row>
    <row r="1145" spans="1:14">
      <c r="A1145" s="25">
        <f t="shared" si="109"/>
        <v>315</v>
      </c>
      <c r="B1145" s="67" t="s">
        <v>7</v>
      </c>
      <c r="C1145" s="67" t="s">
        <v>507</v>
      </c>
      <c r="D1145" s="67" t="s">
        <v>435</v>
      </c>
      <c r="E1145" s="22">
        <f t="shared" ca="1" si="104"/>
        <v>40951</v>
      </c>
      <c r="F1145" s="11">
        <f>DATE(56,11,29)</f>
        <v>20788</v>
      </c>
      <c r="G1145" s="12">
        <f t="shared" ca="1" si="105"/>
        <v>56</v>
      </c>
      <c r="H1145" s="12">
        <f t="shared" ca="1" si="106"/>
        <v>-9</v>
      </c>
      <c r="I1145" s="13">
        <f t="shared" ca="1" si="107"/>
        <v>-17</v>
      </c>
      <c r="J1145" s="14">
        <f t="shared" ca="1" si="108"/>
        <v>55</v>
      </c>
      <c r="K1145" s="12" t="s">
        <v>40</v>
      </c>
      <c r="L1145" s="15">
        <v>49</v>
      </c>
      <c r="M1145" s="25" t="s">
        <v>40</v>
      </c>
      <c r="N1145">
        <v>243</v>
      </c>
    </row>
    <row r="1146" spans="1:14">
      <c r="A1146" s="25">
        <f t="shared" si="109"/>
        <v>316</v>
      </c>
      <c r="B1146" s="67" t="s">
        <v>7</v>
      </c>
      <c r="C1146" s="67" t="s">
        <v>183</v>
      </c>
      <c r="D1146" s="67" t="s">
        <v>507</v>
      </c>
      <c r="E1146" s="22">
        <f t="shared" ca="1" si="104"/>
        <v>40951</v>
      </c>
      <c r="F1146" s="11">
        <f>DATE(90,5,22)</f>
        <v>33015</v>
      </c>
      <c r="G1146" s="12">
        <f t="shared" ca="1" si="105"/>
        <v>22</v>
      </c>
      <c r="H1146" s="12">
        <f t="shared" ca="1" si="106"/>
        <v>-3</v>
      </c>
      <c r="I1146" s="13">
        <f t="shared" ca="1" si="107"/>
        <v>-10</v>
      </c>
      <c r="J1146" s="14">
        <f t="shared" ca="1" si="108"/>
        <v>21</v>
      </c>
      <c r="K1146" s="12" t="s">
        <v>40</v>
      </c>
      <c r="L1146" s="15">
        <v>49</v>
      </c>
      <c r="M1146" s="25" t="s">
        <v>44</v>
      </c>
      <c r="N1146">
        <v>243</v>
      </c>
    </row>
    <row r="1147" spans="1:14">
      <c r="A1147" s="25">
        <f t="shared" si="109"/>
        <v>317</v>
      </c>
      <c r="B1147" s="67" t="s">
        <v>7</v>
      </c>
      <c r="C1147" s="67" t="s">
        <v>509</v>
      </c>
      <c r="D1147" s="67" t="s">
        <v>510</v>
      </c>
      <c r="E1147" s="22">
        <f t="shared" ca="1" si="104"/>
        <v>40951</v>
      </c>
      <c r="F1147" s="11">
        <f>DATE(44,2,24)</f>
        <v>16126</v>
      </c>
      <c r="G1147" s="12">
        <f t="shared" ca="1" si="105"/>
        <v>68</v>
      </c>
      <c r="H1147" s="12">
        <f t="shared" ca="1" si="106"/>
        <v>0</v>
      </c>
      <c r="I1147" s="13">
        <f t="shared" ca="1" si="107"/>
        <v>-12</v>
      </c>
      <c r="J1147" s="14">
        <f t="shared" ca="1" si="108"/>
        <v>67</v>
      </c>
      <c r="K1147" s="12" t="s">
        <v>40</v>
      </c>
      <c r="L1147" s="15">
        <v>50</v>
      </c>
      <c r="M1147" s="25" t="s">
        <v>40</v>
      </c>
      <c r="N1147">
        <v>243</v>
      </c>
    </row>
    <row r="1148" spans="1:14" ht="15.75" thickBot="1">
      <c r="A1148" s="26">
        <f t="shared" si="109"/>
        <v>318</v>
      </c>
      <c r="B1148" s="68" t="s">
        <v>7</v>
      </c>
      <c r="C1148" s="68" t="s">
        <v>512</v>
      </c>
      <c r="D1148" s="68" t="s">
        <v>509</v>
      </c>
      <c r="E1148" s="23">
        <f t="shared" ca="1" si="104"/>
        <v>40951</v>
      </c>
      <c r="F1148" s="16">
        <f>DATE(72,2,8)</f>
        <v>26337</v>
      </c>
      <c r="G1148" s="17">
        <f t="shared" ca="1" si="105"/>
        <v>40</v>
      </c>
      <c r="H1148" s="17">
        <f t="shared" ca="1" si="106"/>
        <v>0</v>
      </c>
      <c r="I1148" s="18">
        <f t="shared" ca="1" si="107"/>
        <v>4</v>
      </c>
      <c r="J1148" s="19">
        <f t="shared" ca="1" si="108"/>
        <v>40</v>
      </c>
      <c r="K1148" s="17" t="s">
        <v>40</v>
      </c>
      <c r="L1148" s="20">
        <v>50</v>
      </c>
      <c r="M1148" s="26" t="s">
        <v>40</v>
      </c>
      <c r="N1148">
        <v>243</v>
      </c>
    </row>
    <row r="1149" spans="1:14">
      <c r="A1149" s="25">
        <f t="shared" si="109"/>
        <v>319</v>
      </c>
      <c r="B1149" s="67" t="s">
        <v>7</v>
      </c>
      <c r="C1149" s="67" t="s">
        <v>516</v>
      </c>
      <c r="D1149" s="67" t="s">
        <v>435</v>
      </c>
      <c r="E1149" s="22">
        <f t="shared" ca="1" si="104"/>
        <v>40951</v>
      </c>
      <c r="F1149" s="11">
        <f>DATE(71,1,8)</f>
        <v>25941</v>
      </c>
      <c r="G1149" s="12">
        <f t="shared" ca="1" si="105"/>
        <v>41</v>
      </c>
      <c r="H1149" s="12">
        <f t="shared" ca="1" si="106"/>
        <v>1</v>
      </c>
      <c r="I1149" s="13">
        <f t="shared" ca="1" si="107"/>
        <v>4</v>
      </c>
      <c r="J1149" s="14">
        <f t="shared" ca="1" si="108"/>
        <v>41</v>
      </c>
      <c r="K1149" s="12" t="s">
        <v>40</v>
      </c>
      <c r="L1149" s="15">
        <v>50</v>
      </c>
      <c r="M1149" s="25" t="s">
        <v>40</v>
      </c>
      <c r="N1149">
        <v>244</v>
      </c>
    </row>
    <row r="1150" spans="1:14">
      <c r="A1150" s="25">
        <f t="shared" si="109"/>
        <v>320</v>
      </c>
      <c r="B1150" s="67" t="s">
        <v>7</v>
      </c>
      <c r="C1150" s="67" t="s">
        <v>517</v>
      </c>
      <c r="D1150" s="67" t="s">
        <v>516</v>
      </c>
      <c r="E1150" s="22">
        <f t="shared" ca="1" si="104"/>
        <v>40951</v>
      </c>
      <c r="F1150" s="11">
        <f>DATE(2005,2,5)</f>
        <v>38388</v>
      </c>
      <c r="G1150" s="12">
        <f t="shared" ca="1" si="105"/>
        <v>7</v>
      </c>
      <c r="H1150" s="12">
        <f t="shared" ca="1" si="106"/>
        <v>0</v>
      </c>
      <c r="I1150" s="13">
        <f t="shared" ca="1" si="107"/>
        <v>7</v>
      </c>
      <c r="J1150" s="14">
        <f t="shared" ca="1" si="108"/>
        <v>7</v>
      </c>
      <c r="K1150" s="12" t="s">
        <v>40</v>
      </c>
      <c r="L1150" s="15">
        <v>50</v>
      </c>
      <c r="M1150" s="25" t="s">
        <v>44</v>
      </c>
      <c r="N1150">
        <v>244</v>
      </c>
    </row>
    <row r="1151" spans="1:14" ht="15.75" thickBot="1">
      <c r="A1151" s="26">
        <f t="shared" si="109"/>
        <v>321</v>
      </c>
      <c r="B1151" s="68" t="s">
        <v>7</v>
      </c>
      <c r="C1151" s="68" t="s">
        <v>518</v>
      </c>
      <c r="D1151" s="68" t="s">
        <v>519</v>
      </c>
      <c r="E1151" s="23">
        <f t="shared" ca="1" si="104"/>
        <v>40951</v>
      </c>
      <c r="F1151" s="33"/>
      <c r="G1151" s="17">
        <f t="shared" ca="1" si="105"/>
        <v>112</v>
      </c>
      <c r="H1151" s="17">
        <f t="shared" ca="1" si="106"/>
        <v>1</v>
      </c>
      <c r="I1151" s="18">
        <f t="shared" ca="1" si="107"/>
        <v>12</v>
      </c>
      <c r="J1151" s="19">
        <f t="shared" ca="1" si="108"/>
        <v>112</v>
      </c>
      <c r="K1151" s="17" t="s">
        <v>40</v>
      </c>
      <c r="L1151" s="20">
        <v>50</v>
      </c>
      <c r="M1151" s="26" t="s">
        <v>44</v>
      </c>
      <c r="N1151">
        <v>244</v>
      </c>
    </row>
    <row r="1152" spans="1:14" ht="15.75" thickBot="1">
      <c r="A1152" s="43">
        <f t="shared" si="109"/>
        <v>322</v>
      </c>
      <c r="B1152" s="69" t="s">
        <v>7</v>
      </c>
      <c r="C1152" s="69" t="s">
        <v>519</v>
      </c>
      <c r="D1152" s="69"/>
      <c r="E1152" s="37">
        <f t="shared" ca="1" si="104"/>
        <v>40951</v>
      </c>
      <c r="F1152" s="47"/>
      <c r="G1152" s="39">
        <f t="shared" ca="1" si="105"/>
        <v>112</v>
      </c>
      <c r="H1152" s="39">
        <f t="shared" ca="1" si="106"/>
        <v>1</v>
      </c>
      <c r="I1152" s="40">
        <f t="shared" ca="1" si="107"/>
        <v>12</v>
      </c>
      <c r="J1152" s="41">
        <f t="shared" ca="1" si="108"/>
        <v>112</v>
      </c>
      <c r="K1152" s="39" t="s">
        <v>40</v>
      </c>
      <c r="L1152" s="42">
        <v>50</v>
      </c>
      <c r="M1152" s="43" t="s">
        <v>40</v>
      </c>
      <c r="N1152">
        <v>245</v>
      </c>
    </row>
    <row r="1153" spans="1:14">
      <c r="A1153" s="25">
        <f t="shared" si="109"/>
        <v>323</v>
      </c>
      <c r="B1153" s="67" t="s">
        <v>8</v>
      </c>
      <c r="C1153" s="67" t="s">
        <v>162</v>
      </c>
      <c r="D1153" s="67" t="s">
        <v>77</v>
      </c>
      <c r="E1153" s="22">
        <f t="shared" ref="E1153:E1216" ca="1" si="110">TODAY()</f>
        <v>40951</v>
      </c>
      <c r="F1153" s="11">
        <f>DATE(56,1,16)</f>
        <v>20470</v>
      </c>
      <c r="G1153" s="12">
        <f t="shared" ref="G1153:G1216" ca="1" si="111">YEAR(E1153)-YEAR(F1153)</f>
        <v>56</v>
      </c>
      <c r="H1153" s="12">
        <f t="shared" ref="H1153:H1216" ca="1" si="112">MONTH(E1153)-MONTH(F1153)</f>
        <v>1</v>
      </c>
      <c r="I1153" s="13">
        <f t="shared" ref="I1153:I1216" ca="1" si="113">DAY(E1153)-DAY(F1153)</f>
        <v>-4</v>
      </c>
      <c r="J1153" s="14">
        <f t="shared" ref="J1153:J1216" ca="1" si="114">IF(H1153&lt;0,G1153-1,IF(H1153&gt;0,G1153,IF(I1153&lt;0,G1153-1,G1153)))</f>
        <v>56</v>
      </c>
      <c r="K1153" s="12" t="s">
        <v>40</v>
      </c>
      <c r="L1153" s="15">
        <v>51</v>
      </c>
      <c r="M1153" s="25" t="s">
        <v>40</v>
      </c>
      <c r="N1153">
        <v>246</v>
      </c>
    </row>
    <row r="1154" spans="1:14">
      <c r="A1154" s="25">
        <f t="shared" si="109"/>
        <v>324</v>
      </c>
      <c r="B1154" s="67" t="s">
        <v>8</v>
      </c>
      <c r="C1154" s="67" t="s">
        <v>521</v>
      </c>
      <c r="D1154" s="67" t="s">
        <v>522</v>
      </c>
      <c r="E1154" s="22">
        <f t="shared" ca="1" si="110"/>
        <v>40951</v>
      </c>
      <c r="F1154" s="11">
        <f>DATE(47,8,2)</f>
        <v>17381</v>
      </c>
      <c r="G1154" s="12">
        <f t="shared" ca="1" si="111"/>
        <v>65</v>
      </c>
      <c r="H1154" s="12">
        <f t="shared" ca="1" si="112"/>
        <v>-6</v>
      </c>
      <c r="I1154" s="13">
        <f t="shared" ca="1" si="113"/>
        <v>10</v>
      </c>
      <c r="J1154" s="14">
        <f t="shared" ca="1" si="114"/>
        <v>64</v>
      </c>
      <c r="K1154" s="12" t="s">
        <v>40</v>
      </c>
      <c r="L1154" s="15">
        <v>51</v>
      </c>
      <c r="M1154" s="25" t="s">
        <v>40</v>
      </c>
      <c r="N1154">
        <v>246</v>
      </c>
    </row>
    <row r="1155" spans="1:14" ht="15.75" thickBot="1">
      <c r="A1155" s="26">
        <f t="shared" si="109"/>
        <v>325</v>
      </c>
      <c r="B1155" s="68" t="s">
        <v>8</v>
      </c>
      <c r="C1155" s="68" t="s">
        <v>446</v>
      </c>
      <c r="D1155" s="68" t="s">
        <v>521</v>
      </c>
      <c r="E1155" s="23">
        <f t="shared" ca="1" si="110"/>
        <v>40951</v>
      </c>
      <c r="F1155" s="16">
        <f>DATE(68,6,23)</f>
        <v>25012</v>
      </c>
      <c r="G1155" s="17">
        <f t="shared" ca="1" si="111"/>
        <v>44</v>
      </c>
      <c r="H1155" s="17">
        <f t="shared" ca="1" si="112"/>
        <v>-4</v>
      </c>
      <c r="I1155" s="18">
        <f t="shared" ca="1" si="113"/>
        <v>-11</v>
      </c>
      <c r="J1155" s="19">
        <f t="shared" ca="1" si="114"/>
        <v>43</v>
      </c>
      <c r="K1155" s="17" t="s">
        <v>40</v>
      </c>
      <c r="L1155" s="20">
        <v>51</v>
      </c>
      <c r="M1155" s="26" t="s">
        <v>40</v>
      </c>
      <c r="N1155">
        <v>246</v>
      </c>
    </row>
    <row r="1156" spans="1:14">
      <c r="A1156" s="25">
        <f t="shared" si="109"/>
        <v>326</v>
      </c>
      <c r="B1156" s="67" t="s">
        <v>8</v>
      </c>
      <c r="C1156" s="67" t="s">
        <v>521</v>
      </c>
      <c r="D1156" s="67" t="s">
        <v>267</v>
      </c>
      <c r="E1156" s="22">
        <f t="shared" ca="1" si="110"/>
        <v>40951</v>
      </c>
      <c r="F1156" s="11">
        <f>DATE(55,8,13)</f>
        <v>20314</v>
      </c>
      <c r="G1156" s="12">
        <f t="shared" ca="1" si="111"/>
        <v>57</v>
      </c>
      <c r="H1156" s="12">
        <f t="shared" ca="1" si="112"/>
        <v>-6</v>
      </c>
      <c r="I1156" s="13">
        <f t="shared" ca="1" si="113"/>
        <v>-1</v>
      </c>
      <c r="J1156" s="14">
        <f t="shared" ca="1" si="114"/>
        <v>56</v>
      </c>
      <c r="K1156" s="12" t="s">
        <v>40</v>
      </c>
      <c r="L1156" s="15">
        <v>51</v>
      </c>
      <c r="M1156" s="25" t="s">
        <v>40</v>
      </c>
      <c r="N1156">
        <v>247</v>
      </c>
    </row>
    <row r="1157" spans="1:14">
      <c r="A1157" s="25">
        <f t="shared" si="109"/>
        <v>327</v>
      </c>
      <c r="B1157" s="67" t="s">
        <v>8</v>
      </c>
      <c r="C1157" s="67" t="s">
        <v>526</v>
      </c>
      <c r="D1157" s="67" t="s">
        <v>521</v>
      </c>
      <c r="E1157" s="22">
        <f t="shared" ca="1" si="110"/>
        <v>40951</v>
      </c>
      <c r="F1157" s="11">
        <f>DATE(83,4,3)</f>
        <v>30409</v>
      </c>
      <c r="G1157" s="12">
        <f t="shared" ca="1" si="111"/>
        <v>29</v>
      </c>
      <c r="H1157" s="12">
        <f t="shared" ca="1" si="112"/>
        <v>-2</v>
      </c>
      <c r="I1157" s="13">
        <f t="shared" ca="1" si="113"/>
        <v>9</v>
      </c>
      <c r="J1157" s="14">
        <f t="shared" ca="1" si="114"/>
        <v>28</v>
      </c>
      <c r="K1157" s="12" t="s">
        <v>40</v>
      </c>
      <c r="L1157" s="15">
        <v>51</v>
      </c>
      <c r="M1157" s="25" t="s">
        <v>44</v>
      </c>
      <c r="N1157">
        <v>247</v>
      </c>
    </row>
    <row r="1158" spans="1:14">
      <c r="A1158" s="25">
        <f t="shared" si="109"/>
        <v>328</v>
      </c>
      <c r="B1158" s="67" t="s">
        <v>8</v>
      </c>
      <c r="C1158" s="67" t="s">
        <v>376</v>
      </c>
      <c r="D1158" s="67" t="s">
        <v>521</v>
      </c>
      <c r="E1158" s="22">
        <f t="shared" ca="1" si="110"/>
        <v>40951</v>
      </c>
      <c r="F1158" s="11">
        <f>DATE(87,3,1)</f>
        <v>31837</v>
      </c>
      <c r="G1158" s="12">
        <f t="shared" ca="1" si="111"/>
        <v>25</v>
      </c>
      <c r="H1158" s="12">
        <f t="shared" ca="1" si="112"/>
        <v>-1</v>
      </c>
      <c r="I1158" s="13">
        <f t="shared" ca="1" si="113"/>
        <v>11</v>
      </c>
      <c r="J1158" s="14">
        <f t="shared" ca="1" si="114"/>
        <v>24</v>
      </c>
      <c r="K1158" s="12" t="s">
        <v>40</v>
      </c>
      <c r="L1158" s="15">
        <v>51</v>
      </c>
      <c r="M1158" s="25" t="s">
        <v>44</v>
      </c>
      <c r="N1158">
        <v>247</v>
      </c>
    </row>
    <row r="1159" spans="1:14">
      <c r="A1159" s="25">
        <f t="shared" si="109"/>
        <v>329</v>
      </c>
      <c r="B1159" s="67" t="s">
        <v>8</v>
      </c>
      <c r="C1159" s="67" t="s">
        <v>326</v>
      </c>
      <c r="D1159" s="67" t="s">
        <v>267</v>
      </c>
      <c r="E1159" s="22">
        <f t="shared" ca="1" si="110"/>
        <v>40951</v>
      </c>
      <c r="F1159" s="11">
        <f>DATE(61,3,19)</f>
        <v>22359</v>
      </c>
      <c r="G1159" s="12">
        <f t="shared" ca="1" si="111"/>
        <v>51</v>
      </c>
      <c r="H1159" s="12">
        <f t="shared" ca="1" si="112"/>
        <v>-1</v>
      </c>
      <c r="I1159" s="13">
        <f t="shared" ca="1" si="113"/>
        <v>-7</v>
      </c>
      <c r="J1159" s="14">
        <f t="shared" ca="1" si="114"/>
        <v>50</v>
      </c>
      <c r="K1159" s="12" t="s">
        <v>40</v>
      </c>
      <c r="L1159" s="15">
        <v>52</v>
      </c>
      <c r="M1159" s="25" t="s">
        <v>40</v>
      </c>
      <c r="N1159">
        <v>247</v>
      </c>
    </row>
    <row r="1160" spans="1:14">
      <c r="A1160" s="25">
        <f t="shared" si="109"/>
        <v>330</v>
      </c>
      <c r="B1160" s="67" t="s">
        <v>8</v>
      </c>
      <c r="C1160" s="67" t="s">
        <v>151</v>
      </c>
      <c r="D1160" s="67" t="s">
        <v>326</v>
      </c>
      <c r="E1160" s="22">
        <f t="shared" ca="1" si="110"/>
        <v>40951</v>
      </c>
      <c r="F1160" s="11">
        <f>DATE(85,10,27)</f>
        <v>31347</v>
      </c>
      <c r="G1160" s="12">
        <f t="shared" ca="1" si="111"/>
        <v>27</v>
      </c>
      <c r="H1160" s="12">
        <f t="shared" ca="1" si="112"/>
        <v>-8</v>
      </c>
      <c r="I1160" s="13">
        <f t="shared" ca="1" si="113"/>
        <v>-15</v>
      </c>
      <c r="J1160" s="14">
        <f t="shared" ca="1" si="114"/>
        <v>26</v>
      </c>
      <c r="K1160" s="12" t="s">
        <v>40</v>
      </c>
      <c r="L1160" s="15">
        <v>52</v>
      </c>
      <c r="M1160" s="25" t="s">
        <v>44</v>
      </c>
      <c r="N1160">
        <v>247</v>
      </c>
    </row>
    <row r="1161" spans="1:14">
      <c r="A1161" s="25">
        <f t="shared" si="109"/>
        <v>331</v>
      </c>
      <c r="B1161" s="67" t="s">
        <v>8</v>
      </c>
      <c r="C1161" s="67" t="s">
        <v>290</v>
      </c>
      <c r="D1161" s="67" t="s">
        <v>326</v>
      </c>
      <c r="E1161" s="22">
        <f t="shared" ca="1" si="110"/>
        <v>40951</v>
      </c>
      <c r="F1161" s="11">
        <f>DATE(91,12,5)</f>
        <v>33577</v>
      </c>
      <c r="G1161" s="12">
        <f t="shared" ca="1" si="111"/>
        <v>21</v>
      </c>
      <c r="H1161" s="12">
        <f t="shared" ca="1" si="112"/>
        <v>-10</v>
      </c>
      <c r="I1161" s="13">
        <f t="shared" ca="1" si="113"/>
        <v>7</v>
      </c>
      <c r="J1161" s="14">
        <f t="shared" ca="1" si="114"/>
        <v>20</v>
      </c>
      <c r="K1161" s="12" t="s">
        <v>40</v>
      </c>
      <c r="L1161" s="15">
        <v>52</v>
      </c>
      <c r="M1161" s="25" t="s">
        <v>44</v>
      </c>
      <c r="N1161">
        <v>247</v>
      </c>
    </row>
    <row r="1162" spans="1:14">
      <c r="A1162" s="25">
        <f t="shared" si="109"/>
        <v>332</v>
      </c>
      <c r="B1162" s="67" t="s">
        <v>8</v>
      </c>
      <c r="C1162" s="67" t="s">
        <v>527</v>
      </c>
      <c r="D1162" s="67" t="s">
        <v>528</v>
      </c>
      <c r="E1162" s="22">
        <f t="shared" ca="1" si="110"/>
        <v>40951</v>
      </c>
      <c r="F1162" s="11">
        <f>DATE(43,2,19)</f>
        <v>15756</v>
      </c>
      <c r="G1162" s="12">
        <f t="shared" ca="1" si="111"/>
        <v>69</v>
      </c>
      <c r="H1162" s="12">
        <f t="shared" ca="1" si="112"/>
        <v>0</v>
      </c>
      <c r="I1162" s="13">
        <f t="shared" ca="1" si="113"/>
        <v>-7</v>
      </c>
      <c r="J1162" s="14">
        <f t="shared" ca="1" si="114"/>
        <v>68</v>
      </c>
      <c r="K1162" s="12" t="s">
        <v>40</v>
      </c>
      <c r="L1162" s="15">
        <v>52</v>
      </c>
      <c r="M1162" s="25" t="s">
        <v>40</v>
      </c>
      <c r="N1162">
        <v>247</v>
      </c>
    </row>
    <row r="1163" spans="1:14">
      <c r="A1163" s="25">
        <f t="shared" si="109"/>
        <v>333</v>
      </c>
      <c r="B1163" s="67" t="s">
        <v>8</v>
      </c>
      <c r="C1163" s="67" t="s">
        <v>529</v>
      </c>
      <c r="D1163" s="67" t="s">
        <v>315</v>
      </c>
      <c r="E1163" s="22">
        <f t="shared" ca="1" si="110"/>
        <v>40951</v>
      </c>
      <c r="F1163" s="11">
        <f>DATE(73,6,27)</f>
        <v>26842</v>
      </c>
      <c r="G1163" s="12">
        <f t="shared" ca="1" si="111"/>
        <v>39</v>
      </c>
      <c r="H1163" s="12">
        <f t="shared" ca="1" si="112"/>
        <v>-4</v>
      </c>
      <c r="I1163" s="13">
        <f t="shared" ca="1" si="113"/>
        <v>-15</v>
      </c>
      <c r="J1163" s="14">
        <f t="shared" ca="1" si="114"/>
        <v>38</v>
      </c>
      <c r="K1163" s="12" t="s">
        <v>40</v>
      </c>
      <c r="L1163" s="15">
        <v>52</v>
      </c>
      <c r="M1163" s="25" t="s">
        <v>40</v>
      </c>
      <c r="N1163">
        <v>247</v>
      </c>
    </row>
    <row r="1164" spans="1:14">
      <c r="A1164" s="25">
        <f t="shared" ref="A1164:A1195" si="115">A1163+1</f>
        <v>334</v>
      </c>
      <c r="B1164" s="67" t="s">
        <v>8</v>
      </c>
      <c r="C1164" s="67" t="s">
        <v>126</v>
      </c>
      <c r="D1164" s="67" t="s">
        <v>529</v>
      </c>
      <c r="E1164" s="22">
        <f t="shared" ca="1" si="110"/>
        <v>40951</v>
      </c>
      <c r="F1164" s="11">
        <f>DATE(99,5,11)</f>
        <v>36291</v>
      </c>
      <c r="G1164" s="12">
        <f t="shared" ca="1" si="111"/>
        <v>13</v>
      </c>
      <c r="H1164" s="12">
        <f t="shared" ca="1" si="112"/>
        <v>-3</v>
      </c>
      <c r="I1164" s="13">
        <f t="shared" ca="1" si="113"/>
        <v>1</v>
      </c>
      <c r="J1164" s="14">
        <f t="shared" ca="1" si="114"/>
        <v>12</v>
      </c>
      <c r="K1164" s="12" t="s">
        <v>40</v>
      </c>
      <c r="L1164" s="15">
        <v>52</v>
      </c>
      <c r="M1164" s="25" t="s">
        <v>44</v>
      </c>
      <c r="N1164">
        <v>247</v>
      </c>
    </row>
    <row r="1165" spans="1:14">
      <c r="A1165" s="25">
        <f t="shared" si="115"/>
        <v>335</v>
      </c>
      <c r="B1165" s="67" t="s">
        <v>8</v>
      </c>
      <c r="C1165" s="67" t="s">
        <v>531</v>
      </c>
      <c r="D1165" s="67" t="s">
        <v>529</v>
      </c>
      <c r="E1165" s="22">
        <f t="shared" ca="1" si="110"/>
        <v>40951</v>
      </c>
      <c r="F1165" s="11">
        <f>DATE(2005,6,10)</f>
        <v>38513</v>
      </c>
      <c r="G1165" s="12">
        <f t="shared" ca="1" si="111"/>
        <v>7</v>
      </c>
      <c r="H1165" s="12">
        <f t="shared" ca="1" si="112"/>
        <v>-4</v>
      </c>
      <c r="I1165" s="13">
        <f t="shared" ca="1" si="113"/>
        <v>2</v>
      </c>
      <c r="J1165" s="14">
        <f t="shared" ca="1" si="114"/>
        <v>6</v>
      </c>
      <c r="K1165" s="12" t="s">
        <v>40</v>
      </c>
      <c r="L1165" s="15">
        <v>52</v>
      </c>
      <c r="M1165" s="25" t="s">
        <v>44</v>
      </c>
      <c r="N1165">
        <v>247</v>
      </c>
    </row>
    <row r="1166" spans="1:14">
      <c r="A1166" s="25">
        <f t="shared" si="115"/>
        <v>336</v>
      </c>
      <c r="B1166" s="67" t="s">
        <v>8</v>
      </c>
      <c r="C1166" s="67" t="s">
        <v>527</v>
      </c>
      <c r="D1166" s="67" t="s">
        <v>60</v>
      </c>
      <c r="E1166" s="22">
        <f t="shared" ca="1" si="110"/>
        <v>40951</v>
      </c>
      <c r="F1166" s="11">
        <f>DATE(61,11,11)</f>
        <v>22596</v>
      </c>
      <c r="G1166" s="12">
        <f t="shared" ca="1" si="111"/>
        <v>51</v>
      </c>
      <c r="H1166" s="12">
        <f t="shared" ca="1" si="112"/>
        <v>-9</v>
      </c>
      <c r="I1166" s="13">
        <f t="shared" ca="1" si="113"/>
        <v>1</v>
      </c>
      <c r="J1166" s="14">
        <f t="shared" ca="1" si="114"/>
        <v>50</v>
      </c>
      <c r="K1166" s="12" t="s">
        <v>40</v>
      </c>
      <c r="L1166" s="15">
        <v>52</v>
      </c>
      <c r="M1166" s="25" t="s">
        <v>40</v>
      </c>
      <c r="N1166">
        <v>247</v>
      </c>
    </row>
    <row r="1167" spans="1:14" ht="15.75" thickBot="1">
      <c r="A1167" s="26">
        <f t="shared" si="115"/>
        <v>337</v>
      </c>
      <c r="B1167" s="68" t="s">
        <v>8</v>
      </c>
      <c r="C1167" s="68" t="s">
        <v>527</v>
      </c>
      <c r="D1167" s="68" t="s">
        <v>77</v>
      </c>
      <c r="E1167" s="23">
        <f t="shared" ca="1" si="110"/>
        <v>40951</v>
      </c>
      <c r="F1167" s="16">
        <f>DATE(48,8,12)</f>
        <v>17757</v>
      </c>
      <c r="G1167" s="17">
        <f t="shared" ca="1" si="111"/>
        <v>64</v>
      </c>
      <c r="H1167" s="17">
        <f t="shared" ca="1" si="112"/>
        <v>-6</v>
      </c>
      <c r="I1167" s="18">
        <f t="shared" ca="1" si="113"/>
        <v>0</v>
      </c>
      <c r="J1167" s="19">
        <f t="shared" ca="1" si="114"/>
        <v>63</v>
      </c>
      <c r="K1167" s="17" t="s">
        <v>40</v>
      </c>
      <c r="L1167" s="20">
        <v>53</v>
      </c>
      <c r="M1167" s="26" t="s">
        <v>40</v>
      </c>
      <c r="N1167">
        <v>247</v>
      </c>
    </row>
    <row r="1168" spans="1:14">
      <c r="A1168" s="25">
        <f t="shared" si="115"/>
        <v>338</v>
      </c>
      <c r="B1168" s="67" t="s">
        <v>8</v>
      </c>
      <c r="C1168" s="67" t="s">
        <v>534</v>
      </c>
      <c r="D1168" s="67" t="s">
        <v>315</v>
      </c>
      <c r="E1168" s="22">
        <f t="shared" ca="1" si="110"/>
        <v>40951</v>
      </c>
      <c r="F1168" s="11">
        <f>DATE(78,9,18)</f>
        <v>28751</v>
      </c>
      <c r="G1168" s="12">
        <f t="shared" ca="1" si="111"/>
        <v>34</v>
      </c>
      <c r="H1168" s="12">
        <f t="shared" ca="1" si="112"/>
        <v>-7</v>
      </c>
      <c r="I1168" s="13">
        <f t="shared" ca="1" si="113"/>
        <v>-6</v>
      </c>
      <c r="J1168" s="14">
        <f t="shared" ca="1" si="114"/>
        <v>33</v>
      </c>
      <c r="K1168" s="12" t="s">
        <v>40</v>
      </c>
      <c r="L1168" s="15">
        <v>53</v>
      </c>
      <c r="M1168" s="25" t="s">
        <v>40</v>
      </c>
      <c r="N1168">
        <v>248</v>
      </c>
    </row>
    <row r="1169" spans="1:14">
      <c r="A1169" s="25">
        <f t="shared" si="115"/>
        <v>339</v>
      </c>
      <c r="B1169" s="67" t="s">
        <v>8</v>
      </c>
      <c r="C1169" s="67" t="s">
        <v>537</v>
      </c>
      <c r="D1169" s="67" t="s">
        <v>198</v>
      </c>
      <c r="E1169" s="22">
        <f t="shared" ca="1" si="110"/>
        <v>40951</v>
      </c>
      <c r="F1169" s="11">
        <f>DATE(48,6,20)</f>
        <v>17704</v>
      </c>
      <c r="G1169" s="12">
        <f t="shared" ca="1" si="111"/>
        <v>64</v>
      </c>
      <c r="H1169" s="12">
        <f t="shared" ca="1" si="112"/>
        <v>-4</v>
      </c>
      <c r="I1169" s="13">
        <f t="shared" ca="1" si="113"/>
        <v>-8</v>
      </c>
      <c r="J1169" s="14">
        <f t="shared" ca="1" si="114"/>
        <v>63</v>
      </c>
      <c r="K1169" s="12" t="s">
        <v>40</v>
      </c>
      <c r="L1169" s="15">
        <v>53</v>
      </c>
      <c r="M1169" s="25" t="s">
        <v>40</v>
      </c>
      <c r="N1169">
        <v>248</v>
      </c>
    </row>
    <row r="1170" spans="1:14">
      <c r="A1170" s="25">
        <f t="shared" si="115"/>
        <v>340</v>
      </c>
      <c r="B1170" s="67" t="s">
        <v>8</v>
      </c>
      <c r="C1170" s="67" t="s">
        <v>348</v>
      </c>
      <c r="D1170" s="67" t="s">
        <v>537</v>
      </c>
      <c r="E1170" s="22">
        <f t="shared" ca="1" si="110"/>
        <v>40951</v>
      </c>
      <c r="F1170" s="11">
        <f>DATE(86,11,20)</f>
        <v>31736</v>
      </c>
      <c r="G1170" s="12">
        <f t="shared" ca="1" si="111"/>
        <v>26</v>
      </c>
      <c r="H1170" s="12">
        <f t="shared" ca="1" si="112"/>
        <v>-9</v>
      </c>
      <c r="I1170" s="13">
        <f t="shared" ca="1" si="113"/>
        <v>-8</v>
      </c>
      <c r="J1170" s="14">
        <f t="shared" ca="1" si="114"/>
        <v>25</v>
      </c>
      <c r="K1170" s="12" t="s">
        <v>40</v>
      </c>
      <c r="L1170" s="15">
        <v>53</v>
      </c>
      <c r="M1170" s="25" t="s">
        <v>44</v>
      </c>
      <c r="N1170">
        <v>248</v>
      </c>
    </row>
    <row r="1171" spans="1:14">
      <c r="A1171" s="25">
        <f t="shared" si="115"/>
        <v>341</v>
      </c>
      <c r="B1171" s="67" t="s">
        <v>8</v>
      </c>
      <c r="C1171" s="67" t="s">
        <v>539</v>
      </c>
      <c r="D1171" s="67" t="s">
        <v>425</v>
      </c>
      <c r="E1171" s="22">
        <f t="shared" ca="1" si="110"/>
        <v>40951</v>
      </c>
      <c r="F1171" s="11">
        <f>DATE(43,8,22)</f>
        <v>15940</v>
      </c>
      <c r="G1171" s="12">
        <f t="shared" ca="1" si="111"/>
        <v>69</v>
      </c>
      <c r="H1171" s="12">
        <f t="shared" ca="1" si="112"/>
        <v>-6</v>
      </c>
      <c r="I1171" s="13">
        <f t="shared" ca="1" si="113"/>
        <v>-10</v>
      </c>
      <c r="J1171" s="14">
        <f t="shared" ca="1" si="114"/>
        <v>68</v>
      </c>
      <c r="K1171" s="12" t="s">
        <v>40</v>
      </c>
      <c r="L1171" s="15">
        <v>53</v>
      </c>
      <c r="M1171" s="25" t="s">
        <v>40</v>
      </c>
      <c r="N1171">
        <v>248</v>
      </c>
    </row>
    <row r="1172" spans="1:14">
      <c r="A1172" s="25">
        <f t="shared" si="115"/>
        <v>342</v>
      </c>
      <c r="B1172" s="67" t="s">
        <v>8</v>
      </c>
      <c r="C1172" s="67" t="s">
        <v>166</v>
      </c>
      <c r="D1172" s="67" t="s">
        <v>91</v>
      </c>
      <c r="E1172" s="22">
        <f t="shared" ca="1" si="110"/>
        <v>40951</v>
      </c>
      <c r="F1172" s="11">
        <f>DATE(69,8,30)</f>
        <v>25445</v>
      </c>
      <c r="G1172" s="12">
        <f t="shared" ca="1" si="111"/>
        <v>43</v>
      </c>
      <c r="H1172" s="12">
        <f t="shared" ca="1" si="112"/>
        <v>-6</v>
      </c>
      <c r="I1172" s="13">
        <f t="shared" ca="1" si="113"/>
        <v>-18</v>
      </c>
      <c r="J1172" s="14">
        <f t="shared" ca="1" si="114"/>
        <v>42</v>
      </c>
      <c r="K1172" s="12" t="s">
        <v>40</v>
      </c>
      <c r="L1172" s="15">
        <v>53</v>
      </c>
      <c r="M1172" s="25" t="s">
        <v>40</v>
      </c>
      <c r="N1172">
        <v>248</v>
      </c>
    </row>
    <row r="1173" spans="1:14" ht="15.75" thickBot="1">
      <c r="A1173" s="26">
        <f t="shared" si="115"/>
        <v>343</v>
      </c>
      <c r="B1173" s="68" t="s">
        <v>8</v>
      </c>
      <c r="C1173" s="68" t="s">
        <v>540</v>
      </c>
      <c r="D1173" s="68" t="s">
        <v>166</v>
      </c>
      <c r="E1173" s="23">
        <f t="shared" ca="1" si="110"/>
        <v>40951</v>
      </c>
      <c r="F1173" s="16">
        <f>DATE(96,11,23)</f>
        <v>35392</v>
      </c>
      <c r="G1173" s="17">
        <f t="shared" ca="1" si="111"/>
        <v>16</v>
      </c>
      <c r="H1173" s="17">
        <f t="shared" ca="1" si="112"/>
        <v>-9</v>
      </c>
      <c r="I1173" s="18">
        <f t="shared" ca="1" si="113"/>
        <v>-11</v>
      </c>
      <c r="J1173" s="19">
        <f t="shared" ca="1" si="114"/>
        <v>15</v>
      </c>
      <c r="K1173" s="17" t="s">
        <v>40</v>
      </c>
      <c r="L1173" s="20">
        <v>53</v>
      </c>
      <c r="M1173" s="26" t="s">
        <v>44</v>
      </c>
      <c r="N1173">
        <v>248</v>
      </c>
    </row>
    <row r="1174" spans="1:14">
      <c r="A1174" s="25">
        <f t="shared" si="115"/>
        <v>344</v>
      </c>
      <c r="B1174" s="67" t="s">
        <v>8</v>
      </c>
      <c r="C1174" s="67" t="s">
        <v>541</v>
      </c>
      <c r="D1174" s="67" t="s">
        <v>91</v>
      </c>
      <c r="E1174" s="22">
        <f t="shared" ca="1" si="110"/>
        <v>40951</v>
      </c>
      <c r="F1174" s="11">
        <f>DATE(71,8,14)</f>
        <v>26159</v>
      </c>
      <c r="G1174" s="12">
        <f t="shared" ca="1" si="111"/>
        <v>41</v>
      </c>
      <c r="H1174" s="12">
        <f t="shared" ca="1" si="112"/>
        <v>-6</v>
      </c>
      <c r="I1174" s="13">
        <f t="shared" ca="1" si="113"/>
        <v>-2</v>
      </c>
      <c r="J1174" s="14">
        <f t="shared" ca="1" si="114"/>
        <v>40</v>
      </c>
      <c r="K1174" s="12" t="s">
        <v>40</v>
      </c>
      <c r="L1174" s="15">
        <v>53</v>
      </c>
      <c r="M1174" s="25" t="s">
        <v>40</v>
      </c>
      <c r="N1174">
        <v>249</v>
      </c>
    </row>
    <row r="1175" spans="1:14">
      <c r="A1175" s="25">
        <f t="shared" si="115"/>
        <v>345</v>
      </c>
      <c r="B1175" s="67" t="s">
        <v>8</v>
      </c>
      <c r="C1175" s="67" t="s">
        <v>332</v>
      </c>
      <c r="D1175" s="67" t="s">
        <v>198</v>
      </c>
      <c r="E1175" s="22">
        <f t="shared" ca="1" si="110"/>
        <v>40951</v>
      </c>
      <c r="F1175" s="11">
        <f>DATE(56,12,25)</f>
        <v>20814</v>
      </c>
      <c r="G1175" s="12">
        <f t="shared" ca="1" si="111"/>
        <v>56</v>
      </c>
      <c r="H1175" s="12">
        <f t="shared" ca="1" si="112"/>
        <v>-10</v>
      </c>
      <c r="I1175" s="13">
        <f t="shared" ca="1" si="113"/>
        <v>-13</v>
      </c>
      <c r="J1175" s="14">
        <f t="shared" ca="1" si="114"/>
        <v>55</v>
      </c>
      <c r="K1175" s="12" t="s">
        <v>40</v>
      </c>
      <c r="L1175" s="15">
        <v>54</v>
      </c>
      <c r="M1175" s="25" t="s">
        <v>40</v>
      </c>
      <c r="N1175">
        <v>249</v>
      </c>
    </row>
    <row r="1176" spans="1:14">
      <c r="A1176" s="25">
        <f t="shared" si="115"/>
        <v>346</v>
      </c>
      <c r="B1176" s="67" t="s">
        <v>8</v>
      </c>
      <c r="C1176" s="67" t="s">
        <v>543</v>
      </c>
      <c r="D1176" s="67" t="s">
        <v>332</v>
      </c>
      <c r="E1176" s="22">
        <f t="shared" ca="1" si="110"/>
        <v>40951</v>
      </c>
      <c r="F1176" s="11">
        <f>DATE(84,12,5)</f>
        <v>31021</v>
      </c>
      <c r="G1176" s="12">
        <f t="shared" ca="1" si="111"/>
        <v>28</v>
      </c>
      <c r="H1176" s="12">
        <f t="shared" ca="1" si="112"/>
        <v>-10</v>
      </c>
      <c r="I1176" s="13">
        <f t="shared" ca="1" si="113"/>
        <v>7</v>
      </c>
      <c r="J1176" s="14">
        <f t="shared" ca="1" si="114"/>
        <v>27</v>
      </c>
      <c r="K1176" s="12" t="s">
        <v>40</v>
      </c>
      <c r="L1176" s="15">
        <v>54</v>
      </c>
      <c r="M1176" s="25" t="s">
        <v>44</v>
      </c>
      <c r="N1176">
        <v>249</v>
      </c>
    </row>
    <row r="1177" spans="1:14" ht="15.75" thickBot="1">
      <c r="A1177" s="26">
        <f t="shared" si="115"/>
        <v>347</v>
      </c>
      <c r="B1177" s="68" t="s">
        <v>8</v>
      </c>
      <c r="C1177" s="68" t="s">
        <v>545</v>
      </c>
      <c r="D1177" s="68" t="s">
        <v>546</v>
      </c>
      <c r="E1177" s="23">
        <f t="shared" ca="1" si="110"/>
        <v>40951</v>
      </c>
      <c r="F1177" s="33"/>
      <c r="G1177" s="17">
        <f t="shared" ca="1" si="111"/>
        <v>112</v>
      </c>
      <c r="H1177" s="17">
        <f t="shared" ca="1" si="112"/>
        <v>1</v>
      </c>
      <c r="I1177" s="18">
        <f t="shared" ca="1" si="113"/>
        <v>12</v>
      </c>
      <c r="J1177" s="19">
        <f t="shared" ca="1" si="114"/>
        <v>112</v>
      </c>
      <c r="K1177" s="17" t="s">
        <v>40</v>
      </c>
      <c r="L1177" s="20">
        <v>54</v>
      </c>
      <c r="M1177" s="26" t="s">
        <v>40</v>
      </c>
      <c r="N1177">
        <v>249</v>
      </c>
    </row>
    <row r="1178" spans="1:14">
      <c r="A1178" s="25">
        <f t="shared" si="115"/>
        <v>348</v>
      </c>
      <c r="B1178" s="67" t="s">
        <v>8</v>
      </c>
      <c r="C1178" s="67" t="s">
        <v>93</v>
      </c>
      <c r="D1178" s="67" t="s">
        <v>60</v>
      </c>
      <c r="E1178" s="22">
        <f t="shared" ca="1" si="110"/>
        <v>40951</v>
      </c>
      <c r="F1178" s="11">
        <f>DATE(59,9,5)</f>
        <v>21798</v>
      </c>
      <c r="G1178" s="12">
        <f t="shared" ca="1" si="111"/>
        <v>53</v>
      </c>
      <c r="H1178" s="12">
        <f t="shared" ca="1" si="112"/>
        <v>-7</v>
      </c>
      <c r="I1178" s="13">
        <f t="shared" ca="1" si="113"/>
        <v>7</v>
      </c>
      <c r="J1178" s="14">
        <f t="shared" ca="1" si="114"/>
        <v>52</v>
      </c>
      <c r="K1178" s="12" t="s">
        <v>40</v>
      </c>
      <c r="L1178" s="15">
        <v>54</v>
      </c>
      <c r="M1178" s="25" t="s">
        <v>40</v>
      </c>
      <c r="N1178">
        <v>250</v>
      </c>
    </row>
    <row r="1179" spans="1:14">
      <c r="A1179" s="25">
        <f t="shared" si="115"/>
        <v>349</v>
      </c>
      <c r="B1179" s="67" t="s">
        <v>8</v>
      </c>
      <c r="C1179" s="67" t="s">
        <v>234</v>
      </c>
      <c r="D1179" s="67" t="s">
        <v>93</v>
      </c>
      <c r="E1179" s="22">
        <f t="shared" ca="1" si="110"/>
        <v>40951</v>
      </c>
      <c r="F1179" s="11">
        <f>DATE(92,4,17)</f>
        <v>33711</v>
      </c>
      <c r="G1179" s="12">
        <f t="shared" ca="1" si="111"/>
        <v>20</v>
      </c>
      <c r="H1179" s="12">
        <f t="shared" ca="1" si="112"/>
        <v>-2</v>
      </c>
      <c r="I1179" s="13">
        <f t="shared" ca="1" si="113"/>
        <v>-5</v>
      </c>
      <c r="J1179" s="14">
        <f t="shared" ca="1" si="114"/>
        <v>19</v>
      </c>
      <c r="K1179" s="12" t="s">
        <v>40</v>
      </c>
      <c r="L1179" s="15">
        <v>54</v>
      </c>
      <c r="M1179" s="25" t="s">
        <v>44</v>
      </c>
      <c r="N1179">
        <v>250</v>
      </c>
    </row>
    <row r="1180" spans="1:14" ht="15.75" thickBot="1">
      <c r="A1180" s="26">
        <f t="shared" si="115"/>
        <v>350</v>
      </c>
      <c r="B1180" s="68" t="s">
        <v>8</v>
      </c>
      <c r="C1180" s="68" t="s">
        <v>550</v>
      </c>
      <c r="D1180" s="68" t="s">
        <v>551</v>
      </c>
      <c r="E1180" s="23">
        <f t="shared" ca="1" si="110"/>
        <v>40951</v>
      </c>
      <c r="F1180" s="16">
        <f>DATE(51,8,21)</f>
        <v>18861</v>
      </c>
      <c r="G1180" s="17">
        <f t="shared" ca="1" si="111"/>
        <v>61</v>
      </c>
      <c r="H1180" s="17">
        <f t="shared" ca="1" si="112"/>
        <v>-6</v>
      </c>
      <c r="I1180" s="18">
        <f t="shared" ca="1" si="113"/>
        <v>-9</v>
      </c>
      <c r="J1180" s="19">
        <f t="shared" ca="1" si="114"/>
        <v>60</v>
      </c>
      <c r="K1180" s="17" t="s">
        <v>40</v>
      </c>
      <c r="L1180" s="20">
        <v>55</v>
      </c>
      <c r="M1180" s="26" t="s">
        <v>40</v>
      </c>
      <c r="N1180">
        <v>250</v>
      </c>
    </row>
    <row r="1181" spans="1:14">
      <c r="A1181" s="25">
        <f t="shared" si="115"/>
        <v>351</v>
      </c>
      <c r="B1181" s="67" t="s">
        <v>8</v>
      </c>
      <c r="C1181" s="67" t="s">
        <v>439</v>
      </c>
      <c r="D1181" s="67" t="s">
        <v>556</v>
      </c>
      <c r="E1181" s="22">
        <f t="shared" ca="1" si="110"/>
        <v>40951</v>
      </c>
      <c r="F1181" s="11">
        <f>DATE(61,12,23)</f>
        <v>22638</v>
      </c>
      <c r="G1181" s="12">
        <f t="shared" ca="1" si="111"/>
        <v>51</v>
      </c>
      <c r="H1181" s="12">
        <f t="shared" ca="1" si="112"/>
        <v>-10</v>
      </c>
      <c r="I1181" s="13">
        <f t="shared" ca="1" si="113"/>
        <v>-11</v>
      </c>
      <c r="J1181" s="14">
        <f t="shared" ca="1" si="114"/>
        <v>50</v>
      </c>
      <c r="K1181" s="12" t="s">
        <v>40</v>
      </c>
      <c r="L1181" s="15">
        <v>55</v>
      </c>
      <c r="M1181" s="25" t="s">
        <v>40</v>
      </c>
      <c r="N1181">
        <v>251</v>
      </c>
    </row>
    <row r="1182" spans="1:14">
      <c r="A1182" s="25">
        <f t="shared" si="115"/>
        <v>352</v>
      </c>
      <c r="B1182" s="67" t="s">
        <v>8</v>
      </c>
      <c r="C1182" s="67" t="s">
        <v>559</v>
      </c>
      <c r="D1182" s="67" t="s">
        <v>439</v>
      </c>
      <c r="E1182" s="22">
        <f t="shared" ca="1" si="110"/>
        <v>40951</v>
      </c>
      <c r="F1182" s="11">
        <f>DATE(94,3,28)</f>
        <v>34421</v>
      </c>
      <c r="G1182" s="12">
        <f t="shared" ca="1" si="111"/>
        <v>18</v>
      </c>
      <c r="H1182" s="12">
        <f t="shared" ca="1" si="112"/>
        <v>-1</v>
      </c>
      <c r="I1182" s="13">
        <f t="shared" ca="1" si="113"/>
        <v>-16</v>
      </c>
      <c r="J1182" s="14">
        <f t="shared" ca="1" si="114"/>
        <v>17</v>
      </c>
      <c r="K1182" s="12" t="s">
        <v>40</v>
      </c>
      <c r="L1182" s="15">
        <v>55</v>
      </c>
      <c r="M1182" s="25" t="s">
        <v>44</v>
      </c>
      <c r="N1182">
        <v>251</v>
      </c>
    </row>
    <row r="1183" spans="1:14">
      <c r="A1183" s="25">
        <f t="shared" si="115"/>
        <v>353</v>
      </c>
      <c r="B1183" s="67" t="s">
        <v>8</v>
      </c>
      <c r="C1183" s="67" t="s">
        <v>560</v>
      </c>
      <c r="D1183" s="67" t="s">
        <v>561</v>
      </c>
      <c r="E1183" s="22">
        <f t="shared" ca="1" si="110"/>
        <v>40951</v>
      </c>
      <c r="F1183" s="11">
        <f>DATE(52,8,19)</f>
        <v>19225</v>
      </c>
      <c r="G1183" s="12">
        <f t="shared" ca="1" si="111"/>
        <v>60</v>
      </c>
      <c r="H1183" s="12">
        <f t="shared" ca="1" si="112"/>
        <v>-6</v>
      </c>
      <c r="I1183" s="13">
        <f t="shared" ca="1" si="113"/>
        <v>-7</v>
      </c>
      <c r="J1183" s="14">
        <f t="shared" ca="1" si="114"/>
        <v>59</v>
      </c>
      <c r="K1183" s="12" t="s">
        <v>40</v>
      </c>
      <c r="L1183" s="15">
        <v>55</v>
      </c>
      <c r="M1183" s="25" t="s">
        <v>40</v>
      </c>
      <c r="N1183">
        <v>251</v>
      </c>
    </row>
    <row r="1184" spans="1:14">
      <c r="A1184" s="25">
        <f t="shared" si="115"/>
        <v>354</v>
      </c>
      <c r="B1184" s="67" t="s">
        <v>8</v>
      </c>
      <c r="C1184" s="67" t="s">
        <v>562</v>
      </c>
      <c r="D1184" s="67" t="s">
        <v>560</v>
      </c>
      <c r="E1184" s="22">
        <f t="shared" ca="1" si="110"/>
        <v>40951</v>
      </c>
      <c r="F1184" s="11">
        <f>DATE(88,2,1)</f>
        <v>32174</v>
      </c>
      <c r="G1184" s="12">
        <f t="shared" ca="1" si="111"/>
        <v>24</v>
      </c>
      <c r="H1184" s="12">
        <f t="shared" ca="1" si="112"/>
        <v>0</v>
      </c>
      <c r="I1184" s="13">
        <f t="shared" ca="1" si="113"/>
        <v>11</v>
      </c>
      <c r="J1184" s="14">
        <f t="shared" ca="1" si="114"/>
        <v>24</v>
      </c>
      <c r="K1184" s="12" t="s">
        <v>40</v>
      </c>
      <c r="L1184" s="15">
        <v>55</v>
      </c>
      <c r="M1184" s="25" t="s">
        <v>44</v>
      </c>
      <c r="N1184">
        <v>251</v>
      </c>
    </row>
    <row r="1185" spans="1:14" ht="15.75" thickBot="1">
      <c r="A1185" s="26">
        <f t="shared" si="115"/>
        <v>355</v>
      </c>
      <c r="B1185" s="68" t="s">
        <v>8</v>
      </c>
      <c r="C1185" s="68" t="s">
        <v>444</v>
      </c>
      <c r="D1185" s="68" t="s">
        <v>564</v>
      </c>
      <c r="E1185" s="23">
        <f t="shared" ca="1" si="110"/>
        <v>40951</v>
      </c>
      <c r="F1185" s="16">
        <f>DATE(73,11,27)</f>
        <v>26995</v>
      </c>
      <c r="G1185" s="17">
        <f t="shared" ca="1" si="111"/>
        <v>39</v>
      </c>
      <c r="H1185" s="17">
        <f t="shared" ca="1" si="112"/>
        <v>-9</v>
      </c>
      <c r="I1185" s="18">
        <f t="shared" ca="1" si="113"/>
        <v>-15</v>
      </c>
      <c r="J1185" s="19">
        <f t="shared" ca="1" si="114"/>
        <v>38</v>
      </c>
      <c r="K1185" s="17" t="s">
        <v>40</v>
      </c>
      <c r="L1185" s="20">
        <v>56</v>
      </c>
      <c r="M1185" s="26" t="s">
        <v>40</v>
      </c>
      <c r="N1185">
        <v>251</v>
      </c>
    </row>
    <row r="1186" spans="1:14">
      <c r="A1186" s="25">
        <f t="shared" si="115"/>
        <v>356</v>
      </c>
      <c r="B1186" s="67" t="s">
        <v>8</v>
      </c>
      <c r="C1186" s="67" t="s">
        <v>566</v>
      </c>
      <c r="D1186" s="67" t="s">
        <v>444</v>
      </c>
      <c r="E1186" s="22">
        <f t="shared" ca="1" si="110"/>
        <v>40951</v>
      </c>
      <c r="F1186" s="11">
        <f>DATE(2000,11,13)</f>
        <v>36843</v>
      </c>
      <c r="G1186" s="12">
        <f t="shared" ca="1" si="111"/>
        <v>12</v>
      </c>
      <c r="H1186" s="12">
        <f t="shared" ca="1" si="112"/>
        <v>-9</v>
      </c>
      <c r="I1186" s="13">
        <f t="shared" ca="1" si="113"/>
        <v>-1</v>
      </c>
      <c r="J1186" s="14">
        <f t="shared" ca="1" si="114"/>
        <v>11</v>
      </c>
      <c r="K1186" s="12" t="s">
        <v>40</v>
      </c>
      <c r="L1186" s="15">
        <v>56</v>
      </c>
      <c r="M1186" s="25" t="s">
        <v>44</v>
      </c>
      <c r="N1186">
        <v>252</v>
      </c>
    </row>
    <row r="1187" spans="1:14">
      <c r="A1187" s="25">
        <f t="shared" si="115"/>
        <v>357</v>
      </c>
      <c r="B1187" s="67" t="s">
        <v>8</v>
      </c>
      <c r="C1187" s="67" t="s">
        <v>568</v>
      </c>
      <c r="D1187" s="67" t="s">
        <v>358</v>
      </c>
      <c r="E1187" s="22">
        <f t="shared" ca="1" si="110"/>
        <v>40951</v>
      </c>
      <c r="F1187" s="11">
        <f>DATE(57,4,22)</f>
        <v>20932</v>
      </c>
      <c r="G1187" s="12">
        <f t="shared" ca="1" si="111"/>
        <v>55</v>
      </c>
      <c r="H1187" s="12">
        <f t="shared" ca="1" si="112"/>
        <v>-2</v>
      </c>
      <c r="I1187" s="13">
        <f t="shared" ca="1" si="113"/>
        <v>-10</v>
      </c>
      <c r="J1187" s="14">
        <f t="shared" ca="1" si="114"/>
        <v>54</v>
      </c>
      <c r="K1187" s="12" t="s">
        <v>40</v>
      </c>
      <c r="L1187" s="15">
        <v>56</v>
      </c>
      <c r="M1187" s="25" t="s">
        <v>40</v>
      </c>
      <c r="N1187">
        <v>252</v>
      </c>
    </row>
    <row r="1188" spans="1:14">
      <c r="A1188" s="25">
        <f t="shared" si="115"/>
        <v>358</v>
      </c>
      <c r="B1188" s="67" t="s">
        <v>8</v>
      </c>
      <c r="C1188" s="67" t="s">
        <v>569</v>
      </c>
      <c r="D1188" s="67" t="s">
        <v>568</v>
      </c>
      <c r="E1188" s="22">
        <f t="shared" ca="1" si="110"/>
        <v>40951</v>
      </c>
      <c r="F1188" s="11">
        <f>DATE(86,3,7)</f>
        <v>31478</v>
      </c>
      <c r="G1188" s="12">
        <f t="shared" ca="1" si="111"/>
        <v>26</v>
      </c>
      <c r="H1188" s="12">
        <f t="shared" ca="1" si="112"/>
        <v>-1</v>
      </c>
      <c r="I1188" s="13">
        <f t="shared" ca="1" si="113"/>
        <v>5</v>
      </c>
      <c r="J1188" s="14">
        <f t="shared" ca="1" si="114"/>
        <v>25</v>
      </c>
      <c r="K1188" s="12" t="s">
        <v>40</v>
      </c>
      <c r="L1188" s="15">
        <v>56</v>
      </c>
      <c r="M1188" s="25" t="s">
        <v>44</v>
      </c>
      <c r="N1188">
        <v>252</v>
      </c>
    </row>
    <row r="1189" spans="1:14">
      <c r="A1189" s="25">
        <f t="shared" si="115"/>
        <v>359</v>
      </c>
      <c r="B1189" s="67" t="s">
        <v>8</v>
      </c>
      <c r="C1189" s="67" t="s">
        <v>376</v>
      </c>
      <c r="D1189" s="67" t="s">
        <v>568</v>
      </c>
      <c r="E1189" s="22">
        <f t="shared" ca="1" si="110"/>
        <v>40951</v>
      </c>
      <c r="F1189" s="11">
        <f>DATE(89,5,31)</f>
        <v>32659</v>
      </c>
      <c r="G1189" s="12">
        <f t="shared" ca="1" si="111"/>
        <v>23</v>
      </c>
      <c r="H1189" s="12">
        <f t="shared" ca="1" si="112"/>
        <v>-3</v>
      </c>
      <c r="I1189" s="13">
        <f t="shared" ca="1" si="113"/>
        <v>-19</v>
      </c>
      <c r="J1189" s="14">
        <f t="shared" ca="1" si="114"/>
        <v>22</v>
      </c>
      <c r="K1189" s="12" t="s">
        <v>40</v>
      </c>
      <c r="L1189" s="15">
        <v>56</v>
      </c>
      <c r="M1189" s="25" t="s">
        <v>44</v>
      </c>
      <c r="N1189">
        <v>252</v>
      </c>
    </row>
    <row r="1190" spans="1:14" ht="15.75" thickBot="1">
      <c r="A1190" s="26">
        <f t="shared" si="115"/>
        <v>360</v>
      </c>
      <c r="B1190" s="68" t="s">
        <v>8</v>
      </c>
      <c r="C1190" s="68" t="s">
        <v>341</v>
      </c>
      <c r="D1190" s="68" t="s">
        <v>77</v>
      </c>
      <c r="E1190" s="23">
        <f t="shared" ca="1" si="110"/>
        <v>40951</v>
      </c>
      <c r="F1190" s="16">
        <f>DATE(63,9,1)</f>
        <v>23255</v>
      </c>
      <c r="G1190" s="17">
        <f t="shared" ca="1" si="111"/>
        <v>49</v>
      </c>
      <c r="H1190" s="17">
        <f t="shared" ca="1" si="112"/>
        <v>-7</v>
      </c>
      <c r="I1190" s="18">
        <f t="shared" ca="1" si="113"/>
        <v>11</v>
      </c>
      <c r="J1190" s="19">
        <f t="shared" ca="1" si="114"/>
        <v>48</v>
      </c>
      <c r="K1190" s="17" t="s">
        <v>40</v>
      </c>
      <c r="L1190" s="20">
        <v>56</v>
      </c>
      <c r="M1190" s="26" t="s">
        <v>40</v>
      </c>
      <c r="N1190">
        <v>252</v>
      </c>
    </row>
    <row r="1191" spans="1:14" ht="15.75" thickBot="1">
      <c r="A1191" s="43">
        <f t="shared" si="115"/>
        <v>361</v>
      </c>
      <c r="B1191" s="69" t="s">
        <v>8</v>
      </c>
      <c r="C1191" s="69" t="s">
        <v>571</v>
      </c>
      <c r="D1191" s="69" t="s">
        <v>341</v>
      </c>
      <c r="E1191" s="37">
        <f t="shared" ca="1" si="110"/>
        <v>40951</v>
      </c>
      <c r="F1191" s="38">
        <f>DATE(84,10,8)</f>
        <v>30963</v>
      </c>
      <c r="G1191" s="39">
        <f t="shared" ca="1" si="111"/>
        <v>28</v>
      </c>
      <c r="H1191" s="39">
        <f t="shared" ca="1" si="112"/>
        <v>-8</v>
      </c>
      <c r="I1191" s="40">
        <f t="shared" ca="1" si="113"/>
        <v>4</v>
      </c>
      <c r="J1191" s="41">
        <f t="shared" ca="1" si="114"/>
        <v>27</v>
      </c>
      <c r="K1191" s="39" t="s">
        <v>40</v>
      </c>
      <c r="L1191" s="42">
        <v>56</v>
      </c>
      <c r="M1191" s="43" t="s">
        <v>44</v>
      </c>
      <c r="N1191">
        <v>253</v>
      </c>
    </row>
    <row r="1192" spans="1:14">
      <c r="A1192" s="25">
        <f t="shared" si="115"/>
        <v>362</v>
      </c>
      <c r="B1192" s="67" t="s">
        <v>8</v>
      </c>
      <c r="C1192" s="67" t="s">
        <v>572</v>
      </c>
      <c r="D1192" s="67" t="s">
        <v>573</v>
      </c>
      <c r="E1192" s="22">
        <f t="shared" ca="1" si="110"/>
        <v>40951</v>
      </c>
      <c r="F1192" s="11">
        <f>DATE(34,4,29)</f>
        <v>12538</v>
      </c>
      <c r="G1192" s="12">
        <f t="shared" ca="1" si="111"/>
        <v>78</v>
      </c>
      <c r="H1192" s="12">
        <f t="shared" ca="1" si="112"/>
        <v>-2</v>
      </c>
      <c r="I1192" s="13">
        <f t="shared" ca="1" si="113"/>
        <v>-17</v>
      </c>
      <c r="J1192" s="14">
        <f t="shared" ca="1" si="114"/>
        <v>77</v>
      </c>
      <c r="K1192" s="12" t="s">
        <v>40</v>
      </c>
      <c r="L1192" s="15">
        <v>57</v>
      </c>
      <c r="M1192" s="25" t="s">
        <v>40</v>
      </c>
      <c r="N1192">
        <v>254</v>
      </c>
    </row>
    <row r="1193" spans="1:14">
      <c r="A1193" s="25">
        <f t="shared" si="115"/>
        <v>363</v>
      </c>
      <c r="B1193" s="67" t="s">
        <v>8</v>
      </c>
      <c r="C1193" s="67" t="s">
        <v>138</v>
      </c>
      <c r="D1193" s="67" t="s">
        <v>572</v>
      </c>
      <c r="E1193" s="22">
        <f t="shared" ca="1" si="110"/>
        <v>40951</v>
      </c>
      <c r="F1193" s="11">
        <f>DATE(57,12,8)</f>
        <v>21162</v>
      </c>
      <c r="G1193" s="12">
        <f t="shared" ca="1" si="111"/>
        <v>55</v>
      </c>
      <c r="H1193" s="12">
        <f t="shared" ca="1" si="112"/>
        <v>-10</v>
      </c>
      <c r="I1193" s="13">
        <f t="shared" ca="1" si="113"/>
        <v>4</v>
      </c>
      <c r="J1193" s="14">
        <f t="shared" ca="1" si="114"/>
        <v>54</v>
      </c>
      <c r="K1193" s="12" t="s">
        <v>40</v>
      </c>
      <c r="L1193" s="15">
        <v>57</v>
      </c>
      <c r="M1193" s="25" t="s">
        <v>40</v>
      </c>
      <c r="N1193">
        <v>254</v>
      </c>
    </row>
    <row r="1194" spans="1:14">
      <c r="A1194" s="25">
        <f t="shared" si="115"/>
        <v>364</v>
      </c>
      <c r="B1194" s="67" t="s">
        <v>8</v>
      </c>
      <c r="C1194" s="67" t="s">
        <v>305</v>
      </c>
      <c r="D1194" s="67" t="s">
        <v>138</v>
      </c>
      <c r="E1194" s="22">
        <f t="shared" ca="1" si="110"/>
        <v>40951</v>
      </c>
      <c r="F1194" s="11">
        <f>DATE(84,7,25)</f>
        <v>30888</v>
      </c>
      <c r="G1194" s="12">
        <f t="shared" ca="1" si="111"/>
        <v>28</v>
      </c>
      <c r="H1194" s="12">
        <f t="shared" ca="1" si="112"/>
        <v>-5</v>
      </c>
      <c r="I1194" s="13">
        <f t="shared" ca="1" si="113"/>
        <v>-13</v>
      </c>
      <c r="J1194" s="14">
        <f t="shared" ca="1" si="114"/>
        <v>27</v>
      </c>
      <c r="K1194" s="12" t="s">
        <v>40</v>
      </c>
      <c r="L1194" s="15">
        <v>57</v>
      </c>
      <c r="M1194" s="25" t="s">
        <v>44</v>
      </c>
      <c r="N1194">
        <v>254</v>
      </c>
    </row>
    <row r="1195" spans="1:14">
      <c r="A1195" s="25">
        <f t="shared" si="115"/>
        <v>365</v>
      </c>
      <c r="B1195" s="67" t="s">
        <v>8</v>
      </c>
      <c r="C1195" s="67" t="s">
        <v>376</v>
      </c>
      <c r="D1195" s="67" t="s">
        <v>138</v>
      </c>
      <c r="E1195" s="22">
        <f t="shared" ca="1" si="110"/>
        <v>40951</v>
      </c>
      <c r="F1195" s="11">
        <f>DATE(90,9,13)</f>
        <v>33129</v>
      </c>
      <c r="G1195" s="12">
        <f t="shared" ca="1" si="111"/>
        <v>22</v>
      </c>
      <c r="H1195" s="12">
        <f t="shared" ca="1" si="112"/>
        <v>-7</v>
      </c>
      <c r="I1195" s="13">
        <f t="shared" ca="1" si="113"/>
        <v>-1</v>
      </c>
      <c r="J1195" s="14">
        <f t="shared" ca="1" si="114"/>
        <v>21</v>
      </c>
      <c r="K1195" s="12" t="s">
        <v>40</v>
      </c>
      <c r="L1195" s="15">
        <v>57</v>
      </c>
      <c r="M1195" s="25" t="s">
        <v>44</v>
      </c>
      <c r="N1195">
        <v>254</v>
      </c>
    </row>
    <row r="1196" spans="1:14">
      <c r="A1196" s="25">
        <f t="shared" ref="A1196:A1227" si="116">A1195+1</f>
        <v>366</v>
      </c>
      <c r="B1196" s="67" t="s">
        <v>8</v>
      </c>
      <c r="C1196" s="67" t="s">
        <v>396</v>
      </c>
      <c r="D1196" s="67" t="s">
        <v>572</v>
      </c>
      <c r="E1196" s="22">
        <f t="shared" ca="1" si="110"/>
        <v>40951</v>
      </c>
      <c r="F1196" s="11">
        <f>DATE(64,10,6)</f>
        <v>23656</v>
      </c>
      <c r="G1196" s="12">
        <f t="shared" ca="1" si="111"/>
        <v>48</v>
      </c>
      <c r="H1196" s="12">
        <f t="shared" ca="1" si="112"/>
        <v>-8</v>
      </c>
      <c r="I1196" s="13">
        <f t="shared" ca="1" si="113"/>
        <v>6</v>
      </c>
      <c r="J1196" s="14">
        <f t="shared" ca="1" si="114"/>
        <v>47</v>
      </c>
      <c r="K1196" s="12" t="s">
        <v>40</v>
      </c>
      <c r="L1196" s="15">
        <v>57</v>
      </c>
      <c r="M1196" s="25" t="s">
        <v>40</v>
      </c>
      <c r="N1196">
        <v>254</v>
      </c>
    </row>
    <row r="1197" spans="1:14" ht="15.75" thickBot="1">
      <c r="A1197" s="26">
        <f t="shared" si="116"/>
        <v>367</v>
      </c>
      <c r="B1197" s="68" t="s">
        <v>8</v>
      </c>
      <c r="C1197" s="68" t="s">
        <v>577</v>
      </c>
      <c r="D1197" s="68" t="s">
        <v>134</v>
      </c>
      <c r="E1197" s="23">
        <f t="shared" ca="1" si="110"/>
        <v>40951</v>
      </c>
      <c r="F1197" s="16">
        <f>DATE(43,1,31)</f>
        <v>15737</v>
      </c>
      <c r="G1197" s="17">
        <f t="shared" ca="1" si="111"/>
        <v>69</v>
      </c>
      <c r="H1197" s="17">
        <f t="shared" ca="1" si="112"/>
        <v>1</v>
      </c>
      <c r="I1197" s="18">
        <f t="shared" ca="1" si="113"/>
        <v>-19</v>
      </c>
      <c r="J1197" s="19">
        <f t="shared" ca="1" si="114"/>
        <v>69</v>
      </c>
      <c r="K1197" s="17" t="s">
        <v>40</v>
      </c>
      <c r="L1197" s="20">
        <v>58</v>
      </c>
      <c r="M1197" s="26" t="s">
        <v>40</v>
      </c>
      <c r="N1197">
        <v>254</v>
      </c>
    </row>
    <row r="1198" spans="1:14">
      <c r="A1198" s="25">
        <f t="shared" si="116"/>
        <v>368</v>
      </c>
      <c r="B1198" s="67" t="s">
        <v>8</v>
      </c>
      <c r="C1198" s="67" t="s">
        <v>118</v>
      </c>
      <c r="D1198" s="67" t="s">
        <v>577</v>
      </c>
      <c r="E1198" s="22">
        <f t="shared" ca="1" si="110"/>
        <v>40951</v>
      </c>
      <c r="F1198" s="11">
        <f>DATE(72,1,31)</f>
        <v>26329</v>
      </c>
      <c r="G1198" s="12">
        <f t="shared" ca="1" si="111"/>
        <v>40</v>
      </c>
      <c r="H1198" s="12">
        <f t="shared" ca="1" si="112"/>
        <v>1</v>
      </c>
      <c r="I1198" s="13">
        <f t="shared" ca="1" si="113"/>
        <v>-19</v>
      </c>
      <c r="J1198" s="14">
        <f t="shared" ca="1" si="114"/>
        <v>40</v>
      </c>
      <c r="K1198" s="12" t="s">
        <v>40</v>
      </c>
      <c r="L1198" s="15">
        <v>58</v>
      </c>
      <c r="M1198" s="25" t="s">
        <v>40</v>
      </c>
      <c r="N1198">
        <v>255</v>
      </c>
    </row>
    <row r="1199" spans="1:14">
      <c r="A1199" s="25">
        <f t="shared" si="116"/>
        <v>369</v>
      </c>
      <c r="B1199" s="67" t="s">
        <v>8</v>
      </c>
      <c r="C1199" s="67" t="s">
        <v>582</v>
      </c>
      <c r="D1199" s="67" t="s">
        <v>577</v>
      </c>
      <c r="E1199" s="22">
        <f t="shared" ca="1" si="110"/>
        <v>40951</v>
      </c>
      <c r="F1199" s="11">
        <f>DATE(75,5,1)</f>
        <v>27515</v>
      </c>
      <c r="G1199" s="12">
        <f t="shared" ca="1" si="111"/>
        <v>37</v>
      </c>
      <c r="H1199" s="12">
        <f t="shared" ca="1" si="112"/>
        <v>-3</v>
      </c>
      <c r="I1199" s="13">
        <f t="shared" ca="1" si="113"/>
        <v>11</v>
      </c>
      <c r="J1199" s="14">
        <f t="shared" ca="1" si="114"/>
        <v>36</v>
      </c>
      <c r="K1199" s="12" t="s">
        <v>40</v>
      </c>
      <c r="L1199" s="15">
        <v>58</v>
      </c>
      <c r="M1199" s="25" t="s">
        <v>40</v>
      </c>
      <c r="N1199">
        <v>255</v>
      </c>
    </row>
    <row r="1200" spans="1:14">
      <c r="A1200" s="25">
        <f t="shared" si="116"/>
        <v>370</v>
      </c>
      <c r="B1200" s="67" t="s">
        <v>8</v>
      </c>
      <c r="C1200" s="67" t="s">
        <v>584</v>
      </c>
      <c r="D1200" s="67" t="s">
        <v>582</v>
      </c>
      <c r="E1200" s="22">
        <f t="shared" ca="1" si="110"/>
        <v>40951</v>
      </c>
      <c r="F1200" s="11">
        <f>DATE(2004,12,25)</f>
        <v>38346</v>
      </c>
      <c r="G1200" s="12">
        <f t="shared" ca="1" si="111"/>
        <v>8</v>
      </c>
      <c r="H1200" s="12">
        <f t="shared" ca="1" si="112"/>
        <v>-10</v>
      </c>
      <c r="I1200" s="13">
        <f t="shared" ca="1" si="113"/>
        <v>-13</v>
      </c>
      <c r="J1200" s="14">
        <f t="shared" ca="1" si="114"/>
        <v>7</v>
      </c>
      <c r="K1200" s="12" t="s">
        <v>40</v>
      </c>
      <c r="L1200" s="15">
        <v>58</v>
      </c>
      <c r="M1200" s="25" t="s">
        <v>44</v>
      </c>
      <c r="N1200">
        <v>255</v>
      </c>
    </row>
    <row r="1201" spans="1:14" ht="15.75" thickBot="1">
      <c r="A1201" s="26">
        <f t="shared" si="116"/>
        <v>371</v>
      </c>
      <c r="B1201" s="68" t="s">
        <v>8</v>
      </c>
      <c r="C1201" s="68" t="s">
        <v>585</v>
      </c>
      <c r="D1201" s="68" t="s">
        <v>586</v>
      </c>
      <c r="E1201" s="23">
        <f t="shared" ca="1" si="110"/>
        <v>40951</v>
      </c>
      <c r="F1201" s="16">
        <f>DATE(43,3,31)</f>
        <v>15796</v>
      </c>
      <c r="G1201" s="17">
        <f t="shared" ca="1" si="111"/>
        <v>69</v>
      </c>
      <c r="H1201" s="17">
        <f t="shared" ca="1" si="112"/>
        <v>-1</v>
      </c>
      <c r="I1201" s="18">
        <f t="shared" ca="1" si="113"/>
        <v>-19</v>
      </c>
      <c r="J1201" s="19">
        <f t="shared" ca="1" si="114"/>
        <v>68</v>
      </c>
      <c r="K1201" s="17" t="s">
        <v>40</v>
      </c>
      <c r="L1201" s="20">
        <v>58</v>
      </c>
      <c r="M1201" s="26" t="s">
        <v>40</v>
      </c>
      <c r="N1201">
        <v>255</v>
      </c>
    </row>
    <row r="1202" spans="1:14">
      <c r="A1202" s="25">
        <f t="shared" si="116"/>
        <v>372</v>
      </c>
      <c r="B1202" s="67" t="s">
        <v>8</v>
      </c>
      <c r="C1202" s="67" t="s">
        <v>588</v>
      </c>
      <c r="D1202" s="67" t="s">
        <v>585</v>
      </c>
      <c r="E1202" s="22">
        <f t="shared" ca="1" si="110"/>
        <v>40951</v>
      </c>
      <c r="F1202" s="11">
        <f>DATE(64,5,15)</f>
        <v>23512</v>
      </c>
      <c r="G1202" s="12">
        <f t="shared" ca="1" si="111"/>
        <v>48</v>
      </c>
      <c r="H1202" s="12">
        <f t="shared" ca="1" si="112"/>
        <v>-3</v>
      </c>
      <c r="I1202" s="13">
        <f t="shared" ca="1" si="113"/>
        <v>-3</v>
      </c>
      <c r="J1202" s="14">
        <f t="shared" ca="1" si="114"/>
        <v>47</v>
      </c>
      <c r="K1202" s="12" t="s">
        <v>40</v>
      </c>
      <c r="L1202" s="15">
        <v>58</v>
      </c>
      <c r="M1202" s="25" t="s">
        <v>40</v>
      </c>
      <c r="N1202">
        <v>256</v>
      </c>
    </row>
    <row r="1203" spans="1:14">
      <c r="A1203" s="25">
        <f t="shared" si="116"/>
        <v>373</v>
      </c>
      <c r="B1203" s="67" t="s">
        <v>8</v>
      </c>
      <c r="C1203" s="67" t="s">
        <v>589</v>
      </c>
      <c r="D1203" s="67" t="s">
        <v>588</v>
      </c>
      <c r="E1203" s="22">
        <f t="shared" ca="1" si="110"/>
        <v>40951</v>
      </c>
      <c r="F1203" s="11">
        <f>DATE(93,4,14)</f>
        <v>34073</v>
      </c>
      <c r="G1203" s="12">
        <f t="shared" ca="1" si="111"/>
        <v>19</v>
      </c>
      <c r="H1203" s="12">
        <f t="shared" ca="1" si="112"/>
        <v>-2</v>
      </c>
      <c r="I1203" s="13">
        <f t="shared" ca="1" si="113"/>
        <v>-2</v>
      </c>
      <c r="J1203" s="14">
        <f t="shared" ca="1" si="114"/>
        <v>18</v>
      </c>
      <c r="K1203" s="12" t="s">
        <v>40</v>
      </c>
      <c r="L1203" s="15">
        <v>58</v>
      </c>
      <c r="M1203" s="25" t="s">
        <v>44</v>
      </c>
      <c r="N1203">
        <v>256</v>
      </c>
    </row>
    <row r="1204" spans="1:14" ht="15.75" thickBot="1">
      <c r="A1204" s="26">
        <f t="shared" si="116"/>
        <v>374</v>
      </c>
      <c r="B1204" s="68" t="s">
        <v>8</v>
      </c>
      <c r="C1204" s="68" t="s">
        <v>591</v>
      </c>
      <c r="D1204" s="68" t="s">
        <v>556</v>
      </c>
      <c r="E1204" s="23">
        <f t="shared" ca="1" si="110"/>
        <v>40951</v>
      </c>
      <c r="F1204" s="16">
        <f>DATE(47,11,7)</f>
        <v>17478</v>
      </c>
      <c r="G1204" s="17">
        <f t="shared" ca="1" si="111"/>
        <v>65</v>
      </c>
      <c r="H1204" s="17">
        <f t="shared" ca="1" si="112"/>
        <v>-9</v>
      </c>
      <c r="I1204" s="18">
        <f t="shared" ca="1" si="113"/>
        <v>5</v>
      </c>
      <c r="J1204" s="19">
        <f t="shared" ca="1" si="114"/>
        <v>64</v>
      </c>
      <c r="K1204" s="17" t="s">
        <v>40</v>
      </c>
      <c r="L1204" s="20">
        <v>59</v>
      </c>
      <c r="M1204" s="26" t="s">
        <v>40</v>
      </c>
      <c r="N1204">
        <v>256</v>
      </c>
    </row>
    <row r="1205" spans="1:14">
      <c r="A1205" s="25">
        <f t="shared" si="116"/>
        <v>375</v>
      </c>
      <c r="B1205" s="67" t="s">
        <v>8</v>
      </c>
      <c r="C1205" s="67" t="s">
        <v>592</v>
      </c>
      <c r="D1205" s="67" t="s">
        <v>423</v>
      </c>
      <c r="E1205" s="22">
        <f t="shared" ca="1" si="110"/>
        <v>40951</v>
      </c>
      <c r="F1205" s="11">
        <f>DATE(71,12,11)</f>
        <v>26278</v>
      </c>
      <c r="G1205" s="12">
        <f t="shared" ca="1" si="111"/>
        <v>41</v>
      </c>
      <c r="H1205" s="12">
        <f t="shared" ca="1" si="112"/>
        <v>-10</v>
      </c>
      <c r="I1205" s="13">
        <f t="shared" ca="1" si="113"/>
        <v>1</v>
      </c>
      <c r="J1205" s="14">
        <f t="shared" ca="1" si="114"/>
        <v>40</v>
      </c>
      <c r="K1205" s="12" t="s">
        <v>40</v>
      </c>
      <c r="L1205" s="15">
        <v>59</v>
      </c>
      <c r="M1205" s="25" t="s">
        <v>40</v>
      </c>
      <c r="N1205">
        <v>257</v>
      </c>
    </row>
    <row r="1206" spans="1:14">
      <c r="A1206" s="25">
        <f t="shared" si="116"/>
        <v>376</v>
      </c>
      <c r="B1206" s="67" t="s">
        <v>8</v>
      </c>
      <c r="C1206" s="67" t="s">
        <v>593</v>
      </c>
      <c r="D1206" s="67" t="s">
        <v>592</v>
      </c>
      <c r="E1206" s="22">
        <f t="shared" ca="1" si="110"/>
        <v>40951</v>
      </c>
      <c r="F1206" s="11">
        <f>DATE(98,6,13)</f>
        <v>35959</v>
      </c>
      <c r="G1206" s="12">
        <f t="shared" ca="1" si="111"/>
        <v>14</v>
      </c>
      <c r="H1206" s="12">
        <f t="shared" ca="1" si="112"/>
        <v>-4</v>
      </c>
      <c r="I1206" s="13">
        <f t="shared" ca="1" si="113"/>
        <v>-1</v>
      </c>
      <c r="J1206" s="14">
        <f t="shared" ca="1" si="114"/>
        <v>13</v>
      </c>
      <c r="K1206" s="12" t="s">
        <v>40</v>
      </c>
      <c r="L1206" s="15">
        <v>59</v>
      </c>
      <c r="M1206" s="25" t="s">
        <v>44</v>
      </c>
      <c r="N1206">
        <v>257</v>
      </c>
    </row>
    <row r="1207" spans="1:14">
      <c r="A1207" s="25">
        <f t="shared" si="116"/>
        <v>377</v>
      </c>
      <c r="B1207" s="67" t="s">
        <v>8</v>
      </c>
      <c r="C1207" s="67" t="s">
        <v>594</v>
      </c>
      <c r="D1207" s="67" t="s">
        <v>423</v>
      </c>
      <c r="E1207" s="22">
        <f t="shared" ca="1" si="110"/>
        <v>40951</v>
      </c>
      <c r="F1207" s="11">
        <f>DATE(77,10,28)</f>
        <v>28426</v>
      </c>
      <c r="G1207" s="12">
        <f t="shared" ca="1" si="111"/>
        <v>35</v>
      </c>
      <c r="H1207" s="12">
        <f t="shared" ca="1" si="112"/>
        <v>-8</v>
      </c>
      <c r="I1207" s="13">
        <f t="shared" ca="1" si="113"/>
        <v>-16</v>
      </c>
      <c r="J1207" s="14">
        <f t="shared" ca="1" si="114"/>
        <v>34</v>
      </c>
      <c r="K1207" s="12" t="s">
        <v>40</v>
      </c>
      <c r="L1207" s="15">
        <v>59</v>
      </c>
      <c r="M1207" s="25" t="s">
        <v>44</v>
      </c>
      <c r="N1207">
        <v>257</v>
      </c>
    </row>
    <row r="1208" spans="1:14">
      <c r="A1208" s="25">
        <f t="shared" si="116"/>
        <v>378</v>
      </c>
      <c r="B1208" s="67" t="s">
        <v>8</v>
      </c>
      <c r="C1208" s="67" t="s">
        <v>595</v>
      </c>
      <c r="D1208" s="67" t="s">
        <v>198</v>
      </c>
      <c r="E1208" s="22">
        <f t="shared" ca="1" si="110"/>
        <v>40951</v>
      </c>
      <c r="F1208" s="11">
        <f>DATE(43,2,10)</f>
        <v>15747</v>
      </c>
      <c r="G1208" s="12">
        <f t="shared" ca="1" si="111"/>
        <v>69</v>
      </c>
      <c r="H1208" s="12">
        <f t="shared" ca="1" si="112"/>
        <v>0</v>
      </c>
      <c r="I1208" s="13">
        <f t="shared" ca="1" si="113"/>
        <v>2</v>
      </c>
      <c r="J1208" s="14">
        <f t="shared" ca="1" si="114"/>
        <v>69</v>
      </c>
      <c r="K1208" s="12" t="s">
        <v>40</v>
      </c>
      <c r="L1208" s="15">
        <v>59</v>
      </c>
      <c r="M1208" s="25" t="s">
        <v>40</v>
      </c>
      <c r="N1208">
        <v>257</v>
      </c>
    </row>
    <row r="1209" spans="1:14" ht="15.75" thickBot="1">
      <c r="A1209" s="26">
        <f t="shared" si="116"/>
        <v>379</v>
      </c>
      <c r="B1209" s="68" t="s">
        <v>8</v>
      </c>
      <c r="C1209" s="68" t="s">
        <v>597</v>
      </c>
      <c r="D1209" s="68" t="s">
        <v>595</v>
      </c>
      <c r="E1209" s="23">
        <f t="shared" ca="1" si="110"/>
        <v>40951</v>
      </c>
      <c r="F1209" s="16">
        <f>DATE(74,9,2)</f>
        <v>27274</v>
      </c>
      <c r="G1209" s="17">
        <f t="shared" ca="1" si="111"/>
        <v>38</v>
      </c>
      <c r="H1209" s="17">
        <f t="shared" ca="1" si="112"/>
        <v>-7</v>
      </c>
      <c r="I1209" s="18">
        <f t="shared" ca="1" si="113"/>
        <v>10</v>
      </c>
      <c r="J1209" s="19">
        <f t="shared" ca="1" si="114"/>
        <v>37</v>
      </c>
      <c r="K1209" s="17" t="s">
        <v>40</v>
      </c>
      <c r="L1209" s="20">
        <v>59</v>
      </c>
      <c r="M1209" s="26" t="s">
        <v>40</v>
      </c>
      <c r="N1209">
        <v>257</v>
      </c>
    </row>
    <row r="1210" spans="1:14">
      <c r="A1210" s="25">
        <f t="shared" si="116"/>
        <v>380</v>
      </c>
      <c r="B1210" s="67" t="s">
        <v>8</v>
      </c>
      <c r="C1210" s="67" t="s">
        <v>49</v>
      </c>
      <c r="D1210" s="67" t="s">
        <v>556</v>
      </c>
      <c r="E1210" s="22">
        <f t="shared" ca="1" si="110"/>
        <v>40951</v>
      </c>
      <c r="F1210" s="11">
        <f>DATE(57,3,23)</f>
        <v>20902</v>
      </c>
      <c r="G1210" s="12">
        <f t="shared" ca="1" si="111"/>
        <v>55</v>
      </c>
      <c r="H1210" s="12">
        <f t="shared" ca="1" si="112"/>
        <v>-1</v>
      </c>
      <c r="I1210" s="13">
        <f t="shared" ca="1" si="113"/>
        <v>-11</v>
      </c>
      <c r="J1210" s="14">
        <f t="shared" ca="1" si="114"/>
        <v>54</v>
      </c>
      <c r="K1210" s="12" t="s">
        <v>40</v>
      </c>
      <c r="L1210" s="15">
        <v>59</v>
      </c>
      <c r="M1210" s="25" t="s">
        <v>40</v>
      </c>
      <c r="N1210">
        <v>258</v>
      </c>
    </row>
    <row r="1211" spans="1:14">
      <c r="A1211" s="25">
        <f t="shared" si="116"/>
        <v>381</v>
      </c>
      <c r="B1211" s="67" t="s">
        <v>8</v>
      </c>
      <c r="C1211" s="67" t="s">
        <v>166</v>
      </c>
      <c r="D1211" s="67" t="s">
        <v>49</v>
      </c>
      <c r="E1211" s="22">
        <f t="shared" ca="1" si="110"/>
        <v>40951</v>
      </c>
      <c r="F1211" s="11">
        <f>DATE(81,3,25)</f>
        <v>29670</v>
      </c>
      <c r="G1211" s="12">
        <f t="shared" ca="1" si="111"/>
        <v>31</v>
      </c>
      <c r="H1211" s="12">
        <f t="shared" ca="1" si="112"/>
        <v>-1</v>
      </c>
      <c r="I1211" s="13">
        <f t="shared" ca="1" si="113"/>
        <v>-13</v>
      </c>
      <c r="J1211" s="14">
        <f t="shared" ca="1" si="114"/>
        <v>30</v>
      </c>
      <c r="K1211" s="12" t="s">
        <v>40</v>
      </c>
      <c r="L1211" s="15">
        <v>59</v>
      </c>
      <c r="M1211" s="25" t="s">
        <v>44</v>
      </c>
      <c r="N1211">
        <v>258</v>
      </c>
    </row>
    <row r="1212" spans="1:14">
      <c r="A1212" s="25">
        <f t="shared" si="116"/>
        <v>382</v>
      </c>
      <c r="B1212" s="67" t="s">
        <v>8</v>
      </c>
      <c r="C1212" s="67" t="s">
        <v>599</v>
      </c>
      <c r="D1212" s="67" t="s">
        <v>49</v>
      </c>
      <c r="E1212" s="22">
        <f t="shared" ca="1" si="110"/>
        <v>40951</v>
      </c>
      <c r="F1212" s="11">
        <f>DATE(82,11,20)</f>
        <v>30275</v>
      </c>
      <c r="G1212" s="12">
        <f t="shared" ca="1" si="111"/>
        <v>30</v>
      </c>
      <c r="H1212" s="12">
        <f t="shared" ca="1" si="112"/>
        <v>-9</v>
      </c>
      <c r="I1212" s="13">
        <f t="shared" ca="1" si="113"/>
        <v>-8</v>
      </c>
      <c r="J1212" s="14">
        <f t="shared" ca="1" si="114"/>
        <v>29</v>
      </c>
      <c r="K1212" s="12" t="s">
        <v>40</v>
      </c>
      <c r="L1212" s="15">
        <v>59</v>
      </c>
      <c r="M1212" s="25" t="s">
        <v>44</v>
      </c>
      <c r="N1212">
        <v>258</v>
      </c>
    </row>
    <row r="1213" spans="1:14" ht="15.75" thickBot="1">
      <c r="A1213" s="26">
        <f t="shared" si="116"/>
        <v>383</v>
      </c>
      <c r="B1213" s="68" t="s">
        <v>8</v>
      </c>
      <c r="C1213" s="68" t="s">
        <v>600</v>
      </c>
      <c r="D1213" s="68" t="s">
        <v>198</v>
      </c>
      <c r="E1213" s="23">
        <f t="shared" ca="1" si="110"/>
        <v>40951</v>
      </c>
      <c r="F1213" s="16">
        <f>DATE(45,10,11)</f>
        <v>16721</v>
      </c>
      <c r="G1213" s="17">
        <f t="shared" ca="1" si="111"/>
        <v>67</v>
      </c>
      <c r="H1213" s="17">
        <f t="shared" ca="1" si="112"/>
        <v>-8</v>
      </c>
      <c r="I1213" s="18">
        <f t="shared" ca="1" si="113"/>
        <v>1</v>
      </c>
      <c r="J1213" s="19">
        <f t="shared" ca="1" si="114"/>
        <v>66</v>
      </c>
      <c r="K1213" s="17" t="s">
        <v>40</v>
      </c>
      <c r="L1213" s="20">
        <v>60</v>
      </c>
      <c r="M1213" s="26" t="s">
        <v>40</v>
      </c>
      <c r="N1213">
        <v>258</v>
      </c>
    </row>
    <row r="1214" spans="1:14">
      <c r="A1214" s="25">
        <f t="shared" si="116"/>
        <v>384</v>
      </c>
      <c r="B1214" s="67" t="s">
        <v>8</v>
      </c>
      <c r="C1214" s="67" t="s">
        <v>601</v>
      </c>
      <c r="D1214" s="67" t="s">
        <v>528</v>
      </c>
      <c r="E1214" s="22">
        <f t="shared" ca="1" si="110"/>
        <v>40951</v>
      </c>
      <c r="F1214" s="11">
        <f>DATE(27,7,31)</f>
        <v>10074</v>
      </c>
      <c r="G1214" s="12">
        <f t="shared" ca="1" si="111"/>
        <v>85</v>
      </c>
      <c r="H1214" s="12">
        <f t="shared" ca="1" si="112"/>
        <v>-5</v>
      </c>
      <c r="I1214" s="13">
        <f t="shared" ca="1" si="113"/>
        <v>-19</v>
      </c>
      <c r="J1214" s="14">
        <f t="shared" ca="1" si="114"/>
        <v>84</v>
      </c>
      <c r="K1214" s="12" t="s">
        <v>40</v>
      </c>
      <c r="L1214" s="15">
        <v>60</v>
      </c>
      <c r="M1214" s="25" t="s">
        <v>40</v>
      </c>
      <c r="N1214">
        <v>259</v>
      </c>
    </row>
    <row r="1215" spans="1:14">
      <c r="A1215" s="25">
        <f t="shared" si="116"/>
        <v>385</v>
      </c>
      <c r="B1215" s="67" t="s">
        <v>8</v>
      </c>
      <c r="C1215" s="67" t="s">
        <v>367</v>
      </c>
      <c r="D1215" s="67" t="s">
        <v>602</v>
      </c>
      <c r="E1215" s="22">
        <f t="shared" ca="1" si="110"/>
        <v>40951</v>
      </c>
      <c r="F1215" s="11">
        <f>DATE(60,1,26)</f>
        <v>21941</v>
      </c>
      <c r="G1215" s="12">
        <f t="shared" ca="1" si="111"/>
        <v>52</v>
      </c>
      <c r="H1215" s="12">
        <f t="shared" ca="1" si="112"/>
        <v>1</v>
      </c>
      <c r="I1215" s="13">
        <f t="shared" ca="1" si="113"/>
        <v>-14</v>
      </c>
      <c r="J1215" s="14">
        <f t="shared" ca="1" si="114"/>
        <v>52</v>
      </c>
      <c r="K1215" s="12" t="s">
        <v>40</v>
      </c>
      <c r="L1215" s="15">
        <v>60</v>
      </c>
      <c r="M1215" s="25" t="s">
        <v>40</v>
      </c>
      <c r="N1215">
        <v>259</v>
      </c>
    </row>
    <row r="1216" spans="1:14" ht="15.75" thickBot="1">
      <c r="A1216" s="26">
        <f t="shared" si="116"/>
        <v>386</v>
      </c>
      <c r="B1216" s="68" t="s">
        <v>8</v>
      </c>
      <c r="C1216" s="68" t="s">
        <v>604</v>
      </c>
      <c r="D1216" s="68" t="s">
        <v>367</v>
      </c>
      <c r="E1216" s="23">
        <f t="shared" ca="1" si="110"/>
        <v>40951</v>
      </c>
      <c r="F1216" s="16">
        <f>DATE(88,8,23)</f>
        <v>32378</v>
      </c>
      <c r="G1216" s="17">
        <f t="shared" ca="1" si="111"/>
        <v>24</v>
      </c>
      <c r="H1216" s="17">
        <f t="shared" ca="1" si="112"/>
        <v>-6</v>
      </c>
      <c r="I1216" s="18">
        <f t="shared" ca="1" si="113"/>
        <v>-11</v>
      </c>
      <c r="J1216" s="19">
        <f t="shared" ca="1" si="114"/>
        <v>23</v>
      </c>
      <c r="K1216" s="17" t="s">
        <v>40</v>
      </c>
      <c r="L1216" s="20">
        <v>60</v>
      </c>
      <c r="M1216" s="26" t="s">
        <v>44</v>
      </c>
      <c r="N1216">
        <v>259</v>
      </c>
    </row>
    <row r="1217" spans="1:14">
      <c r="A1217" s="25">
        <f t="shared" si="116"/>
        <v>387</v>
      </c>
      <c r="B1217" s="67" t="s">
        <v>8</v>
      </c>
      <c r="C1217" s="67" t="s">
        <v>605</v>
      </c>
      <c r="D1217" s="67" t="s">
        <v>367</v>
      </c>
      <c r="E1217" s="22">
        <f t="shared" ref="E1217:E1280" ca="1" si="117">TODAY()</f>
        <v>40951</v>
      </c>
      <c r="F1217" s="11">
        <f>DATE(96,8,20)</f>
        <v>35297</v>
      </c>
      <c r="G1217" s="12">
        <f t="shared" ref="G1217:G1280" ca="1" si="118">YEAR(E1217)-YEAR(F1217)</f>
        <v>16</v>
      </c>
      <c r="H1217" s="12">
        <f t="shared" ref="H1217:H1280" ca="1" si="119">MONTH(E1217)-MONTH(F1217)</f>
        <v>-6</v>
      </c>
      <c r="I1217" s="13">
        <f t="shared" ref="I1217:I1280" ca="1" si="120">DAY(E1217)-DAY(F1217)</f>
        <v>-8</v>
      </c>
      <c r="J1217" s="14">
        <f t="shared" ref="J1217:J1280" ca="1" si="121">IF(H1217&lt;0,G1217-1,IF(H1217&gt;0,G1217,IF(I1217&lt;0,G1217-1,G1217)))</f>
        <v>15</v>
      </c>
      <c r="K1217" s="12" t="s">
        <v>40</v>
      </c>
      <c r="L1217" s="15">
        <v>60</v>
      </c>
      <c r="M1217" s="25" t="s">
        <v>44</v>
      </c>
      <c r="N1217">
        <v>260</v>
      </c>
    </row>
    <row r="1218" spans="1:14">
      <c r="A1218" s="25">
        <f t="shared" si="116"/>
        <v>388</v>
      </c>
      <c r="B1218" s="67" t="s">
        <v>8</v>
      </c>
      <c r="C1218" s="67" t="s">
        <v>367</v>
      </c>
      <c r="D1218" s="67" t="s">
        <v>606</v>
      </c>
      <c r="E1218" s="22">
        <f t="shared" ca="1" si="117"/>
        <v>40951</v>
      </c>
      <c r="F1218" s="32"/>
      <c r="G1218" s="12">
        <f t="shared" ca="1" si="118"/>
        <v>112</v>
      </c>
      <c r="H1218" s="12">
        <f t="shared" ca="1" si="119"/>
        <v>1</v>
      </c>
      <c r="I1218" s="13">
        <f t="shared" ca="1" si="120"/>
        <v>12</v>
      </c>
      <c r="J1218" s="14">
        <f t="shared" ca="1" si="121"/>
        <v>112</v>
      </c>
      <c r="K1218" s="12" t="s">
        <v>40</v>
      </c>
      <c r="L1218" s="15">
        <v>60</v>
      </c>
      <c r="M1218" s="25" t="s">
        <v>40</v>
      </c>
      <c r="N1218">
        <v>260</v>
      </c>
    </row>
    <row r="1219" spans="1:14">
      <c r="A1219" s="25">
        <f t="shared" si="116"/>
        <v>389</v>
      </c>
      <c r="B1219" s="67" t="s">
        <v>8</v>
      </c>
      <c r="C1219" s="67" t="s">
        <v>608</v>
      </c>
      <c r="D1219" s="67" t="s">
        <v>367</v>
      </c>
      <c r="E1219" s="22">
        <f t="shared" ca="1" si="117"/>
        <v>40951</v>
      </c>
      <c r="F1219" s="32"/>
      <c r="G1219" s="12">
        <f t="shared" ca="1" si="118"/>
        <v>112</v>
      </c>
      <c r="H1219" s="12">
        <f t="shared" ca="1" si="119"/>
        <v>1</v>
      </c>
      <c r="I1219" s="13">
        <f t="shared" ca="1" si="120"/>
        <v>12</v>
      </c>
      <c r="J1219" s="14">
        <f t="shared" ca="1" si="121"/>
        <v>112</v>
      </c>
      <c r="K1219" s="12" t="s">
        <v>40</v>
      </c>
      <c r="L1219" s="15">
        <v>60</v>
      </c>
      <c r="M1219" s="25" t="s">
        <v>44</v>
      </c>
      <c r="N1219">
        <v>260</v>
      </c>
    </row>
    <row r="1220" spans="1:14">
      <c r="A1220" s="25">
        <f t="shared" si="116"/>
        <v>390</v>
      </c>
      <c r="B1220" s="67" t="s">
        <v>8</v>
      </c>
      <c r="C1220" s="67" t="s">
        <v>235</v>
      </c>
      <c r="D1220" s="67" t="s">
        <v>546</v>
      </c>
      <c r="E1220" s="22">
        <f t="shared" ca="1" si="117"/>
        <v>40951</v>
      </c>
      <c r="F1220" s="11">
        <f>DATE(53,6,26)</f>
        <v>19536</v>
      </c>
      <c r="G1220" s="12">
        <f t="shared" ca="1" si="118"/>
        <v>59</v>
      </c>
      <c r="H1220" s="12">
        <f t="shared" ca="1" si="119"/>
        <v>-4</v>
      </c>
      <c r="I1220" s="13">
        <f t="shared" ca="1" si="120"/>
        <v>-14</v>
      </c>
      <c r="J1220" s="14">
        <f t="shared" ca="1" si="121"/>
        <v>58</v>
      </c>
      <c r="K1220" s="12" t="s">
        <v>40</v>
      </c>
      <c r="L1220" s="15">
        <v>61</v>
      </c>
      <c r="M1220" s="25" t="s">
        <v>40</v>
      </c>
      <c r="N1220">
        <v>260</v>
      </c>
    </row>
    <row r="1221" spans="1:14">
      <c r="A1221" s="25">
        <f t="shared" si="116"/>
        <v>391</v>
      </c>
      <c r="B1221" s="67" t="s">
        <v>8</v>
      </c>
      <c r="C1221" s="67" t="s">
        <v>183</v>
      </c>
      <c r="D1221" s="67" t="s">
        <v>235</v>
      </c>
      <c r="E1221" s="22">
        <f t="shared" ca="1" si="117"/>
        <v>40951</v>
      </c>
      <c r="F1221" s="11">
        <f>DATE(81,5,17)</f>
        <v>29723</v>
      </c>
      <c r="G1221" s="12">
        <f t="shared" ca="1" si="118"/>
        <v>31</v>
      </c>
      <c r="H1221" s="12">
        <f t="shared" ca="1" si="119"/>
        <v>-3</v>
      </c>
      <c r="I1221" s="13">
        <f t="shared" ca="1" si="120"/>
        <v>-5</v>
      </c>
      <c r="J1221" s="14">
        <f t="shared" ca="1" si="121"/>
        <v>30</v>
      </c>
      <c r="K1221" s="12" t="s">
        <v>40</v>
      </c>
      <c r="L1221" s="15">
        <v>61</v>
      </c>
      <c r="M1221" s="25" t="s">
        <v>44</v>
      </c>
      <c r="N1221">
        <v>260</v>
      </c>
    </row>
    <row r="1222" spans="1:14" ht="15.75" thickBot="1">
      <c r="A1222" s="26">
        <f t="shared" si="116"/>
        <v>392</v>
      </c>
      <c r="B1222" s="68" t="s">
        <v>8</v>
      </c>
      <c r="C1222" s="68" t="s">
        <v>610</v>
      </c>
      <c r="D1222" s="68" t="s">
        <v>267</v>
      </c>
      <c r="E1222" s="23">
        <f t="shared" ca="1" si="117"/>
        <v>40951</v>
      </c>
      <c r="F1222" s="16">
        <f>DATE(57,9,15)</f>
        <v>21078</v>
      </c>
      <c r="G1222" s="17">
        <f t="shared" ca="1" si="118"/>
        <v>55</v>
      </c>
      <c r="H1222" s="17">
        <f t="shared" ca="1" si="119"/>
        <v>-7</v>
      </c>
      <c r="I1222" s="18">
        <f t="shared" ca="1" si="120"/>
        <v>-3</v>
      </c>
      <c r="J1222" s="19">
        <f t="shared" ca="1" si="121"/>
        <v>54</v>
      </c>
      <c r="K1222" s="17" t="s">
        <v>40</v>
      </c>
      <c r="L1222" s="20">
        <v>61</v>
      </c>
      <c r="M1222" s="26" t="s">
        <v>40</v>
      </c>
      <c r="N1222">
        <v>260</v>
      </c>
    </row>
    <row r="1223" spans="1:14">
      <c r="A1223" s="25">
        <f t="shared" si="116"/>
        <v>393</v>
      </c>
      <c r="B1223" s="67" t="s">
        <v>8</v>
      </c>
      <c r="C1223" s="67" t="s">
        <v>612</v>
      </c>
      <c r="D1223" s="67" t="s">
        <v>610</v>
      </c>
      <c r="E1223" s="22">
        <f t="shared" ca="1" si="117"/>
        <v>40951</v>
      </c>
      <c r="F1223" s="11">
        <f>DATE(84,8,11)</f>
        <v>30905</v>
      </c>
      <c r="G1223" s="12">
        <f t="shared" ca="1" si="118"/>
        <v>28</v>
      </c>
      <c r="H1223" s="12">
        <f t="shared" ca="1" si="119"/>
        <v>-6</v>
      </c>
      <c r="I1223" s="13">
        <f t="shared" ca="1" si="120"/>
        <v>1</v>
      </c>
      <c r="J1223" s="14">
        <f t="shared" ca="1" si="121"/>
        <v>27</v>
      </c>
      <c r="K1223" s="12" t="s">
        <v>40</v>
      </c>
      <c r="L1223" s="15">
        <v>61</v>
      </c>
      <c r="M1223" s="25" t="s">
        <v>44</v>
      </c>
      <c r="N1223">
        <v>261</v>
      </c>
    </row>
    <row r="1224" spans="1:14">
      <c r="A1224" s="25">
        <f t="shared" si="116"/>
        <v>394</v>
      </c>
      <c r="B1224" s="67" t="s">
        <v>8</v>
      </c>
      <c r="C1224" s="67" t="s">
        <v>157</v>
      </c>
      <c r="D1224" s="67" t="s">
        <v>198</v>
      </c>
      <c r="E1224" s="22">
        <f t="shared" ca="1" si="117"/>
        <v>40951</v>
      </c>
      <c r="F1224" s="11">
        <f>DATE(59,1,6)</f>
        <v>21556</v>
      </c>
      <c r="G1224" s="12">
        <f t="shared" ca="1" si="118"/>
        <v>53</v>
      </c>
      <c r="H1224" s="12">
        <f t="shared" ca="1" si="119"/>
        <v>1</v>
      </c>
      <c r="I1224" s="13">
        <f t="shared" ca="1" si="120"/>
        <v>6</v>
      </c>
      <c r="J1224" s="14">
        <f t="shared" ca="1" si="121"/>
        <v>53</v>
      </c>
      <c r="K1224" s="12" t="s">
        <v>40</v>
      </c>
      <c r="L1224" s="15">
        <v>61</v>
      </c>
      <c r="M1224" s="25" t="s">
        <v>40</v>
      </c>
      <c r="N1224">
        <v>261</v>
      </c>
    </row>
    <row r="1225" spans="1:14">
      <c r="A1225" s="25">
        <f t="shared" si="116"/>
        <v>395</v>
      </c>
      <c r="B1225" s="67" t="s">
        <v>8</v>
      </c>
      <c r="C1225" s="67" t="s">
        <v>617</v>
      </c>
      <c r="D1225" s="67" t="s">
        <v>77</v>
      </c>
      <c r="E1225" s="22">
        <f t="shared" ca="1" si="117"/>
        <v>40951</v>
      </c>
      <c r="F1225" s="11">
        <f>DATE(42,3,6)</f>
        <v>15406</v>
      </c>
      <c r="G1225" s="12">
        <f t="shared" ca="1" si="118"/>
        <v>70</v>
      </c>
      <c r="H1225" s="12">
        <f t="shared" ca="1" si="119"/>
        <v>-1</v>
      </c>
      <c r="I1225" s="13">
        <f t="shared" ca="1" si="120"/>
        <v>6</v>
      </c>
      <c r="J1225" s="14">
        <f t="shared" ca="1" si="121"/>
        <v>69</v>
      </c>
      <c r="K1225" s="12" t="s">
        <v>40</v>
      </c>
      <c r="L1225" s="15">
        <v>62</v>
      </c>
      <c r="M1225" s="25" t="s">
        <v>40</v>
      </c>
      <c r="N1225">
        <v>261</v>
      </c>
    </row>
    <row r="1226" spans="1:14" ht="15.75" thickBot="1">
      <c r="A1226" s="26">
        <f t="shared" si="116"/>
        <v>396</v>
      </c>
      <c r="B1226" s="68" t="s">
        <v>8</v>
      </c>
      <c r="C1226" s="68" t="s">
        <v>618</v>
      </c>
      <c r="D1226" s="68" t="s">
        <v>617</v>
      </c>
      <c r="E1226" s="23">
        <f t="shared" ca="1" si="117"/>
        <v>40951</v>
      </c>
      <c r="F1226" s="16">
        <f>DATE(74,8,16)</f>
        <v>27257</v>
      </c>
      <c r="G1226" s="17">
        <f t="shared" ca="1" si="118"/>
        <v>38</v>
      </c>
      <c r="H1226" s="17">
        <f t="shared" ca="1" si="119"/>
        <v>-6</v>
      </c>
      <c r="I1226" s="18">
        <f t="shared" ca="1" si="120"/>
        <v>-4</v>
      </c>
      <c r="J1226" s="19">
        <f t="shared" ca="1" si="121"/>
        <v>37</v>
      </c>
      <c r="K1226" s="17" t="s">
        <v>40</v>
      </c>
      <c r="L1226" s="20">
        <v>62</v>
      </c>
      <c r="M1226" s="26" t="s">
        <v>40</v>
      </c>
      <c r="N1226">
        <v>261</v>
      </c>
    </row>
    <row r="1227" spans="1:14">
      <c r="A1227" s="25">
        <f t="shared" si="116"/>
        <v>397</v>
      </c>
      <c r="B1227" s="67" t="s">
        <v>8</v>
      </c>
      <c r="C1227" s="67" t="s">
        <v>297</v>
      </c>
      <c r="D1227" s="67" t="s">
        <v>618</v>
      </c>
      <c r="E1227" s="22">
        <f t="shared" ca="1" si="117"/>
        <v>40951</v>
      </c>
      <c r="F1227" s="11">
        <f>DATE(2005,10,30)</f>
        <v>38655</v>
      </c>
      <c r="G1227" s="12">
        <f t="shared" ca="1" si="118"/>
        <v>7</v>
      </c>
      <c r="H1227" s="12">
        <f t="shared" ca="1" si="119"/>
        <v>-8</v>
      </c>
      <c r="I1227" s="13">
        <f t="shared" ca="1" si="120"/>
        <v>-18</v>
      </c>
      <c r="J1227" s="14">
        <f t="shared" ca="1" si="121"/>
        <v>6</v>
      </c>
      <c r="K1227" s="12" t="s">
        <v>40</v>
      </c>
      <c r="L1227" s="15">
        <v>62</v>
      </c>
      <c r="M1227" s="25" t="s">
        <v>44</v>
      </c>
      <c r="N1227">
        <v>262</v>
      </c>
    </row>
    <row r="1228" spans="1:14">
      <c r="A1228" s="25">
        <f t="shared" ref="A1228:A1259" si="122">A1227+1</f>
        <v>398</v>
      </c>
      <c r="B1228" s="67" t="s">
        <v>8</v>
      </c>
      <c r="C1228" s="67" t="s">
        <v>623</v>
      </c>
      <c r="D1228" s="67" t="s">
        <v>624</v>
      </c>
      <c r="E1228" s="22">
        <f t="shared" ca="1" si="117"/>
        <v>40951</v>
      </c>
      <c r="F1228" s="11">
        <f>DATE(39,11,6)</f>
        <v>14555</v>
      </c>
      <c r="G1228" s="12">
        <f t="shared" ca="1" si="118"/>
        <v>73</v>
      </c>
      <c r="H1228" s="12">
        <f t="shared" ca="1" si="119"/>
        <v>-9</v>
      </c>
      <c r="I1228" s="13">
        <f t="shared" ca="1" si="120"/>
        <v>6</v>
      </c>
      <c r="J1228" s="14">
        <f t="shared" ca="1" si="121"/>
        <v>72</v>
      </c>
      <c r="K1228" s="12" t="s">
        <v>40</v>
      </c>
      <c r="L1228" s="15">
        <v>62</v>
      </c>
      <c r="M1228" s="25" t="s">
        <v>40</v>
      </c>
      <c r="N1228">
        <v>262</v>
      </c>
    </row>
    <row r="1229" spans="1:14">
      <c r="A1229" s="25">
        <f t="shared" si="122"/>
        <v>399</v>
      </c>
      <c r="B1229" s="67" t="s">
        <v>8</v>
      </c>
      <c r="C1229" s="67" t="s">
        <v>623</v>
      </c>
      <c r="D1229" s="67" t="s">
        <v>573</v>
      </c>
      <c r="E1229" s="22">
        <f t="shared" ca="1" si="117"/>
        <v>40951</v>
      </c>
      <c r="F1229" s="11">
        <f>DATE(40,7,27)</f>
        <v>14819</v>
      </c>
      <c r="G1229" s="12">
        <f t="shared" ca="1" si="118"/>
        <v>72</v>
      </c>
      <c r="H1229" s="12">
        <f t="shared" ca="1" si="119"/>
        <v>-5</v>
      </c>
      <c r="I1229" s="13">
        <f t="shared" ca="1" si="120"/>
        <v>-15</v>
      </c>
      <c r="J1229" s="14">
        <f t="shared" ca="1" si="121"/>
        <v>71</v>
      </c>
      <c r="K1229" s="12" t="s">
        <v>40</v>
      </c>
      <c r="L1229" s="15">
        <v>62</v>
      </c>
      <c r="M1229" s="25" t="s">
        <v>40</v>
      </c>
      <c r="N1229">
        <v>262</v>
      </c>
    </row>
    <row r="1230" spans="1:14">
      <c r="A1230" s="25">
        <f t="shared" si="122"/>
        <v>400</v>
      </c>
      <c r="B1230" s="67" t="s">
        <v>8</v>
      </c>
      <c r="C1230" s="67" t="s">
        <v>627</v>
      </c>
      <c r="D1230" s="67" t="s">
        <v>623</v>
      </c>
      <c r="E1230" s="22">
        <f t="shared" ca="1" si="117"/>
        <v>40951</v>
      </c>
      <c r="F1230" s="11">
        <f>DATE(77,8,7)</f>
        <v>28344</v>
      </c>
      <c r="G1230" s="12">
        <f t="shared" ca="1" si="118"/>
        <v>35</v>
      </c>
      <c r="H1230" s="12">
        <f t="shared" ca="1" si="119"/>
        <v>-6</v>
      </c>
      <c r="I1230" s="13">
        <f t="shared" ca="1" si="120"/>
        <v>5</v>
      </c>
      <c r="J1230" s="14">
        <f t="shared" ca="1" si="121"/>
        <v>34</v>
      </c>
      <c r="K1230" s="12" t="s">
        <v>40</v>
      </c>
      <c r="L1230" s="15">
        <v>62</v>
      </c>
      <c r="M1230" s="25" t="s">
        <v>40</v>
      </c>
      <c r="N1230">
        <v>262</v>
      </c>
    </row>
    <row r="1231" spans="1:14">
      <c r="A1231" s="25">
        <f t="shared" si="122"/>
        <v>401</v>
      </c>
      <c r="B1231" s="67" t="s">
        <v>8</v>
      </c>
      <c r="C1231" s="67" t="s">
        <v>90</v>
      </c>
      <c r="D1231" s="67" t="s">
        <v>372</v>
      </c>
      <c r="E1231" s="22">
        <f t="shared" ca="1" si="117"/>
        <v>40951</v>
      </c>
      <c r="F1231" s="11">
        <f>DATE(49,8,10)</f>
        <v>18120</v>
      </c>
      <c r="G1231" s="12">
        <f t="shared" ca="1" si="118"/>
        <v>63</v>
      </c>
      <c r="H1231" s="12">
        <f t="shared" ca="1" si="119"/>
        <v>-6</v>
      </c>
      <c r="I1231" s="13">
        <f t="shared" ca="1" si="120"/>
        <v>2</v>
      </c>
      <c r="J1231" s="14">
        <f t="shared" ca="1" si="121"/>
        <v>62</v>
      </c>
      <c r="K1231" s="12" t="s">
        <v>40</v>
      </c>
      <c r="L1231" s="15">
        <v>63</v>
      </c>
      <c r="M1231" s="25" t="s">
        <v>40</v>
      </c>
      <c r="N1231">
        <v>262</v>
      </c>
    </row>
    <row r="1232" spans="1:14" ht="15.75" thickBot="1">
      <c r="A1232" s="26">
        <f t="shared" si="122"/>
        <v>402</v>
      </c>
      <c r="B1232" s="68" t="s">
        <v>8</v>
      </c>
      <c r="C1232" s="68" t="s">
        <v>630</v>
      </c>
      <c r="D1232" s="68" t="s">
        <v>90</v>
      </c>
      <c r="E1232" s="23">
        <f t="shared" ca="1" si="117"/>
        <v>40951</v>
      </c>
      <c r="F1232" s="16">
        <f>DATE(77,7,26)</f>
        <v>28332</v>
      </c>
      <c r="G1232" s="17">
        <f t="shared" ca="1" si="118"/>
        <v>35</v>
      </c>
      <c r="H1232" s="17">
        <f t="shared" ca="1" si="119"/>
        <v>-5</v>
      </c>
      <c r="I1232" s="18">
        <f t="shared" ca="1" si="120"/>
        <v>-14</v>
      </c>
      <c r="J1232" s="19">
        <f t="shared" ca="1" si="121"/>
        <v>34</v>
      </c>
      <c r="K1232" s="17" t="s">
        <v>40</v>
      </c>
      <c r="L1232" s="20">
        <v>63</v>
      </c>
      <c r="M1232" s="26" t="s">
        <v>40</v>
      </c>
      <c r="N1232">
        <v>262</v>
      </c>
    </row>
    <row r="1233" spans="1:14">
      <c r="A1233" s="25">
        <f t="shared" si="122"/>
        <v>403</v>
      </c>
      <c r="B1233" s="67" t="s">
        <v>8</v>
      </c>
      <c r="C1233" s="67" t="s">
        <v>90</v>
      </c>
      <c r="D1233" s="67" t="s">
        <v>556</v>
      </c>
      <c r="E1233" s="22">
        <f t="shared" ca="1" si="117"/>
        <v>40951</v>
      </c>
      <c r="F1233" s="11">
        <f>DATE(59,11,9)</f>
        <v>21863</v>
      </c>
      <c r="G1233" s="12">
        <f t="shared" ca="1" si="118"/>
        <v>53</v>
      </c>
      <c r="H1233" s="12">
        <f t="shared" ca="1" si="119"/>
        <v>-9</v>
      </c>
      <c r="I1233" s="13">
        <f t="shared" ca="1" si="120"/>
        <v>3</v>
      </c>
      <c r="J1233" s="14">
        <f t="shared" ca="1" si="121"/>
        <v>52</v>
      </c>
      <c r="K1233" s="12" t="s">
        <v>40</v>
      </c>
      <c r="L1233" s="15">
        <v>63</v>
      </c>
      <c r="M1233" s="25" t="s">
        <v>40</v>
      </c>
      <c r="N1233">
        <v>263</v>
      </c>
    </row>
    <row r="1234" spans="1:14">
      <c r="A1234" s="25">
        <f t="shared" si="122"/>
        <v>404</v>
      </c>
      <c r="B1234" s="67" t="s">
        <v>8</v>
      </c>
      <c r="C1234" s="67" t="s">
        <v>634</v>
      </c>
      <c r="D1234" s="67" t="s">
        <v>90</v>
      </c>
      <c r="E1234" s="22">
        <f t="shared" ca="1" si="117"/>
        <v>40951</v>
      </c>
      <c r="F1234" s="11">
        <f>DATE(82,7,21)</f>
        <v>30153</v>
      </c>
      <c r="G1234" s="12">
        <f t="shared" ca="1" si="118"/>
        <v>30</v>
      </c>
      <c r="H1234" s="12">
        <f t="shared" ca="1" si="119"/>
        <v>-5</v>
      </c>
      <c r="I1234" s="13">
        <f t="shared" ca="1" si="120"/>
        <v>-9</v>
      </c>
      <c r="J1234" s="14">
        <f t="shared" ca="1" si="121"/>
        <v>29</v>
      </c>
      <c r="K1234" s="12" t="s">
        <v>40</v>
      </c>
      <c r="L1234" s="15">
        <v>63</v>
      </c>
      <c r="M1234" s="25" t="s">
        <v>44</v>
      </c>
      <c r="N1234">
        <v>263</v>
      </c>
    </row>
    <row r="1235" spans="1:14">
      <c r="A1235" s="25">
        <f t="shared" si="122"/>
        <v>405</v>
      </c>
      <c r="B1235" s="67" t="s">
        <v>8</v>
      </c>
      <c r="C1235" s="67" t="s">
        <v>96</v>
      </c>
      <c r="D1235" s="67" t="s">
        <v>637</v>
      </c>
      <c r="E1235" s="22">
        <f t="shared" ca="1" si="117"/>
        <v>40951</v>
      </c>
      <c r="F1235" s="32"/>
      <c r="G1235" s="12">
        <f t="shared" ca="1" si="118"/>
        <v>112</v>
      </c>
      <c r="H1235" s="12">
        <f t="shared" ca="1" si="119"/>
        <v>1</v>
      </c>
      <c r="I1235" s="13">
        <f t="shared" ca="1" si="120"/>
        <v>12</v>
      </c>
      <c r="J1235" s="14">
        <f t="shared" ca="1" si="121"/>
        <v>112</v>
      </c>
      <c r="K1235" s="12" t="s">
        <v>40</v>
      </c>
      <c r="L1235" s="15">
        <v>63</v>
      </c>
      <c r="M1235" s="25" t="s">
        <v>40</v>
      </c>
      <c r="N1235">
        <v>263</v>
      </c>
    </row>
    <row r="1236" spans="1:14">
      <c r="A1236" s="25">
        <f t="shared" si="122"/>
        <v>406</v>
      </c>
      <c r="B1236" s="67" t="s">
        <v>8</v>
      </c>
      <c r="C1236" s="67" t="s">
        <v>75</v>
      </c>
      <c r="D1236" s="67" t="s">
        <v>93</v>
      </c>
      <c r="E1236" s="22">
        <f t="shared" ca="1" si="117"/>
        <v>40951</v>
      </c>
      <c r="F1236" s="32"/>
      <c r="G1236" s="12">
        <f t="shared" ca="1" si="118"/>
        <v>112</v>
      </c>
      <c r="H1236" s="12">
        <f t="shared" ca="1" si="119"/>
        <v>1</v>
      </c>
      <c r="I1236" s="13">
        <f t="shared" ca="1" si="120"/>
        <v>12</v>
      </c>
      <c r="J1236" s="14">
        <f t="shared" ca="1" si="121"/>
        <v>112</v>
      </c>
      <c r="K1236" s="12" t="s">
        <v>40</v>
      </c>
      <c r="L1236" s="15">
        <v>63</v>
      </c>
      <c r="M1236" s="25" t="s">
        <v>44</v>
      </c>
      <c r="N1236">
        <v>263</v>
      </c>
    </row>
    <row r="1237" spans="1:14" ht="15.75" thickBot="1">
      <c r="A1237" s="26">
        <f t="shared" si="122"/>
        <v>407</v>
      </c>
      <c r="B1237" s="68" t="s">
        <v>8</v>
      </c>
      <c r="C1237" s="68" t="s">
        <v>237</v>
      </c>
      <c r="D1237" s="68" t="s">
        <v>546</v>
      </c>
      <c r="E1237" s="23">
        <f t="shared" ca="1" si="117"/>
        <v>40951</v>
      </c>
      <c r="F1237" s="16">
        <f>DATE(47,9,1)</f>
        <v>17411</v>
      </c>
      <c r="G1237" s="17">
        <f t="shared" ca="1" si="118"/>
        <v>65</v>
      </c>
      <c r="H1237" s="17">
        <f t="shared" ca="1" si="119"/>
        <v>-7</v>
      </c>
      <c r="I1237" s="18">
        <f t="shared" ca="1" si="120"/>
        <v>11</v>
      </c>
      <c r="J1237" s="19">
        <f t="shared" ca="1" si="121"/>
        <v>64</v>
      </c>
      <c r="K1237" s="17" t="s">
        <v>40</v>
      </c>
      <c r="L1237" s="20">
        <v>64</v>
      </c>
      <c r="M1237" s="26" t="s">
        <v>40</v>
      </c>
      <c r="N1237">
        <v>263</v>
      </c>
    </row>
    <row r="1238" spans="1:14">
      <c r="A1238" s="25">
        <f t="shared" si="122"/>
        <v>408</v>
      </c>
      <c r="B1238" s="67" t="s">
        <v>8</v>
      </c>
      <c r="C1238" s="67" t="s">
        <v>641</v>
      </c>
      <c r="D1238" s="67" t="s">
        <v>640</v>
      </c>
      <c r="E1238" s="22">
        <f t="shared" ca="1" si="117"/>
        <v>40951</v>
      </c>
      <c r="F1238" s="11">
        <f>DATE(79,6,16)</f>
        <v>29022</v>
      </c>
      <c r="G1238" s="12">
        <f t="shared" ca="1" si="118"/>
        <v>33</v>
      </c>
      <c r="H1238" s="12">
        <f t="shared" ca="1" si="119"/>
        <v>-4</v>
      </c>
      <c r="I1238" s="13">
        <f t="shared" ca="1" si="120"/>
        <v>-4</v>
      </c>
      <c r="J1238" s="14">
        <f t="shared" ca="1" si="121"/>
        <v>32</v>
      </c>
      <c r="K1238" s="12" t="s">
        <v>40</v>
      </c>
      <c r="L1238" s="15">
        <v>64</v>
      </c>
      <c r="M1238" s="25" t="s">
        <v>40</v>
      </c>
      <c r="N1238">
        <v>264</v>
      </c>
    </row>
    <row r="1239" spans="1:14">
      <c r="A1239" s="25">
        <f t="shared" si="122"/>
        <v>409</v>
      </c>
      <c r="B1239" s="67" t="s">
        <v>8</v>
      </c>
      <c r="C1239" s="67" t="s">
        <v>274</v>
      </c>
      <c r="D1239" s="67" t="s">
        <v>642</v>
      </c>
      <c r="E1239" s="22">
        <f t="shared" ca="1" si="117"/>
        <v>40951</v>
      </c>
      <c r="F1239" s="11">
        <f>DATE(55,5,16)</f>
        <v>20225</v>
      </c>
      <c r="G1239" s="12">
        <f t="shared" ca="1" si="118"/>
        <v>57</v>
      </c>
      <c r="H1239" s="12">
        <f t="shared" ca="1" si="119"/>
        <v>-3</v>
      </c>
      <c r="I1239" s="13">
        <f t="shared" ca="1" si="120"/>
        <v>-4</v>
      </c>
      <c r="J1239" s="14">
        <f t="shared" ca="1" si="121"/>
        <v>56</v>
      </c>
      <c r="K1239" s="12" t="s">
        <v>40</v>
      </c>
      <c r="L1239" s="15">
        <v>64</v>
      </c>
      <c r="M1239" s="25" t="s">
        <v>40</v>
      </c>
      <c r="N1239">
        <v>264</v>
      </c>
    </row>
    <row r="1240" spans="1:14">
      <c r="A1240" s="25">
        <f t="shared" si="122"/>
        <v>410</v>
      </c>
      <c r="B1240" s="67" t="s">
        <v>8</v>
      </c>
      <c r="C1240" s="67" t="s">
        <v>644</v>
      </c>
      <c r="D1240" s="67" t="s">
        <v>645</v>
      </c>
      <c r="E1240" s="22">
        <f t="shared" ca="1" si="117"/>
        <v>40951</v>
      </c>
      <c r="F1240" s="32"/>
      <c r="G1240" s="12">
        <f t="shared" ca="1" si="118"/>
        <v>112</v>
      </c>
      <c r="H1240" s="12">
        <f t="shared" ca="1" si="119"/>
        <v>1</v>
      </c>
      <c r="I1240" s="13">
        <f t="shared" ca="1" si="120"/>
        <v>12</v>
      </c>
      <c r="J1240" s="14">
        <f t="shared" ca="1" si="121"/>
        <v>112</v>
      </c>
      <c r="K1240" s="12" t="s">
        <v>40</v>
      </c>
      <c r="L1240" s="15">
        <v>65</v>
      </c>
      <c r="M1240" s="25" t="s">
        <v>40</v>
      </c>
      <c r="N1240">
        <v>264</v>
      </c>
    </row>
    <row r="1241" spans="1:14">
      <c r="A1241" s="25">
        <f t="shared" si="122"/>
        <v>411</v>
      </c>
      <c r="B1241" s="67" t="s">
        <v>8</v>
      </c>
      <c r="C1241" s="67" t="s">
        <v>648</v>
      </c>
      <c r="D1241" s="67" t="s">
        <v>546</v>
      </c>
      <c r="E1241" s="22">
        <f t="shared" ca="1" si="117"/>
        <v>40951</v>
      </c>
      <c r="F1241" s="11">
        <f>DATE(50,20,23)</f>
        <v>18863</v>
      </c>
      <c r="G1241" s="12">
        <f t="shared" ca="1" si="118"/>
        <v>61</v>
      </c>
      <c r="H1241" s="12">
        <f t="shared" ca="1" si="119"/>
        <v>-6</v>
      </c>
      <c r="I1241" s="13">
        <f t="shared" ca="1" si="120"/>
        <v>-11</v>
      </c>
      <c r="J1241" s="14">
        <f t="shared" ca="1" si="121"/>
        <v>60</v>
      </c>
      <c r="K1241" s="12" t="s">
        <v>40</v>
      </c>
      <c r="L1241" s="15">
        <v>65</v>
      </c>
      <c r="M1241" s="25" t="s">
        <v>40</v>
      </c>
      <c r="N1241">
        <v>264</v>
      </c>
    </row>
    <row r="1242" spans="1:14" ht="15.75" thickBot="1">
      <c r="A1242" s="26">
        <f t="shared" si="122"/>
        <v>412</v>
      </c>
      <c r="B1242" s="68" t="s">
        <v>8</v>
      </c>
      <c r="C1242" s="68" t="s">
        <v>228</v>
      </c>
      <c r="D1242" s="68" t="s">
        <v>648</v>
      </c>
      <c r="E1242" s="23">
        <f t="shared" ca="1" si="117"/>
        <v>40951</v>
      </c>
      <c r="F1242" s="16">
        <f>DATE(79,8,25)</f>
        <v>29092</v>
      </c>
      <c r="G1242" s="17">
        <f t="shared" ca="1" si="118"/>
        <v>33</v>
      </c>
      <c r="H1242" s="17">
        <f t="shared" ca="1" si="119"/>
        <v>-6</v>
      </c>
      <c r="I1242" s="18">
        <f t="shared" ca="1" si="120"/>
        <v>-13</v>
      </c>
      <c r="J1242" s="19">
        <f t="shared" ca="1" si="121"/>
        <v>32</v>
      </c>
      <c r="K1242" s="17" t="s">
        <v>40</v>
      </c>
      <c r="L1242" s="20">
        <v>65</v>
      </c>
      <c r="M1242" s="26" t="s">
        <v>44</v>
      </c>
      <c r="N1242">
        <v>264</v>
      </c>
    </row>
    <row r="1243" spans="1:14">
      <c r="A1243" s="25">
        <f t="shared" si="122"/>
        <v>413</v>
      </c>
      <c r="B1243" s="67" t="s">
        <v>8</v>
      </c>
      <c r="C1243" s="67" t="s">
        <v>648</v>
      </c>
      <c r="D1243" s="67" t="s">
        <v>134</v>
      </c>
      <c r="E1243" s="22">
        <f t="shared" ca="1" si="117"/>
        <v>40951</v>
      </c>
      <c r="F1243" s="32"/>
      <c r="G1243" s="12">
        <f t="shared" ca="1" si="118"/>
        <v>112</v>
      </c>
      <c r="H1243" s="12">
        <f t="shared" ca="1" si="119"/>
        <v>1</v>
      </c>
      <c r="I1243" s="13">
        <f t="shared" ca="1" si="120"/>
        <v>12</v>
      </c>
      <c r="J1243" s="14">
        <f t="shared" ca="1" si="121"/>
        <v>112</v>
      </c>
      <c r="K1243" s="12" t="s">
        <v>40</v>
      </c>
      <c r="L1243" s="15">
        <v>65</v>
      </c>
      <c r="M1243" s="25" t="s">
        <v>40</v>
      </c>
      <c r="N1243">
        <v>265</v>
      </c>
    </row>
    <row r="1244" spans="1:14">
      <c r="A1244" s="25">
        <f t="shared" si="122"/>
        <v>414</v>
      </c>
      <c r="B1244" s="67" t="s">
        <v>8</v>
      </c>
      <c r="C1244" s="67" t="s">
        <v>651</v>
      </c>
      <c r="D1244" s="67" t="s">
        <v>648</v>
      </c>
      <c r="E1244" s="22">
        <f t="shared" ca="1" si="117"/>
        <v>40951</v>
      </c>
      <c r="F1244" s="32"/>
      <c r="G1244" s="12">
        <f t="shared" ca="1" si="118"/>
        <v>112</v>
      </c>
      <c r="H1244" s="12">
        <f t="shared" ca="1" si="119"/>
        <v>1</v>
      </c>
      <c r="I1244" s="13">
        <f t="shared" ca="1" si="120"/>
        <v>12</v>
      </c>
      <c r="J1244" s="14">
        <f t="shared" ca="1" si="121"/>
        <v>112</v>
      </c>
      <c r="K1244" s="12" t="s">
        <v>40</v>
      </c>
      <c r="L1244" s="15">
        <v>65</v>
      </c>
      <c r="M1244" s="25" t="s">
        <v>40</v>
      </c>
      <c r="N1244">
        <v>265</v>
      </c>
    </row>
    <row r="1245" spans="1:14">
      <c r="A1245" s="25">
        <f t="shared" si="122"/>
        <v>415</v>
      </c>
      <c r="B1245" s="67" t="s">
        <v>8</v>
      </c>
      <c r="C1245" s="67" t="s">
        <v>648</v>
      </c>
      <c r="D1245" s="67" t="s">
        <v>77</v>
      </c>
      <c r="E1245" s="22">
        <f t="shared" ca="1" si="117"/>
        <v>40951</v>
      </c>
      <c r="F1245" s="11">
        <f>DATE(53,10,20)</f>
        <v>19652</v>
      </c>
      <c r="G1245" s="12">
        <f t="shared" ca="1" si="118"/>
        <v>59</v>
      </c>
      <c r="H1245" s="12">
        <f t="shared" ca="1" si="119"/>
        <v>-8</v>
      </c>
      <c r="I1245" s="13">
        <f t="shared" ca="1" si="120"/>
        <v>-8</v>
      </c>
      <c r="J1245" s="14">
        <f t="shared" ca="1" si="121"/>
        <v>58</v>
      </c>
      <c r="K1245" s="12" t="s">
        <v>40</v>
      </c>
      <c r="L1245" s="15">
        <v>66</v>
      </c>
      <c r="M1245" s="25" t="s">
        <v>40</v>
      </c>
      <c r="N1245">
        <v>265</v>
      </c>
    </row>
    <row r="1246" spans="1:14" ht="15.75" thickBot="1">
      <c r="A1246" s="26">
        <f t="shared" si="122"/>
        <v>416</v>
      </c>
      <c r="B1246" s="68" t="s">
        <v>8</v>
      </c>
      <c r="C1246" s="68" t="s">
        <v>652</v>
      </c>
      <c r="D1246" s="68" t="s">
        <v>648</v>
      </c>
      <c r="E1246" s="23">
        <f t="shared" ca="1" si="117"/>
        <v>40951</v>
      </c>
      <c r="F1246" s="16">
        <f>DATE(82,4,22)</f>
        <v>30063</v>
      </c>
      <c r="G1246" s="17">
        <f t="shared" ca="1" si="118"/>
        <v>30</v>
      </c>
      <c r="H1246" s="17">
        <f t="shared" ca="1" si="119"/>
        <v>-2</v>
      </c>
      <c r="I1246" s="18">
        <f t="shared" ca="1" si="120"/>
        <v>-10</v>
      </c>
      <c r="J1246" s="19">
        <f t="shared" ca="1" si="121"/>
        <v>29</v>
      </c>
      <c r="K1246" s="17" t="s">
        <v>40</v>
      </c>
      <c r="L1246" s="20">
        <v>66</v>
      </c>
      <c r="M1246" s="26" t="s">
        <v>44</v>
      </c>
      <c r="N1246">
        <v>265</v>
      </c>
    </row>
    <row r="1247" spans="1:14">
      <c r="A1247" s="24">
        <f t="shared" si="122"/>
        <v>417</v>
      </c>
      <c r="B1247" s="66" t="s">
        <v>8</v>
      </c>
      <c r="C1247" s="66" t="s">
        <v>276</v>
      </c>
      <c r="D1247" s="66" t="s">
        <v>648</v>
      </c>
      <c r="E1247" s="21">
        <f t="shared" ca="1" si="117"/>
        <v>40951</v>
      </c>
      <c r="F1247" s="6">
        <f>DATE(84,7,16)</f>
        <v>30879</v>
      </c>
      <c r="G1247" s="7">
        <f t="shared" ca="1" si="118"/>
        <v>28</v>
      </c>
      <c r="H1247" s="7">
        <f t="shared" ca="1" si="119"/>
        <v>-5</v>
      </c>
      <c r="I1247" s="8">
        <f t="shared" ca="1" si="120"/>
        <v>-4</v>
      </c>
      <c r="J1247" s="9">
        <f t="shared" ca="1" si="121"/>
        <v>27</v>
      </c>
      <c r="K1247" s="7" t="s">
        <v>40</v>
      </c>
      <c r="L1247" s="10">
        <v>66</v>
      </c>
      <c r="M1247" s="24" t="s">
        <v>44</v>
      </c>
      <c r="N1247">
        <v>266</v>
      </c>
    </row>
    <row r="1248" spans="1:14">
      <c r="A1248" s="25">
        <f t="shared" si="122"/>
        <v>418</v>
      </c>
      <c r="B1248" s="67" t="s">
        <v>8</v>
      </c>
      <c r="C1248" s="67" t="s">
        <v>509</v>
      </c>
      <c r="D1248" s="67" t="s">
        <v>198</v>
      </c>
      <c r="E1248" s="22">
        <f t="shared" ca="1" si="117"/>
        <v>40951</v>
      </c>
      <c r="F1248" s="32"/>
      <c r="G1248" s="12">
        <f t="shared" ca="1" si="118"/>
        <v>112</v>
      </c>
      <c r="H1248" s="12">
        <f t="shared" ca="1" si="119"/>
        <v>1</v>
      </c>
      <c r="I1248" s="13">
        <f t="shared" ca="1" si="120"/>
        <v>12</v>
      </c>
      <c r="J1248" s="14">
        <f t="shared" ca="1" si="121"/>
        <v>112</v>
      </c>
      <c r="K1248" s="12" t="s">
        <v>40</v>
      </c>
      <c r="L1248" s="15">
        <v>66</v>
      </c>
      <c r="M1248" s="25" t="s">
        <v>40</v>
      </c>
      <c r="N1248">
        <v>266</v>
      </c>
    </row>
    <row r="1249" spans="1:14" ht="15.75" thickBot="1">
      <c r="A1249" s="26">
        <f t="shared" si="122"/>
        <v>419</v>
      </c>
      <c r="B1249" s="68" t="s">
        <v>8</v>
      </c>
      <c r="C1249" s="68" t="s">
        <v>377</v>
      </c>
      <c r="D1249" s="68" t="s">
        <v>509</v>
      </c>
      <c r="E1249" s="23">
        <f t="shared" ca="1" si="117"/>
        <v>40951</v>
      </c>
      <c r="F1249" s="16">
        <f>DATE(87,7,13)</f>
        <v>31971</v>
      </c>
      <c r="G1249" s="17">
        <f t="shared" ca="1" si="118"/>
        <v>25</v>
      </c>
      <c r="H1249" s="17">
        <f t="shared" ca="1" si="119"/>
        <v>-5</v>
      </c>
      <c r="I1249" s="18">
        <f t="shared" ca="1" si="120"/>
        <v>-1</v>
      </c>
      <c r="J1249" s="19">
        <f t="shared" ca="1" si="121"/>
        <v>24</v>
      </c>
      <c r="K1249" s="17" t="s">
        <v>40</v>
      </c>
      <c r="L1249" s="20">
        <v>66</v>
      </c>
      <c r="M1249" s="26" t="s">
        <v>44</v>
      </c>
      <c r="N1249">
        <v>266</v>
      </c>
    </row>
    <row r="1250" spans="1:14">
      <c r="A1250" s="25">
        <f t="shared" si="122"/>
        <v>420</v>
      </c>
      <c r="B1250" s="67" t="s">
        <v>8</v>
      </c>
      <c r="C1250" s="67" t="s">
        <v>654</v>
      </c>
      <c r="D1250" s="67" t="s">
        <v>391</v>
      </c>
      <c r="E1250" s="22">
        <f t="shared" ca="1" si="117"/>
        <v>40951</v>
      </c>
      <c r="F1250" s="11">
        <f>DATE(56,10,8)</f>
        <v>20736</v>
      </c>
      <c r="G1250" s="12">
        <f t="shared" ca="1" si="118"/>
        <v>56</v>
      </c>
      <c r="H1250" s="12">
        <f t="shared" ca="1" si="119"/>
        <v>-8</v>
      </c>
      <c r="I1250" s="13">
        <f t="shared" ca="1" si="120"/>
        <v>4</v>
      </c>
      <c r="J1250" s="14">
        <f t="shared" ca="1" si="121"/>
        <v>55</v>
      </c>
      <c r="K1250" s="12" t="s">
        <v>40</v>
      </c>
      <c r="L1250" s="15">
        <v>67</v>
      </c>
      <c r="M1250" s="25" t="s">
        <v>44</v>
      </c>
      <c r="N1250">
        <v>267</v>
      </c>
    </row>
    <row r="1251" spans="1:14">
      <c r="A1251" s="25">
        <f t="shared" si="122"/>
        <v>421</v>
      </c>
      <c r="B1251" s="67" t="s">
        <v>8</v>
      </c>
      <c r="C1251" s="67" t="s">
        <v>164</v>
      </c>
      <c r="D1251" s="67" t="s">
        <v>391</v>
      </c>
      <c r="E1251" s="22">
        <f t="shared" ca="1" si="117"/>
        <v>40951</v>
      </c>
      <c r="F1251" s="11">
        <f>DATE(64,6,28)</f>
        <v>23556</v>
      </c>
      <c r="G1251" s="12">
        <f t="shared" ca="1" si="118"/>
        <v>48</v>
      </c>
      <c r="H1251" s="12">
        <f t="shared" ca="1" si="119"/>
        <v>-4</v>
      </c>
      <c r="I1251" s="13">
        <f t="shared" ca="1" si="120"/>
        <v>-16</v>
      </c>
      <c r="J1251" s="14">
        <f t="shared" ca="1" si="121"/>
        <v>47</v>
      </c>
      <c r="K1251" s="12" t="s">
        <v>40</v>
      </c>
      <c r="L1251" s="15">
        <v>67</v>
      </c>
      <c r="M1251" s="25" t="s">
        <v>40</v>
      </c>
      <c r="N1251">
        <v>267</v>
      </c>
    </row>
    <row r="1252" spans="1:14">
      <c r="A1252" s="25">
        <f t="shared" si="122"/>
        <v>422</v>
      </c>
      <c r="B1252" s="67" t="s">
        <v>8</v>
      </c>
      <c r="C1252" s="67" t="s">
        <v>612</v>
      </c>
      <c r="D1252" s="67" t="s">
        <v>164</v>
      </c>
      <c r="E1252" s="22">
        <f t="shared" ca="1" si="117"/>
        <v>40951</v>
      </c>
      <c r="F1252" s="11">
        <f>DATE(97,6,28)</f>
        <v>35609</v>
      </c>
      <c r="G1252" s="12">
        <f t="shared" ca="1" si="118"/>
        <v>15</v>
      </c>
      <c r="H1252" s="12">
        <f t="shared" ca="1" si="119"/>
        <v>-4</v>
      </c>
      <c r="I1252" s="13">
        <f t="shared" ca="1" si="120"/>
        <v>-16</v>
      </c>
      <c r="J1252" s="14">
        <f t="shared" ca="1" si="121"/>
        <v>14</v>
      </c>
      <c r="K1252" s="12" t="s">
        <v>40</v>
      </c>
      <c r="L1252" s="15">
        <v>67</v>
      </c>
      <c r="M1252" s="25" t="s">
        <v>44</v>
      </c>
      <c r="N1252">
        <v>267</v>
      </c>
    </row>
    <row r="1253" spans="1:14">
      <c r="A1253" s="25">
        <f t="shared" si="122"/>
        <v>423</v>
      </c>
      <c r="B1253" s="67" t="s">
        <v>8</v>
      </c>
      <c r="C1253" s="67" t="s">
        <v>396</v>
      </c>
      <c r="D1253" s="67" t="s">
        <v>391</v>
      </c>
      <c r="E1253" s="22">
        <f t="shared" ca="1" si="117"/>
        <v>40951</v>
      </c>
      <c r="F1253" s="11">
        <f>DATE(67,8,18)</f>
        <v>24702</v>
      </c>
      <c r="G1253" s="12">
        <f t="shared" ca="1" si="118"/>
        <v>45</v>
      </c>
      <c r="H1253" s="12">
        <f t="shared" ca="1" si="119"/>
        <v>-6</v>
      </c>
      <c r="I1253" s="13">
        <f t="shared" ca="1" si="120"/>
        <v>-6</v>
      </c>
      <c r="J1253" s="14">
        <f t="shared" ca="1" si="121"/>
        <v>44</v>
      </c>
      <c r="K1253" s="12" t="s">
        <v>40</v>
      </c>
      <c r="L1253" s="15">
        <v>67</v>
      </c>
      <c r="M1253" s="25" t="s">
        <v>40</v>
      </c>
      <c r="N1253">
        <v>267</v>
      </c>
    </row>
    <row r="1254" spans="1:14">
      <c r="A1254" s="25">
        <f t="shared" si="122"/>
        <v>424</v>
      </c>
      <c r="B1254" s="67" t="s">
        <v>8</v>
      </c>
      <c r="C1254" s="67" t="s">
        <v>257</v>
      </c>
      <c r="D1254" s="67" t="s">
        <v>396</v>
      </c>
      <c r="E1254" s="22">
        <f t="shared" ca="1" si="117"/>
        <v>40951</v>
      </c>
      <c r="F1254" s="11">
        <f>DATE(95,9,19)</f>
        <v>34961</v>
      </c>
      <c r="G1254" s="12">
        <f t="shared" ca="1" si="118"/>
        <v>17</v>
      </c>
      <c r="H1254" s="12">
        <f t="shared" ca="1" si="119"/>
        <v>-7</v>
      </c>
      <c r="I1254" s="13">
        <f t="shared" ca="1" si="120"/>
        <v>-7</v>
      </c>
      <c r="J1254" s="14">
        <f t="shared" ca="1" si="121"/>
        <v>16</v>
      </c>
      <c r="K1254" s="12" t="s">
        <v>40</v>
      </c>
      <c r="L1254" s="15">
        <v>67</v>
      </c>
      <c r="M1254" s="25" t="s">
        <v>44</v>
      </c>
      <c r="N1254">
        <v>267</v>
      </c>
    </row>
    <row r="1255" spans="1:14">
      <c r="A1255" s="25">
        <f t="shared" si="122"/>
        <v>425</v>
      </c>
      <c r="B1255" s="67" t="s">
        <v>8</v>
      </c>
      <c r="C1255" s="67" t="s">
        <v>164</v>
      </c>
      <c r="D1255" s="67" t="s">
        <v>602</v>
      </c>
      <c r="E1255" s="22">
        <f t="shared" ca="1" si="117"/>
        <v>40951</v>
      </c>
      <c r="F1255" s="11">
        <f>DATE(69,10,25)</f>
        <v>25501</v>
      </c>
      <c r="G1255" s="12">
        <f t="shared" ca="1" si="118"/>
        <v>43</v>
      </c>
      <c r="H1255" s="12">
        <f t="shared" ca="1" si="119"/>
        <v>-8</v>
      </c>
      <c r="I1255" s="13">
        <f t="shared" ca="1" si="120"/>
        <v>-13</v>
      </c>
      <c r="J1255" s="14">
        <f t="shared" ca="1" si="121"/>
        <v>42</v>
      </c>
      <c r="K1255" s="12" t="s">
        <v>40</v>
      </c>
      <c r="L1255" s="15">
        <v>67</v>
      </c>
      <c r="M1255" s="25" t="s">
        <v>40</v>
      </c>
      <c r="N1255">
        <v>267</v>
      </c>
    </row>
    <row r="1256" spans="1:14" ht="15.75" thickBot="1">
      <c r="A1256" s="26">
        <f t="shared" si="122"/>
        <v>426</v>
      </c>
      <c r="B1256" s="68" t="s">
        <v>8</v>
      </c>
      <c r="C1256" s="68" t="s">
        <v>105</v>
      </c>
      <c r="D1256" s="68" t="s">
        <v>164</v>
      </c>
      <c r="E1256" s="23">
        <f t="shared" ca="1" si="117"/>
        <v>40951</v>
      </c>
      <c r="F1256" s="16">
        <f>DATE(2005,11,25)</f>
        <v>38681</v>
      </c>
      <c r="G1256" s="17">
        <f t="shared" ca="1" si="118"/>
        <v>7</v>
      </c>
      <c r="H1256" s="17">
        <f t="shared" ca="1" si="119"/>
        <v>-9</v>
      </c>
      <c r="I1256" s="18">
        <f t="shared" ca="1" si="120"/>
        <v>-13</v>
      </c>
      <c r="J1256" s="19">
        <f t="shared" ca="1" si="121"/>
        <v>6</v>
      </c>
      <c r="K1256" s="17" t="s">
        <v>40</v>
      </c>
      <c r="L1256" s="20">
        <v>67</v>
      </c>
      <c r="M1256" s="26" t="s">
        <v>44</v>
      </c>
      <c r="N1256">
        <v>267</v>
      </c>
    </row>
    <row r="1257" spans="1:14">
      <c r="A1257" s="25">
        <f t="shared" si="122"/>
        <v>427</v>
      </c>
      <c r="B1257" s="67" t="s">
        <v>8</v>
      </c>
      <c r="C1257" s="67" t="s">
        <v>249</v>
      </c>
      <c r="D1257" s="67" t="s">
        <v>198</v>
      </c>
      <c r="E1257" s="22">
        <f t="shared" ca="1" si="117"/>
        <v>40951</v>
      </c>
      <c r="F1257" s="11">
        <f>DATE(60,10,29)</f>
        <v>22218</v>
      </c>
      <c r="G1257" s="12">
        <f t="shared" ca="1" si="118"/>
        <v>52</v>
      </c>
      <c r="H1257" s="12">
        <f t="shared" ca="1" si="119"/>
        <v>-8</v>
      </c>
      <c r="I1257" s="13">
        <f t="shared" ca="1" si="120"/>
        <v>-17</v>
      </c>
      <c r="J1257" s="14">
        <f t="shared" ca="1" si="121"/>
        <v>51</v>
      </c>
      <c r="K1257" s="12" t="s">
        <v>40</v>
      </c>
      <c r="L1257" s="15">
        <v>68</v>
      </c>
      <c r="M1257" s="25" t="s">
        <v>40</v>
      </c>
      <c r="N1257">
        <v>268</v>
      </c>
    </row>
    <row r="1258" spans="1:14">
      <c r="A1258" s="25">
        <f t="shared" si="122"/>
        <v>428</v>
      </c>
      <c r="B1258" s="67" t="s">
        <v>8</v>
      </c>
      <c r="C1258" s="67" t="s">
        <v>659</v>
      </c>
      <c r="D1258" s="67" t="s">
        <v>249</v>
      </c>
      <c r="E1258" s="22">
        <f t="shared" ca="1" si="117"/>
        <v>40951</v>
      </c>
      <c r="F1258" s="11">
        <f>DATE(95,7,16)</f>
        <v>34896</v>
      </c>
      <c r="G1258" s="12">
        <f t="shared" ca="1" si="118"/>
        <v>17</v>
      </c>
      <c r="H1258" s="12">
        <f t="shared" ca="1" si="119"/>
        <v>-5</v>
      </c>
      <c r="I1258" s="13">
        <f t="shared" ca="1" si="120"/>
        <v>-4</v>
      </c>
      <c r="J1258" s="14">
        <f t="shared" ca="1" si="121"/>
        <v>16</v>
      </c>
      <c r="K1258" s="12" t="s">
        <v>40</v>
      </c>
      <c r="L1258" s="15">
        <v>68</v>
      </c>
      <c r="M1258" s="25" t="s">
        <v>44</v>
      </c>
      <c r="N1258">
        <v>268</v>
      </c>
    </row>
    <row r="1259" spans="1:14">
      <c r="A1259" s="25">
        <f t="shared" si="122"/>
        <v>429</v>
      </c>
      <c r="B1259" s="67" t="s">
        <v>8</v>
      </c>
      <c r="C1259" s="67" t="s">
        <v>541</v>
      </c>
      <c r="D1259" s="67" t="s">
        <v>198</v>
      </c>
      <c r="E1259" s="22">
        <f t="shared" ca="1" si="117"/>
        <v>40951</v>
      </c>
      <c r="F1259" s="11">
        <f>DATE(63,2,24)</f>
        <v>23066</v>
      </c>
      <c r="G1259" s="12">
        <f t="shared" ca="1" si="118"/>
        <v>49</v>
      </c>
      <c r="H1259" s="12">
        <f t="shared" ca="1" si="119"/>
        <v>0</v>
      </c>
      <c r="I1259" s="13">
        <f t="shared" ca="1" si="120"/>
        <v>-12</v>
      </c>
      <c r="J1259" s="14">
        <f t="shared" ca="1" si="121"/>
        <v>48</v>
      </c>
      <c r="K1259" s="12" t="s">
        <v>40</v>
      </c>
      <c r="L1259" s="15">
        <v>68</v>
      </c>
      <c r="M1259" s="25" t="s">
        <v>44</v>
      </c>
      <c r="N1259">
        <v>268</v>
      </c>
    </row>
    <row r="1260" spans="1:14">
      <c r="A1260" s="25">
        <f t="shared" ref="A1260:A1276" si="123">A1259+1</f>
        <v>430</v>
      </c>
      <c r="B1260" s="67" t="s">
        <v>8</v>
      </c>
      <c r="C1260" s="67" t="s">
        <v>661</v>
      </c>
      <c r="D1260" s="67" t="s">
        <v>198</v>
      </c>
      <c r="E1260" s="22">
        <f t="shared" ca="1" si="117"/>
        <v>40951</v>
      </c>
      <c r="F1260" s="11">
        <f>DATE(66,5,31)</f>
        <v>24258</v>
      </c>
      <c r="G1260" s="12">
        <f t="shared" ca="1" si="118"/>
        <v>46</v>
      </c>
      <c r="H1260" s="12">
        <f t="shared" ca="1" si="119"/>
        <v>-3</v>
      </c>
      <c r="I1260" s="13">
        <f t="shared" ca="1" si="120"/>
        <v>-19</v>
      </c>
      <c r="J1260" s="14">
        <f t="shared" ca="1" si="121"/>
        <v>45</v>
      </c>
      <c r="K1260" s="12" t="s">
        <v>40</v>
      </c>
      <c r="L1260" s="15">
        <v>68</v>
      </c>
      <c r="M1260" s="25" t="s">
        <v>44</v>
      </c>
      <c r="N1260">
        <v>268</v>
      </c>
    </row>
    <row r="1261" spans="1:14" ht="15.75" thickBot="1">
      <c r="A1261" s="26">
        <f t="shared" si="123"/>
        <v>431</v>
      </c>
      <c r="B1261" s="68" t="s">
        <v>8</v>
      </c>
      <c r="C1261" s="68" t="s">
        <v>663</v>
      </c>
      <c r="D1261" s="68" t="s">
        <v>65</v>
      </c>
      <c r="E1261" s="23">
        <f t="shared" ca="1" si="117"/>
        <v>40951</v>
      </c>
      <c r="F1261" s="33"/>
      <c r="G1261" s="17">
        <f t="shared" ca="1" si="118"/>
        <v>112</v>
      </c>
      <c r="H1261" s="17">
        <f t="shared" ca="1" si="119"/>
        <v>1</v>
      </c>
      <c r="I1261" s="18">
        <f t="shared" ca="1" si="120"/>
        <v>12</v>
      </c>
      <c r="J1261" s="19">
        <f t="shared" ca="1" si="121"/>
        <v>112</v>
      </c>
      <c r="K1261" s="17" t="s">
        <v>40</v>
      </c>
      <c r="L1261" s="20">
        <v>68</v>
      </c>
      <c r="M1261" s="26" t="s">
        <v>40</v>
      </c>
      <c r="N1261">
        <v>268</v>
      </c>
    </row>
    <row r="1262" spans="1:14">
      <c r="A1262" s="25">
        <f t="shared" si="123"/>
        <v>432</v>
      </c>
      <c r="B1262" s="67" t="s">
        <v>8</v>
      </c>
      <c r="C1262" s="67" t="s">
        <v>664</v>
      </c>
      <c r="D1262" s="67" t="s">
        <v>663</v>
      </c>
      <c r="E1262" s="22">
        <f t="shared" ca="1" si="117"/>
        <v>40951</v>
      </c>
      <c r="F1262" s="11">
        <f>DATE(87,3,2)</f>
        <v>31838</v>
      </c>
      <c r="G1262" s="12">
        <f t="shared" ca="1" si="118"/>
        <v>25</v>
      </c>
      <c r="H1262" s="12">
        <f t="shared" ca="1" si="119"/>
        <v>-1</v>
      </c>
      <c r="I1262" s="13">
        <f t="shared" ca="1" si="120"/>
        <v>10</v>
      </c>
      <c r="J1262" s="14">
        <f t="shared" ca="1" si="121"/>
        <v>24</v>
      </c>
      <c r="K1262" s="12" t="s">
        <v>40</v>
      </c>
      <c r="L1262" s="15">
        <v>68</v>
      </c>
      <c r="M1262" s="25" t="s">
        <v>40</v>
      </c>
      <c r="N1262">
        <v>269</v>
      </c>
    </row>
    <row r="1263" spans="1:14">
      <c r="A1263" s="25">
        <f t="shared" si="123"/>
        <v>433</v>
      </c>
      <c r="B1263" s="67" t="s">
        <v>8</v>
      </c>
      <c r="C1263" s="67" t="s">
        <v>665</v>
      </c>
      <c r="D1263" s="67" t="s">
        <v>546</v>
      </c>
      <c r="E1263" s="22">
        <f t="shared" ca="1" si="117"/>
        <v>40951</v>
      </c>
      <c r="F1263" s="11">
        <f>DATE(51,2,25)</f>
        <v>18684</v>
      </c>
      <c r="G1263" s="12">
        <f t="shared" ca="1" si="118"/>
        <v>61</v>
      </c>
      <c r="H1263" s="12">
        <f t="shared" ca="1" si="119"/>
        <v>0</v>
      </c>
      <c r="I1263" s="13">
        <f t="shared" ca="1" si="120"/>
        <v>-13</v>
      </c>
      <c r="J1263" s="14">
        <f t="shared" ca="1" si="121"/>
        <v>60</v>
      </c>
      <c r="K1263" s="12" t="s">
        <v>40</v>
      </c>
      <c r="L1263" s="15">
        <v>69</v>
      </c>
      <c r="M1263" s="25" t="s">
        <v>40</v>
      </c>
      <c r="N1263">
        <v>269</v>
      </c>
    </row>
    <row r="1264" spans="1:14" ht="15.75" thickBot="1">
      <c r="A1264" s="26">
        <f t="shared" si="123"/>
        <v>434</v>
      </c>
      <c r="B1264" s="68" t="s">
        <v>8</v>
      </c>
      <c r="C1264" s="68" t="s">
        <v>112</v>
      </c>
      <c r="D1264" s="68" t="s">
        <v>666</v>
      </c>
      <c r="E1264" s="23">
        <f t="shared" ca="1" si="117"/>
        <v>40951</v>
      </c>
      <c r="F1264" s="16">
        <f>DATE(75,4,14)</f>
        <v>27498</v>
      </c>
      <c r="G1264" s="17">
        <f t="shared" ca="1" si="118"/>
        <v>37</v>
      </c>
      <c r="H1264" s="17">
        <f t="shared" ca="1" si="119"/>
        <v>-2</v>
      </c>
      <c r="I1264" s="18">
        <f t="shared" ca="1" si="120"/>
        <v>-2</v>
      </c>
      <c r="J1264" s="19">
        <f t="shared" ca="1" si="121"/>
        <v>36</v>
      </c>
      <c r="K1264" s="17" t="s">
        <v>40</v>
      </c>
      <c r="L1264" s="20">
        <v>69</v>
      </c>
      <c r="M1264" s="26" t="s">
        <v>40</v>
      </c>
      <c r="N1264">
        <v>269</v>
      </c>
    </row>
    <row r="1265" spans="1:14">
      <c r="A1265" s="25">
        <f t="shared" si="123"/>
        <v>435</v>
      </c>
      <c r="B1265" s="67" t="s">
        <v>8</v>
      </c>
      <c r="C1265" s="67" t="s">
        <v>592</v>
      </c>
      <c r="D1265" s="67" t="s">
        <v>666</v>
      </c>
      <c r="E1265" s="22">
        <f t="shared" ca="1" si="117"/>
        <v>40951</v>
      </c>
      <c r="F1265" s="11">
        <f>DATE(77,8,30)</f>
        <v>28367</v>
      </c>
      <c r="G1265" s="12">
        <f t="shared" ca="1" si="118"/>
        <v>35</v>
      </c>
      <c r="H1265" s="12">
        <f t="shared" ca="1" si="119"/>
        <v>-6</v>
      </c>
      <c r="I1265" s="13">
        <f t="shared" ca="1" si="120"/>
        <v>-18</v>
      </c>
      <c r="J1265" s="14">
        <f t="shared" ca="1" si="121"/>
        <v>34</v>
      </c>
      <c r="K1265" s="12" t="s">
        <v>40</v>
      </c>
      <c r="L1265" s="15">
        <v>69</v>
      </c>
      <c r="M1265" s="25" t="s">
        <v>40</v>
      </c>
      <c r="N1265">
        <v>270</v>
      </c>
    </row>
    <row r="1266" spans="1:14">
      <c r="A1266" s="25">
        <f t="shared" si="123"/>
        <v>436</v>
      </c>
      <c r="B1266" s="67" t="s">
        <v>8</v>
      </c>
      <c r="C1266" s="67" t="s">
        <v>670</v>
      </c>
      <c r="D1266" s="67" t="s">
        <v>592</v>
      </c>
      <c r="E1266" s="22">
        <f t="shared" ca="1" si="117"/>
        <v>40951</v>
      </c>
      <c r="F1266" s="11">
        <f>DATE(2005,4,6)</f>
        <v>38448</v>
      </c>
      <c r="G1266" s="12">
        <f t="shared" ca="1" si="118"/>
        <v>7</v>
      </c>
      <c r="H1266" s="12">
        <f t="shared" ca="1" si="119"/>
        <v>-2</v>
      </c>
      <c r="I1266" s="13">
        <f t="shared" ca="1" si="120"/>
        <v>6</v>
      </c>
      <c r="J1266" s="14">
        <f t="shared" ca="1" si="121"/>
        <v>6</v>
      </c>
      <c r="K1266" s="12" t="s">
        <v>40</v>
      </c>
      <c r="L1266" s="15">
        <v>69</v>
      </c>
      <c r="M1266" s="25" t="s">
        <v>44</v>
      </c>
      <c r="N1266">
        <v>270</v>
      </c>
    </row>
    <row r="1267" spans="1:14">
      <c r="A1267" s="25">
        <f t="shared" si="123"/>
        <v>437</v>
      </c>
      <c r="B1267" s="67" t="s">
        <v>8</v>
      </c>
      <c r="C1267" s="67" t="s">
        <v>266</v>
      </c>
      <c r="D1267" s="67" t="s">
        <v>77</v>
      </c>
      <c r="E1267" s="22">
        <f t="shared" ca="1" si="117"/>
        <v>40951</v>
      </c>
      <c r="F1267" s="11">
        <f>DATE(46,4,6)</f>
        <v>16898</v>
      </c>
      <c r="G1267" s="12">
        <f t="shared" ca="1" si="118"/>
        <v>66</v>
      </c>
      <c r="H1267" s="12">
        <f t="shared" ca="1" si="119"/>
        <v>-2</v>
      </c>
      <c r="I1267" s="13">
        <f t="shared" ca="1" si="120"/>
        <v>6</v>
      </c>
      <c r="J1267" s="14">
        <f t="shared" ca="1" si="121"/>
        <v>65</v>
      </c>
      <c r="K1267" s="12" t="s">
        <v>40</v>
      </c>
      <c r="L1267" s="15">
        <v>69</v>
      </c>
      <c r="M1267" s="25" t="s">
        <v>40</v>
      </c>
      <c r="N1267">
        <v>270</v>
      </c>
    </row>
    <row r="1268" spans="1:14">
      <c r="A1268" s="25">
        <f t="shared" si="123"/>
        <v>438</v>
      </c>
      <c r="B1268" s="67" t="s">
        <v>8</v>
      </c>
      <c r="C1268" s="67" t="s">
        <v>312</v>
      </c>
      <c r="D1268" s="67" t="s">
        <v>266</v>
      </c>
      <c r="E1268" s="22">
        <f t="shared" ca="1" si="117"/>
        <v>40951</v>
      </c>
      <c r="F1268" s="11">
        <f>DATE(73,3,22)</f>
        <v>26745</v>
      </c>
      <c r="G1268" s="12">
        <f t="shared" ca="1" si="118"/>
        <v>39</v>
      </c>
      <c r="H1268" s="12">
        <f t="shared" ca="1" si="119"/>
        <v>-1</v>
      </c>
      <c r="I1268" s="13">
        <f t="shared" ca="1" si="120"/>
        <v>-10</v>
      </c>
      <c r="J1268" s="14">
        <f t="shared" ca="1" si="121"/>
        <v>38</v>
      </c>
      <c r="K1268" s="12" t="s">
        <v>40</v>
      </c>
      <c r="L1268" s="15">
        <v>69</v>
      </c>
      <c r="M1268" s="25" t="s">
        <v>44</v>
      </c>
      <c r="N1268">
        <v>270</v>
      </c>
    </row>
    <row r="1269" spans="1:14">
      <c r="A1269" s="25">
        <f t="shared" si="123"/>
        <v>439</v>
      </c>
      <c r="B1269" s="67" t="s">
        <v>8</v>
      </c>
      <c r="C1269" s="67" t="s">
        <v>672</v>
      </c>
      <c r="D1269" s="67" t="s">
        <v>266</v>
      </c>
      <c r="E1269" s="22">
        <f t="shared" ca="1" si="117"/>
        <v>40951</v>
      </c>
      <c r="F1269" s="11">
        <f>DATE(75,3,6)</f>
        <v>27459</v>
      </c>
      <c r="G1269" s="12">
        <f t="shared" ca="1" si="118"/>
        <v>37</v>
      </c>
      <c r="H1269" s="12">
        <f t="shared" ca="1" si="119"/>
        <v>-1</v>
      </c>
      <c r="I1269" s="13">
        <f t="shared" ca="1" si="120"/>
        <v>6</v>
      </c>
      <c r="J1269" s="14">
        <f t="shared" ca="1" si="121"/>
        <v>36</v>
      </c>
      <c r="K1269" s="12" t="s">
        <v>40</v>
      </c>
      <c r="L1269" s="15">
        <v>69</v>
      </c>
      <c r="M1269" s="25" t="s">
        <v>40</v>
      </c>
      <c r="N1269">
        <v>270</v>
      </c>
    </row>
    <row r="1270" spans="1:14">
      <c r="A1270" s="25">
        <f t="shared" si="123"/>
        <v>440</v>
      </c>
      <c r="B1270" s="67" t="s">
        <v>8</v>
      </c>
      <c r="C1270" s="67" t="s">
        <v>305</v>
      </c>
      <c r="D1270" s="67" t="s">
        <v>266</v>
      </c>
      <c r="E1270" s="22">
        <f t="shared" ca="1" si="117"/>
        <v>40951</v>
      </c>
      <c r="F1270" s="11">
        <f>DATE(79,6,13)</f>
        <v>29019</v>
      </c>
      <c r="G1270" s="12">
        <f t="shared" ca="1" si="118"/>
        <v>33</v>
      </c>
      <c r="H1270" s="12">
        <f t="shared" ca="1" si="119"/>
        <v>-4</v>
      </c>
      <c r="I1270" s="13">
        <f t="shared" ca="1" si="120"/>
        <v>-1</v>
      </c>
      <c r="J1270" s="14">
        <f t="shared" ca="1" si="121"/>
        <v>32</v>
      </c>
      <c r="K1270" s="12" t="s">
        <v>40</v>
      </c>
      <c r="L1270" s="15">
        <v>69</v>
      </c>
      <c r="M1270" s="25" t="s">
        <v>44</v>
      </c>
      <c r="N1270">
        <v>270</v>
      </c>
    </row>
    <row r="1271" spans="1:14" ht="15.75" thickBot="1">
      <c r="A1271" s="26">
        <f t="shared" si="123"/>
        <v>441</v>
      </c>
      <c r="B1271" s="68" t="s">
        <v>8</v>
      </c>
      <c r="C1271" s="68" t="s">
        <v>674</v>
      </c>
      <c r="D1271" s="68" t="s">
        <v>198</v>
      </c>
      <c r="E1271" s="23">
        <f t="shared" ca="1" si="117"/>
        <v>40951</v>
      </c>
      <c r="F1271" s="16">
        <f>DATE(45,9,28)</f>
        <v>16708</v>
      </c>
      <c r="G1271" s="17">
        <f t="shared" ca="1" si="118"/>
        <v>67</v>
      </c>
      <c r="H1271" s="17">
        <f t="shared" ca="1" si="119"/>
        <v>-7</v>
      </c>
      <c r="I1271" s="18">
        <f t="shared" ca="1" si="120"/>
        <v>-16</v>
      </c>
      <c r="J1271" s="19">
        <f t="shared" ca="1" si="121"/>
        <v>66</v>
      </c>
      <c r="K1271" s="17" t="s">
        <v>40</v>
      </c>
      <c r="L1271" s="20">
        <v>70</v>
      </c>
      <c r="M1271" s="26" t="s">
        <v>40</v>
      </c>
      <c r="N1271">
        <v>270</v>
      </c>
    </row>
    <row r="1272" spans="1:14">
      <c r="A1272" s="25">
        <f t="shared" si="123"/>
        <v>442</v>
      </c>
      <c r="B1272" s="67" t="s">
        <v>8</v>
      </c>
      <c r="C1272" s="67" t="s">
        <v>140</v>
      </c>
      <c r="D1272" s="67" t="s">
        <v>674</v>
      </c>
      <c r="E1272" s="22">
        <f t="shared" ca="1" si="117"/>
        <v>40951</v>
      </c>
      <c r="F1272" s="11">
        <f>DATE(73,7,30)</f>
        <v>26875</v>
      </c>
      <c r="G1272" s="12">
        <f t="shared" ca="1" si="118"/>
        <v>39</v>
      </c>
      <c r="H1272" s="12">
        <f t="shared" ca="1" si="119"/>
        <v>-5</v>
      </c>
      <c r="I1272" s="13">
        <f t="shared" ca="1" si="120"/>
        <v>-18</v>
      </c>
      <c r="J1272" s="14">
        <f t="shared" ca="1" si="121"/>
        <v>38</v>
      </c>
      <c r="K1272" s="12" t="s">
        <v>40</v>
      </c>
      <c r="L1272" s="15">
        <v>70</v>
      </c>
      <c r="M1272" s="25" t="s">
        <v>40</v>
      </c>
      <c r="N1272">
        <v>271</v>
      </c>
    </row>
    <row r="1273" spans="1:14">
      <c r="A1273" s="25">
        <f t="shared" si="123"/>
        <v>443</v>
      </c>
      <c r="B1273" s="67" t="s">
        <v>8</v>
      </c>
      <c r="C1273" s="67" t="s">
        <v>126</v>
      </c>
      <c r="D1273" s="67" t="s">
        <v>140</v>
      </c>
      <c r="E1273" s="22">
        <f t="shared" ca="1" si="117"/>
        <v>40951</v>
      </c>
      <c r="F1273" s="11">
        <f>DATE(2001,9,1)</f>
        <v>37135</v>
      </c>
      <c r="G1273" s="12">
        <f t="shared" ca="1" si="118"/>
        <v>11</v>
      </c>
      <c r="H1273" s="12">
        <f t="shared" ca="1" si="119"/>
        <v>-7</v>
      </c>
      <c r="I1273" s="13">
        <f t="shared" ca="1" si="120"/>
        <v>11</v>
      </c>
      <c r="J1273" s="14">
        <f t="shared" ca="1" si="121"/>
        <v>10</v>
      </c>
      <c r="K1273" s="12" t="s">
        <v>40</v>
      </c>
      <c r="L1273" s="15">
        <v>70</v>
      </c>
      <c r="M1273" s="25" t="s">
        <v>44</v>
      </c>
      <c r="N1273">
        <v>271</v>
      </c>
    </row>
    <row r="1274" spans="1:14">
      <c r="A1274" s="25">
        <f t="shared" si="123"/>
        <v>444</v>
      </c>
      <c r="B1274" s="67" t="s">
        <v>8</v>
      </c>
      <c r="C1274" s="67" t="s">
        <v>675</v>
      </c>
      <c r="D1274" s="67" t="s">
        <v>140</v>
      </c>
      <c r="E1274" s="22">
        <f t="shared" ca="1" si="117"/>
        <v>40951</v>
      </c>
      <c r="F1274" s="11">
        <f>DATE(2006,7,30)</f>
        <v>38928</v>
      </c>
      <c r="G1274" s="12">
        <f t="shared" ca="1" si="118"/>
        <v>6</v>
      </c>
      <c r="H1274" s="12">
        <f t="shared" ca="1" si="119"/>
        <v>-5</v>
      </c>
      <c r="I1274" s="13">
        <f t="shared" ca="1" si="120"/>
        <v>-18</v>
      </c>
      <c r="J1274" s="14">
        <f t="shared" ca="1" si="121"/>
        <v>5</v>
      </c>
      <c r="K1274" s="12" t="s">
        <v>40</v>
      </c>
      <c r="L1274" s="15">
        <v>70</v>
      </c>
      <c r="M1274" s="25" t="s">
        <v>44</v>
      </c>
      <c r="N1274">
        <v>271</v>
      </c>
    </row>
    <row r="1275" spans="1:14" ht="15.75" thickBot="1">
      <c r="A1275" s="26">
        <f t="shared" si="123"/>
        <v>445</v>
      </c>
      <c r="B1275" s="68" t="s">
        <v>8</v>
      </c>
      <c r="C1275" s="68" t="s">
        <v>676</v>
      </c>
      <c r="D1275" s="68" t="s">
        <v>674</v>
      </c>
      <c r="E1275" s="23">
        <f t="shared" ca="1" si="117"/>
        <v>40951</v>
      </c>
      <c r="F1275" s="16">
        <f>DATE(75,11,8)</f>
        <v>27706</v>
      </c>
      <c r="G1275" s="17">
        <f t="shared" ca="1" si="118"/>
        <v>37</v>
      </c>
      <c r="H1275" s="17">
        <f t="shared" ca="1" si="119"/>
        <v>-9</v>
      </c>
      <c r="I1275" s="18">
        <f t="shared" ca="1" si="120"/>
        <v>4</v>
      </c>
      <c r="J1275" s="19">
        <f t="shared" ca="1" si="121"/>
        <v>36</v>
      </c>
      <c r="K1275" s="17" t="s">
        <v>40</v>
      </c>
      <c r="L1275" s="20">
        <v>70</v>
      </c>
      <c r="M1275" s="26" t="s">
        <v>40</v>
      </c>
      <c r="N1275">
        <v>271</v>
      </c>
    </row>
    <row r="1276" spans="1:14">
      <c r="A1276" s="25">
        <f t="shared" si="123"/>
        <v>446</v>
      </c>
      <c r="B1276" s="67" t="s">
        <v>8</v>
      </c>
      <c r="C1276" s="67" t="s">
        <v>641</v>
      </c>
      <c r="D1276" s="67" t="s">
        <v>674</v>
      </c>
      <c r="E1276" s="22">
        <f t="shared" ca="1" si="117"/>
        <v>40951</v>
      </c>
      <c r="F1276" s="11">
        <f>DATE(78,5,2)</f>
        <v>28612</v>
      </c>
      <c r="G1276" s="12">
        <f t="shared" ca="1" si="118"/>
        <v>34</v>
      </c>
      <c r="H1276" s="12">
        <f t="shared" ca="1" si="119"/>
        <v>-3</v>
      </c>
      <c r="I1276" s="13">
        <f t="shared" ca="1" si="120"/>
        <v>10</v>
      </c>
      <c r="J1276" s="14">
        <f t="shared" ca="1" si="121"/>
        <v>33</v>
      </c>
      <c r="K1276" s="12" t="s">
        <v>40</v>
      </c>
      <c r="L1276" s="15">
        <v>70</v>
      </c>
      <c r="M1276" s="25" t="s">
        <v>40</v>
      </c>
      <c r="N1276">
        <v>272</v>
      </c>
    </row>
    <row r="1277" spans="1:14">
      <c r="A1277" s="25">
        <f>A1275+1</f>
        <v>446</v>
      </c>
      <c r="B1277" s="67" t="s">
        <v>9</v>
      </c>
      <c r="C1277" s="67" t="s">
        <v>479</v>
      </c>
      <c r="D1277" s="67" t="s">
        <v>77</v>
      </c>
      <c r="E1277" s="22">
        <f t="shared" ca="1" si="117"/>
        <v>40951</v>
      </c>
      <c r="F1277" s="11">
        <f>DATE(46,12,9)</f>
        <v>17145</v>
      </c>
      <c r="G1277" s="12">
        <f t="shared" ca="1" si="118"/>
        <v>66</v>
      </c>
      <c r="H1277" s="12">
        <f t="shared" ca="1" si="119"/>
        <v>-10</v>
      </c>
      <c r="I1277" s="13">
        <f t="shared" ca="1" si="120"/>
        <v>3</v>
      </c>
      <c r="J1277" s="14">
        <f t="shared" ca="1" si="121"/>
        <v>65</v>
      </c>
      <c r="K1277" s="12" t="s">
        <v>40</v>
      </c>
      <c r="L1277" s="15">
        <v>71</v>
      </c>
      <c r="M1277" s="25" t="s">
        <v>40</v>
      </c>
      <c r="N1277">
        <v>272</v>
      </c>
    </row>
    <row r="1278" spans="1:14">
      <c r="A1278" s="25">
        <f t="shared" ref="A1278:A1341" si="124">A1277+1</f>
        <v>447</v>
      </c>
      <c r="B1278" s="67" t="s">
        <v>9</v>
      </c>
      <c r="C1278" s="67" t="s">
        <v>183</v>
      </c>
      <c r="D1278" s="67" t="s">
        <v>479</v>
      </c>
      <c r="E1278" s="22">
        <f t="shared" ca="1" si="117"/>
        <v>40951</v>
      </c>
      <c r="F1278" s="11">
        <f>DATE(83,3,2)</f>
        <v>30377</v>
      </c>
      <c r="G1278" s="12">
        <f t="shared" ca="1" si="118"/>
        <v>29</v>
      </c>
      <c r="H1278" s="12">
        <f t="shared" ca="1" si="119"/>
        <v>-1</v>
      </c>
      <c r="I1278" s="13">
        <f t="shared" ca="1" si="120"/>
        <v>10</v>
      </c>
      <c r="J1278" s="14">
        <f t="shared" ca="1" si="121"/>
        <v>28</v>
      </c>
      <c r="K1278" s="12" t="s">
        <v>40</v>
      </c>
      <c r="L1278" s="15">
        <v>71</v>
      </c>
      <c r="M1278" s="25" t="s">
        <v>44</v>
      </c>
      <c r="N1278">
        <v>272</v>
      </c>
    </row>
    <row r="1279" spans="1:14">
      <c r="A1279" s="25">
        <f t="shared" si="124"/>
        <v>448</v>
      </c>
      <c r="B1279" s="67" t="s">
        <v>9</v>
      </c>
      <c r="C1279" s="67" t="s">
        <v>678</v>
      </c>
      <c r="D1279" s="67" t="s">
        <v>679</v>
      </c>
      <c r="E1279" s="22">
        <f t="shared" ca="1" si="117"/>
        <v>40951</v>
      </c>
      <c r="F1279" s="11">
        <f>DATE(54,11,10)</f>
        <v>20038</v>
      </c>
      <c r="G1279" s="12">
        <f t="shared" ca="1" si="118"/>
        <v>58</v>
      </c>
      <c r="H1279" s="12">
        <f t="shared" ca="1" si="119"/>
        <v>-9</v>
      </c>
      <c r="I1279" s="13">
        <f t="shared" ca="1" si="120"/>
        <v>2</v>
      </c>
      <c r="J1279" s="14">
        <f t="shared" ca="1" si="121"/>
        <v>57</v>
      </c>
      <c r="K1279" s="12" t="s">
        <v>40</v>
      </c>
      <c r="L1279" s="15">
        <v>71</v>
      </c>
      <c r="M1279" s="25" t="s">
        <v>40</v>
      </c>
      <c r="N1279">
        <v>272</v>
      </c>
    </row>
    <row r="1280" spans="1:14" ht="15.75" thickBot="1">
      <c r="A1280" s="26">
        <f t="shared" si="124"/>
        <v>449</v>
      </c>
      <c r="B1280" s="68" t="s">
        <v>9</v>
      </c>
      <c r="C1280" s="68" t="s">
        <v>681</v>
      </c>
      <c r="D1280" s="68" t="s">
        <v>678</v>
      </c>
      <c r="E1280" s="23">
        <f t="shared" ca="1" si="117"/>
        <v>40951</v>
      </c>
      <c r="F1280" s="16">
        <f>DATE(82,7,30)</f>
        <v>30162</v>
      </c>
      <c r="G1280" s="17">
        <f t="shared" ca="1" si="118"/>
        <v>30</v>
      </c>
      <c r="H1280" s="17">
        <f t="shared" ca="1" si="119"/>
        <v>-5</v>
      </c>
      <c r="I1280" s="18">
        <f t="shared" ca="1" si="120"/>
        <v>-18</v>
      </c>
      <c r="J1280" s="19">
        <f t="shared" ca="1" si="121"/>
        <v>29</v>
      </c>
      <c r="K1280" s="17" t="s">
        <v>40</v>
      </c>
      <c r="L1280" s="20">
        <v>71</v>
      </c>
      <c r="M1280" s="26" t="s">
        <v>44</v>
      </c>
      <c r="N1280">
        <v>272</v>
      </c>
    </row>
    <row r="1281" spans="1:14">
      <c r="A1281" s="25">
        <f t="shared" si="124"/>
        <v>450</v>
      </c>
      <c r="B1281" s="67" t="s">
        <v>9</v>
      </c>
      <c r="C1281" s="67" t="s">
        <v>277</v>
      </c>
      <c r="D1281" s="67" t="s">
        <v>682</v>
      </c>
      <c r="E1281" s="22">
        <f t="shared" ref="E1281:E1344" ca="1" si="125">TODAY()</f>
        <v>40951</v>
      </c>
      <c r="F1281" s="11">
        <f>DATE(47,10,22)</f>
        <v>17462</v>
      </c>
      <c r="G1281" s="12">
        <f t="shared" ref="G1281:G1344" ca="1" si="126">YEAR(E1281)-YEAR(F1281)</f>
        <v>65</v>
      </c>
      <c r="H1281" s="12">
        <f t="shared" ref="H1281:H1344" ca="1" si="127">MONTH(E1281)-MONTH(F1281)</f>
        <v>-8</v>
      </c>
      <c r="I1281" s="13">
        <f t="shared" ref="I1281:I1344" ca="1" si="128">DAY(E1281)-DAY(F1281)</f>
        <v>-10</v>
      </c>
      <c r="J1281" s="14">
        <f t="shared" ref="J1281:J1344" ca="1" si="129">IF(H1281&lt;0,G1281-1,IF(H1281&gt;0,G1281,IF(I1281&lt;0,G1281-1,G1281)))</f>
        <v>64</v>
      </c>
      <c r="K1281" s="12" t="s">
        <v>40</v>
      </c>
      <c r="L1281" s="15">
        <v>71</v>
      </c>
      <c r="M1281" s="25" t="s">
        <v>40</v>
      </c>
      <c r="N1281">
        <v>273</v>
      </c>
    </row>
    <row r="1282" spans="1:14">
      <c r="A1282" s="25">
        <f t="shared" si="124"/>
        <v>451</v>
      </c>
      <c r="B1282" s="67" t="s">
        <v>9</v>
      </c>
      <c r="C1282" s="67" t="s">
        <v>683</v>
      </c>
      <c r="D1282" s="67" t="s">
        <v>277</v>
      </c>
      <c r="E1282" s="22">
        <f t="shared" ca="1" si="125"/>
        <v>40951</v>
      </c>
      <c r="F1282" s="11">
        <f>DATE(82,8,31)</f>
        <v>30194</v>
      </c>
      <c r="G1282" s="12">
        <f t="shared" ca="1" si="126"/>
        <v>30</v>
      </c>
      <c r="H1282" s="12">
        <f t="shared" ca="1" si="127"/>
        <v>-6</v>
      </c>
      <c r="I1282" s="13">
        <f t="shared" ca="1" si="128"/>
        <v>-19</v>
      </c>
      <c r="J1282" s="14">
        <f t="shared" ca="1" si="129"/>
        <v>29</v>
      </c>
      <c r="K1282" s="12" t="s">
        <v>40</v>
      </c>
      <c r="L1282" s="15">
        <v>71</v>
      </c>
      <c r="M1282" s="25" t="s">
        <v>44</v>
      </c>
      <c r="N1282">
        <v>273</v>
      </c>
    </row>
    <row r="1283" spans="1:14">
      <c r="A1283" s="25">
        <f t="shared" si="124"/>
        <v>452</v>
      </c>
      <c r="B1283" s="67" t="s">
        <v>9</v>
      </c>
      <c r="C1283" s="67" t="s">
        <v>71</v>
      </c>
      <c r="D1283" s="67" t="s">
        <v>267</v>
      </c>
      <c r="E1283" s="22">
        <f t="shared" ca="1" si="125"/>
        <v>40951</v>
      </c>
      <c r="F1283" s="11">
        <f>DATE(51,10,10)</f>
        <v>18911</v>
      </c>
      <c r="G1283" s="12">
        <f t="shared" ca="1" si="126"/>
        <v>61</v>
      </c>
      <c r="H1283" s="12">
        <f t="shared" ca="1" si="127"/>
        <v>-8</v>
      </c>
      <c r="I1283" s="13">
        <f t="shared" ca="1" si="128"/>
        <v>2</v>
      </c>
      <c r="J1283" s="14">
        <f t="shared" ca="1" si="129"/>
        <v>60</v>
      </c>
      <c r="K1283" s="12" t="s">
        <v>40</v>
      </c>
      <c r="L1283" s="15">
        <v>71</v>
      </c>
      <c r="M1283" s="25" t="s">
        <v>40</v>
      </c>
      <c r="N1283">
        <v>273</v>
      </c>
    </row>
    <row r="1284" spans="1:14" ht="15.75" thickBot="1">
      <c r="A1284" s="26">
        <f t="shared" si="124"/>
        <v>453</v>
      </c>
      <c r="B1284" s="68" t="s">
        <v>9</v>
      </c>
      <c r="C1284" s="68" t="s">
        <v>685</v>
      </c>
      <c r="D1284" s="68" t="s">
        <v>71</v>
      </c>
      <c r="E1284" s="23">
        <f t="shared" ca="1" si="125"/>
        <v>40951</v>
      </c>
      <c r="F1284" s="16">
        <f>DATE(79,2,1)</f>
        <v>28887</v>
      </c>
      <c r="G1284" s="17">
        <f t="shared" ca="1" si="126"/>
        <v>33</v>
      </c>
      <c r="H1284" s="17">
        <f t="shared" ca="1" si="127"/>
        <v>0</v>
      </c>
      <c r="I1284" s="18">
        <f t="shared" ca="1" si="128"/>
        <v>11</v>
      </c>
      <c r="J1284" s="19">
        <f t="shared" ca="1" si="129"/>
        <v>33</v>
      </c>
      <c r="K1284" s="17" t="s">
        <v>40</v>
      </c>
      <c r="L1284" s="20">
        <v>71</v>
      </c>
      <c r="M1284" s="26" t="s">
        <v>44</v>
      </c>
      <c r="N1284">
        <v>273</v>
      </c>
    </row>
    <row r="1285" spans="1:14">
      <c r="A1285" s="25">
        <f t="shared" si="124"/>
        <v>454</v>
      </c>
      <c r="B1285" s="67" t="s">
        <v>9</v>
      </c>
      <c r="C1285" s="67" t="s">
        <v>543</v>
      </c>
      <c r="D1285" s="67" t="s">
        <v>71</v>
      </c>
      <c r="E1285" s="22">
        <f t="shared" ca="1" si="125"/>
        <v>40951</v>
      </c>
      <c r="F1285" s="11">
        <f>DATE(84,9,5)</f>
        <v>30930</v>
      </c>
      <c r="G1285" s="12">
        <f t="shared" ca="1" si="126"/>
        <v>28</v>
      </c>
      <c r="H1285" s="12">
        <f t="shared" ca="1" si="127"/>
        <v>-7</v>
      </c>
      <c r="I1285" s="13">
        <f t="shared" ca="1" si="128"/>
        <v>7</v>
      </c>
      <c r="J1285" s="14">
        <f t="shared" ca="1" si="129"/>
        <v>27</v>
      </c>
      <c r="K1285" s="12" t="s">
        <v>40</v>
      </c>
      <c r="L1285" s="15">
        <v>71</v>
      </c>
      <c r="M1285" s="25" t="s">
        <v>44</v>
      </c>
      <c r="N1285">
        <v>274</v>
      </c>
    </row>
    <row r="1286" spans="1:14" ht="15.75" thickBot="1">
      <c r="A1286" s="26">
        <f t="shared" si="124"/>
        <v>455</v>
      </c>
      <c r="B1286" s="68" t="s">
        <v>9</v>
      </c>
      <c r="C1286" s="68" t="s">
        <v>686</v>
      </c>
      <c r="D1286" s="68" t="s">
        <v>679</v>
      </c>
      <c r="E1286" s="23">
        <f t="shared" ca="1" si="125"/>
        <v>40951</v>
      </c>
      <c r="F1286" s="16">
        <f>DATE(66,11,26)</f>
        <v>24437</v>
      </c>
      <c r="G1286" s="17">
        <f t="shared" ca="1" si="126"/>
        <v>46</v>
      </c>
      <c r="H1286" s="17">
        <f t="shared" ca="1" si="127"/>
        <v>-9</v>
      </c>
      <c r="I1286" s="18">
        <f t="shared" ca="1" si="128"/>
        <v>-14</v>
      </c>
      <c r="J1286" s="19">
        <f t="shared" ca="1" si="129"/>
        <v>45</v>
      </c>
      <c r="K1286" s="17" t="s">
        <v>40</v>
      </c>
      <c r="L1286" s="20">
        <v>72</v>
      </c>
      <c r="M1286" s="26" t="s">
        <v>40</v>
      </c>
      <c r="N1286">
        <v>274</v>
      </c>
    </row>
    <row r="1287" spans="1:14">
      <c r="A1287" s="25">
        <f t="shared" si="124"/>
        <v>456</v>
      </c>
      <c r="B1287" s="67" t="s">
        <v>9</v>
      </c>
      <c r="C1287" s="67" t="s">
        <v>151</v>
      </c>
      <c r="D1287" s="67" t="s">
        <v>686</v>
      </c>
      <c r="E1287" s="22">
        <f t="shared" ca="1" si="125"/>
        <v>40951</v>
      </c>
      <c r="F1287" s="11">
        <f>DATE(87,5,24)</f>
        <v>31921</v>
      </c>
      <c r="G1287" s="12">
        <f t="shared" ca="1" si="126"/>
        <v>25</v>
      </c>
      <c r="H1287" s="12">
        <f t="shared" ca="1" si="127"/>
        <v>-3</v>
      </c>
      <c r="I1287" s="13">
        <f t="shared" ca="1" si="128"/>
        <v>-12</v>
      </c>
      <c r="J1287" s="14">
        <f t="shared" ca="1" si="129"/>
        <v>24</v>
      </c>
      <c r="K1287" s="12" t="s">
        <v>40</v>
      </c>
      <c r="L1287" s="15">
        <v>72</v>
      </c>
      <c r="M1287" s="25" t="s">
        <v>44</v>
      </c>
      <c r="N1287">
        <v>275</v>
      </c>
    </row>
    <row r="1288" spans="1:14">
      <c r="A1288" s="25">
        <f t="shared" si="124"/>
        <v>457</v>
      </c>
      <c r="B1288" s="67" t="s">
        <v>9</v>
      </c>
      <c r="C1288" s="67" t="s">
        <v>687</v>
      </c>
      <c r="D1288" s="67" t="s">
        <v>686</v>
      </c>
      <c r="E1288" s="22">
        <f t="shared" ca="1" si="125"/>
        <v>40951</v>
      </c>
      <c r="F1288" s="11">
        <f>DATE(94,2,18)</f>
        <v>34383</v>
      </c>
      <c r="G1288" s="12">
        <f t="shared" ca="1" si="126"/>
        <v>18</v>
      </c>
      <c r="H1288" s="12">
        <f t="shared" ca="1" si="127"/>
        <v>0</v>
      </c>
      <c r="I1288" s="13">
        <f t="shared" ca="1" si="128"/>
        <v>-6</v>
      </c>
      <c r="J1288" s="14">
        <f t="shared" ca="1" si="129"/>
        <v>17</v>
      </c>
      <c r="K1288" s="12" t="s">
        <v>40</v>
      </c>
      <c r="L1288" s="15">
        <v>72</v>
      </c>
      <c r="M1288" s="25" t="s">
        <v>44</v>
      </c>
      <c r="N1288">
        <v>275</v>
      </c>
    </row>
    <row r="1289" spans="1:14">
      <c r="A1289" s="25">
        <f t="shared" si="124"/>
        <v>458</v>
      </c>
      <c r="B1289" s="67" t="s">
        <v>9</v>
      </c>
      <c r="C1289" s="67" t="s">
        <v>96</v>
      </c>
      <c r="D1289" s="67" t="s">
        <v>679</v>
      </c>
      <c r="E1289" s="22">
        <f t="shared" ca="1" si="125"/>
        <v>40951</v>
      </c>
      <c r="F1289" s="11">
        <f>DATE(48,11,7)</f>
        <v>17844</v>
      </c>
      <c r="G1289" s="12">
        <f t="shared" ca="1" si="126"/>
        <v>64</v>
      </c>
      <c r="H1289" s="12">
        <f t="shared" ca="1" si="127"/>
        <v>-9</v>
      </c>
      <c r="I1289" s="13">
        <f t="shared" ca="1" si="128"/>
        <v>5</v>
      </c>
      <c r="J1289" s="14">
        <f t="shared" ca="1" si="129"/>
        <v>63</v>
      </c>
      <c r="K1289" s="12" t="s">
        <v>40</v>
      </c>
      <c r="L1289" s="15">
        <v>72</v>
      </c>
      <c r="M1289" s="25" t="s">
        <v>40</v>
      </c>
      <c r="N1289">
        <v>275</v>
      </c>
    </row>
    <row r="1290" spans="1:14">
      <c r="A1290" s="25">
        <f t="shared" si="124"/>
        <v>459</v>
      </c>
      <c r="B1290" s="67" t="s">
        <v>9</v>
      </c>
      <c r="C1290" s="67" t="s">
        <v>688</v>
      </c>
      <c r="D1290" s="67" t="s">
        <v>96</v>
      </c>
      <c r="E1290" s="22">
        <f t="shared" ca="1" si="125"/>
        <v>40951</v>
      </c>
      <c r="F1290" s="11">
        <f>DATE(77,9,22)</f>
        <v>28390</v>
      </c>
      <c r="G1290" s="12">
        <f t="shared" ca="1" si="126"/>
        <v>35</v>
      </c>
      <c r="H1290" s="12">
        <f t="shared" ca="1" si="127"/>
        <v>-7</v>
      </c>
      <c r="I1290" s="13">
        <f t="shared" ca="1" si="128"/>
        <v>-10</v>
      </c>
      <c r="J1290" s="14">
        <f t="shared" ca="1" si="129"/>
        <v>34</v>
      </c>
      <c r="K1290" s="12" t="s">
        <v>40</v>
      </c>
      <c r="L1290" s="15">
        <v>72</v>
      </c>
      <c r="M1290" s="25" t="s">
        <v>40</v>
      </c>
      <c r="N1290">
        <v>275</v>
      </c>
    </row>
    <row r="1291" spans="1:14">
      <c r="A1291" s="25">
        <f t="shared" si="124"/>
        <v>460</v>
      </c>
      <c r="B1291" s="67" t="s">
        <v>9</v>
      </c>
      <c r="C1291" s="67" t="s">
        <v>691</v>
      </c>
      <c r="D1291" s="67" t="s">
        <v>522</v>
      </c>
      <c r="E1291" s="22">
        <f t="shared" ca="1" si="125"/>
        <v>40951</v>
      </c>
      <c r="F1291" s="11">
        <f>DATE(22,10,29)</f>
        <v>8338</v>
      </c>
      <c r="G1291" s="12">
        <f t="shared" ca="1" si="126"/>
        <v>90</v>
      </c>
      <c r="H1291" s="12">
        <f t="shared" ca="1" si="127"/>
        <v>-8</v>
      </c>
      <c r="I1291" s="13">
        <f t="shared" ca="1" si="128"/>
        <v>-17</v>
      </c>
      <c r="J1291" s="14">
        <f t="shared" ca="1" si="129"/>
        <v>89</v>
      </c>
      <c r="K1291" s="12" t="s">
        <v>40</v>
      </c>
      <c r="L1291" s="15">
        <v>72</v>
      </c>
      <c r="M1291" s="25" t="s">
        <v>40</v>
      </c>
      <c r="N1291">
        <v>275</v>
      </c>
    </row>
    <row r="1292" spans="1:14" ht="15.75" thickBot="1">
      <c r="A1292" s="26">
        <f t="shared" si="124"/>
        <v>461</v>
      </c>
      <c r="B1292" s="68" t="s">
        <v>9</v>
      </c>
      <c r="C1292" s="68" t="s">
        <v>142</v>
      </c>
      <c r="D1292" s="68" t="s">
        <v>77</v>
      </c>
      <c r="E1292" s="23">
        <f t="shared" ca="1" si="125"/>
        <v>40951</v>
      </c>
      <c r="F1292" s="16">
        <f>DATE(35,6,2)</f>
        <v>12937</v>
      </c>
      <c r="G1292" s="17">
        <f t="shared" ca="1" si="126"/>
        <v>77</v>
      </c>
      <c r="H1292" s="17">
        <f t="shared" ca="1" si="127"/>
        <v>-4</v>
      </c>
      <c r="I1292" s="18">
        <f t="shared" ca="1" si="128"/>
        <v>10</v>
      </c>
      <c r="J1292" s="19">
        <f t="shared" ca="1" si="129"/>
        <v>76</v>
      </c>
      <c r="K1292" s="17" t="s">
        <v>40</v>
      </c>
      <c r="L1292" s="20">
        <v>73</v>
      </c>
      <c r="M1292" s="26" t="s">
        <v>40</v>
      </c>
      <c r="N1292">
        <v>275</v>
      </c>
    </row>
    <row r="1293" spans="1:14">
      <c r="A1293" s="25">
        <f t="shared" si="124"/>
        <v>462</v>
      </c>
      <c r="B1293" s="67" t="s">
        <v>9</v>
      </c>
      <c r="C1293" s="67" t="s">
        <v>692</v>
      </c>
      <c r="D1293" s="67" t="s">
        <v>142</v>
      </c>
      <c r="E1293" s="22">
        <f t="shared" ca="1" si="125"/>
        <v>40951</v>
      </c>
      <c r="F1293" s="11">
        <f>DATE(61,11,14)</f>
        <v>22599</v>
      </c>
      <c r="G1293" s="12">
        <f t="shared" ca="1" si="126"/>
        <v>51</v>
      </c>
      <c r="H1293" s="12">
        <f t="shared" ca="1" si="127"/>
        <v>-9</v>
      </c>
      <c r="I1293" s="13">
        <f t="shared" ca="1" si="128"/>
        <v>-2</v>
      </c>
      <c r="J1293" s="14">
        <f t="shared" ca="1" si="129"/>
        <v>50</v>
      </c>
      <c r="K1293" s="12" t="s">
        <v>40</v>
      </c>
      <c r="L1293" s="15">
        <v>73</v>
      </c>
      <c r="M1293" s="25" t="s">
        <v>44</v>
      </c>
      <c r="N1293">
        <v>276</v>
      </c>
    </row>
    <row r="1294" spans="1:14">
      <c r="A1294" s="25">
        <f t="shared" si="124"/>
        <v>463</v>
      </c>
      <c r="B1294" s="67" t="s">
        <v>9</v>
      </c>
      <c r="C1294" s="67" t="s">
        <v>693</v>
      </c>
      <c r="D1294" s="67" t="s">
        <v>142</v>
      </c>
      <c r="E1294" s="22">
        <f t="shared" ca="1" si="125"/>
        <v>40951</v>
      </c>
      <c r="F1294" s="11">
        <f>DATE(63,6,25)</f>
        <v>23187</v>
      </c>
      <c r="G1294" s="12">
        <f t="shared" ca="1" si="126"/>
        <v>49</v>
      </c>
      <c r="H1294" s="12">
        <f t="shared" ca="1" si="127"/>
        <v>-4</v>
      </c>
      <c r="I1294" s="13">
        <f t="shared" ca="1" si="128"/>
        <v>-13</v>
      </c>
      <c r="J1294" s="14">
        <f t="shared" ca="1" si="129"/>
        <v>48</v>
      </c>
      <c r="K1294" s="12" t="s">
        <v>40</v>
      </c>
      <c r="L1294" s="15">
        <v>73</v>
      </c>
      <c r="M1294" s="25" t="s">
        <v>40</v>
      </c>
      <c r="N1294">
        <v>276</v>
      </c>
    </row>
    <row r="1295" spans="1:14">
      <c r="A1295" s="25">
        <f t="shared" si="124"/>
        <v>464</v>
      </c>
      <c r="B1295" s="67" t="s">
        <v>9</v>
      </c>
      <c r="C1295" s="67" t="s">
        <v>695</v>
      </c>
      <c r="D1295" s="67" t="s">
        <v>693</v>
      </c>
      <c r="E1295" s="22">
        <f t="shared" ca="1" si="125"/>
        <v>40951</v>
      </c>
      <c r="F1295" s="11">
        <f>DATE(96,7,7)</f>
        <v>35253</v>
      </c>
      <c r="G1295" s="12">
        <f t="shared" ca="1" si="126"/>
        <v>16</v>
      </c>
      <c r="H1295" s="12">
        <f t="shared" ca="1" si="127"/>
        <v>-5</v>
      </c>
      <c r="I1295" s="13">
        <f t="shared" ca="1" si="128"/>
        <v>5</v>
      </c>
      <c r="J1295" s="14">
        <f t="shared" ca="1" si="129"/>
        <v>15</v>
      </c>
      <c r="K1295" s="12" t="s">
        <v>40</v>
      </c>
      <c r="L1295" s="15">
        <v>73</v>
      </c>
      <c r="M1295" s="25" t="s">
        <v>44</v>
      </c>
      <c r="N1295">
        <v>276</v>
      </c>
    </row>
    <row r="1296" spans="1:14">
      <c r="A1296" s="25">
        <f t="shared" si="124"/>
        <v>465</v>
      </c>
      <c r="B1296" s="67" t="s">
        <v>9</v>
      </c>
      <c r="C1296" s="67" t="s">
        <v>696</v>
      </c>
      <c r="D1296" s="67" t="s">
        <v>693</v>
      </c>
      <c r="E1296" s="22">
        <f t="shared" ca="1" si="125"/>
        <v>40951</v>
      </c>
      <c r="F1296" s="11">
        <f>DATE(98,8,24)</f>
        <v>36031</v>
      </c>
      <c r="G1296" s="12">
        <f t="shared" ca="1" si="126"/>
        <v>14</v>
      </c>
      <c r="H1296" s="12">
        <f t="shared" ca="1" si="127"/>
        <v>-6</v>
      </c>
      <c r="I1296" s="13">
        <f t="shared" ca="1" si="128"/>
        <v>-12</v>
      </c>
      <c r="J1296" s="14">
        <f t="shared" ca="1" si="129"/>
        <v>13</v>
      </c>
      <c r="K1296" s="12" t="s">
        <v>40</v>
      </c>
      <c r="L1296" s="15">
        <v>73</v>
      </c>
      <c r="M1296" s="25" t="s">
        <v>44</v>
      </c>
      <c r="N1296">
        <v>276</v>
      </c>
    </row>
    <row r="1297" spans="1:14">
      <c r="A1297" s="25">
        <f t="shared" si="124"/>
        <v>466</v>
      </c>
      <c r="B1297" s="67" t="s">
        <v>271</v>
      </c>
      <c r="C1297" s="67" t="s">
        <v>164</v>
      </c>
      <c r="D1297" s="67" t="s">
        <v>697</v>
      </c>
      <c r="E1297" s="22">
        <f t="shared" ca="1" si="125"/>
        <v>40951</v>
      </c>
      <c r="F1297" s="11">
        <f>DATE(69,4,2)</f>
        <v>25295</v>
      </c>
      <c r="G1297" s="12">
        <f t="shared" ca="1" si="126"/>
        <v>43</v>
      </c>
      <c r="H1297" s="12">
        <f t="shared" ca="1" si="127"/>
        <v>-2</v>
      </c>
      <c r="I1297" s="13">
        <f t="shared" ca="1" si="128"/>
        <v>10</v>
      </c>
      <c r="J1297" s="14">
        <f t="shared" ca="1" si="129"/>
        <v>42</v>
      </c>
      <c r="K1297" s="12" t="s">
        <v>40</v>
      </c>
      <c r="L1297" s="15">
        <v>74</v>
      </c>
      <c r="M1297" s="25" t="s">
        <v>40</v>
      </c>
      <c r="N1297">
        <v>276</v>
      </c>
    </row>
    <row r="1298" spans="1:14">
      <c r="A1298" s="25">
        <f t="shared" si="124"/>
        <v>467</v>
      </c>
      <c r="B1298" s="67" t="s">
        <v>11</v>
      </c>
      <c r="C1298" s="67" t="s">
        <v>315</v>
      </c>
      <c r="D1298" s="67" t="s">
        <v>700</v>
      </c>
      <c r="E1298" s="22">
        <f t="shared" ca="1" si="125"/>
        <v>40951</v>
      </c>
      <c r="F1298" s="11">
        <f>DATE(45,8,3)</f>
        <v>16652</v>
      </c>
      <c r="G1298" s="12">
        <f t="shared" ca="1" si="126"/>
        <v>67</v>
      </c>
      <c r="H1298" s="12">
        <f t="shared" ca="1" si="127"/>
        <v>-6</v>
      </c>
      <c r="I1298" s="13">
        <f t="shared" ca="1" si="128"/>
        <v>9</v>
      </c>
      <c r="J1298" s="14">
        <f t="shared" ca="1" si="129"/>
        <v>66</v>
      </c>
      <c r="K1298" s="12" t="s">
        <v>40</v>
      </c>
      <c r="L1298" s="15">
        <v>75</v>
      </c>
      <c r="M1298" s="25" t="s">
        <v>40</v>
      </c>
      <c r="N1298">
        <v>276</v>
      </c>
    </row>
    <row r="1299" spans="1:14">
      <c r="A1299" s="25">
        <f t="shared" si="124"/>
        <v>468</v>
      </c>
      <c r="B1299" s="67" t="s">
        <v>11</v>
      </c>
      <c r="C1299" s="67" t="s">
        <v>345</v>
      </c>
      <c r="D1299" s="67" t="s">
        <v>315</v>
      </c>
      <c r="E1299" s="22">
        <f t="shared" ca="1" si="125"/>
        <v>40951</v>
      </c>
      <c r="F1299" s="11">
        <f>DATE(46,1,2)</f>
        <v>16804</v>
      </c>
      <c r="G1299" s="12">
        <f t="shared" ca="1" si="126"/>
        <v>66</v>
      </c>
      <c r="H1299" s="12">
        <f t="shared" ca="1" si="127"/>
        <v>1</v>
      </c>
      <c r="I1299" s="13">
        <f t="shared" ca="1" si="128"/>
        <v>10</v>
      </c>
      <c r="J1299" s="14">
        <f t="shared" ca="1" si="129"/>
        <v>66</v>
      </c>
      <c r="K1299" s="12" t="s">
        <v>40</v>
      </c>
      <c r="L1299" s="15">
        <v>75</v>
      </c>
      <c r="M1299" s="25" t="s">
        <v>40</v>
      </c>
      <c r="N1299">
        <v>276</v>
      </c>
    </row>
    <row r="1300" spans="1:14" ht="15.75" thickBot="1">
      <c r="A1300" s="26">
        <f t="shared" si="124"/>
        <v>469</v>
      </c>
      <c r="B1300" s="67" t="s">
        <v>11</v>
      </c>
      <c r="C1300" s="68" t="s">
        <v>315</v>
      </c>
      <c r="D1300" s="68" t="s">
        <v>198</v>
      </c>
      <c r="E1300" s="23">
        <f t="shared" ca="1" si="125"/>
        <v>40951</v>
      </c>
      <c r="F1300" s="16">
        <f>DATE(43,10,5)</f>
        <v>15984</v>
      </c>
      <c r="G1300" s="17">
        <f t="shared" ca="1" si="126"/>
        <v>69</v>
      </c>
      <c r="H1300" s="17">
        <f t="shared" ca="1" si="127"/>
        <v>-8</v>
      </c>
      <c r="I1300" s="18">
        <f t="shared" ca="1" si="128"/>
        <v>7</v>
      </c>
      <c r="J1300" s="19">
        <f t="shared" ca="1" si="129"/>
        <v>68</v>
      </c>
      <c r="K1300" s="17" t="s">
        <v>40</v>
      </c>
      <c r="L1300" s="20">
        <v>75</v>
      </c>
      <c r="M1300" s="26" t="s">
        <v>40</v>
      </c>
      <c r="N1300">
        <v>276</v>
      </c>
    </row>
    <row r="1301" spans="1:14">
      <c r="A1301" s="25">
        <f t="shared" si="124"/>
        <v>470</v>
      </c>
      <c r="B1301" s="67" t="s">
        <v>11</v>
      </c>
      <c r="C1301" s="67" t="s">
        <v>166</v>
      </c>
      <c r="D1301" s="67" t="s">
        <v>315</v>
      </c>
      <c r="E1301" s="22">
        <f t="shared" ca="1" si="125"/>
        <v>40951</v>
      </c>
      <c r="F1301" s="11">
        <f>DATE(67,1,25)</f>
        <v>24497</v>
      </c>
      <c r="G1301" s="12">
        <f t="shared" ca="1" si="126"/>
        <v>45</v>
      </c>
      <c r="H1301" s="12">
        <f t="shared" ca="1" si="127"/>
        <v>1</v>
      </c>
      <c r="I1301" s="13">
        <f t="shared" ca="1" si="128"/>
        <v>-13</v>
      </c>
      <c r="J1301" s="14">
        <f t="shared" ca="1" si="129"/>
        <v>45</v>
      </c>
      <c r="K1301" s="12" t="s">
        <v>40</v>
      </c>
      <c r="L1301" s="15">
        <v>75</v>
      </c>
      <c r="M1301" s="25" t="s">
        <v>40</v>
      </c>
      <c r="N1301">
        <v>277</v>
      </c>
    </row>
    <row r="1302" spans="1:14">
      <c r="A1302" s="25">
        <f t="shared" si="124"/>
        <v>471</v>
      </c>
      <c r="B1302" s="67" t="s">
        <v>11</v>
      </c>
      <c r="C1302" s="67" t="s">
        <v>571</v>
      </c>
      <c r="D1302" s="67" t="s">
        <v>166</v>
      </c>
      <c r="E1302" s="22">
        <f t="shared" ca="1" si="125"/>
        <v>40951</v>
      </c>
      <c r="F1302" s="32"/>
      <c r="G1302" s="12">
        <f t="shared" ca="1" si="126"/>
        <v>112</v>
      </c>
      <c r="H1302" s="12">
        <f t="shared" ca="1" si="127"/>
        <v>1</v>
      </c>
      <c r="I1302" s="13">
        <f t="shared" ca="1" si="128"/>
        <v>12</v>
      </c>
      <c r="J1302" s="14">
        <f t="shared" ca="1" si="129"/>
        <v>112</v>
      </c>
      <c r="K1302" s="12" t="s">
        <v>40</v>
      </c>
      <c r="L1302" s="15">
        <v>75</v>
      </c>
      <c r="M1302" s="25" t="s">
        <v>44</v>
      </c>
      <c r="N1302">
        <v>277</v>
      </c>
    </row>
    <row r="1303" spans="1:14">
      <c r="A1303" s="25">
        <f t="shared" si="124"/>
        <v>472</v>
      </c>
      <c r="B1303" s="67" t="s">
        <v>11</v>
      </c>
      <c r="C1303" s="67" t="s">
        <v>693</v>
      </c>
      <c r="D1303" s="67" t="s">
        <v>315</v>
      </c>
      <c r="E1303" s="22">
        <f t="shared" ca="1" si="125"/>
        <v>40951</v>
      </c>
      <c r="F1303" s="11">
        <f>DATE(78,4,1)</f>
        <v>28581</v>
      </c>
      <c r="G1303" s="12">
        <f t="shared" ca="1" si="126"/>
        <v>34</v>
      </c>
      <c r="H1303" s="12">
        <f t="shared" ca="1" si="127"/>
        <v>-2</v>
      </c>
      <c r="I1303" s="13">
        <f t="shared" ca="1" si="128"/>
        <v>11</v>
      </c>
      <c r="J1303" s="14">
        <f t="shared" ca="1" si="129"/>
        <v>33</v>
      </c>
      <c r="K1303" s="12" t="s">
        <v>40</v>
      </c>
      <c r="L1303" s="15">
        <v>75</v>
      </c>
      <c r="M1303" s="84" t="s">
        <v>44</v>
      </c>
      <c r="N1303">
        <v>277</v>
      </c>
    </row>
    <row r="1304" spans="1:14" ht="15.75" thickBot="1">
      <c r="A1304" s="26">
        <f t="shared" si="124"/>
        <v>473</v>
      </c>
      <c r="B1304" s="67" t="s">
        <v>11</v>
      </c>
      <c r="C1304" s="68" t="s">
        <v>377</v>
      </c>
      <c r="D1304" s="68" t="s">
        <v>702</v>
      </c>
      <c r="E1304" s="23">
        <f t="shared" ca="1" si="125"/>
        <v>40951</v>
      </c>
      <c r="F1304" s="16">
        <f>DATE(79,10,30)</f>
        <v>29158</v>
      </c>
      <c r="G1304" s="17">
        <f t="shared" ca="1" si="126"/>
        <v>33</v>
      </c>
      <c r="H1304" s="17">
        <f t="shared" ca="1" si="127"/>
        <v>-8</v>
      </c>
      <c r="I1304" s="18">
        <f t="shared" ca="1" si="128"/>
        <v>-18</v>
      </c>
      <c r="J1304" s="19">
        <f t="shared" ca="1" si="129"/>
        <v>32</v>
      </c>
      <c r="K1304" s="17" t="s">
        <v>40</v>
      </c>
      <c r="L1304" s="20">
        <v>75</v>
      </c>
      <c r="M1304" s="26" t="s">
        <v>44</v>
      </c>
      <c r="N1304">
        <v>277</v>
      </c>
    </row>
    <row r="1305" spans="1:14">
      <c r="A1305" s="25">
        <f t="shared" si="124"/>
        <v>474</v>
      </c>
      <c r="B1305" s="67" t="s">
        <v>11</v>
      </c>
      <c r="C1305" s="67" t="s">
        <v>537</v>
      </c>
      <c r="D1305" s="67" t="s">
        <v>700</v>
      </c>
      <c r="E1305" s="22">
        <f t="shared" ca="1" si="125"/>
        <v>40951</v>
      </c>
      <c r="F1305" s="11">
        <f>DATE(52,8,1)</f>
        <v>19207</v>
      </c>
      <c r="G1305" s="12">
        <f t="shared" ca="1" si="126"/>
        <v>60</v>
      </c>
      <c r="H1305" s="12">
        <f t="shared" ca="1" si="127"/>
        <v>-6</v>
      </c>
      <c r="I1305" s="13">
        <f t="shared" ca="1" si="128"/>
        <v>11</v>
      </c>
      <c r="J1305" s="14">
        <f t="shared" ca="1" si="129"/>
        <v>59</v>
      </c>
      <c r="K1305" s="12" t="s">
        <v>40</v>
      </c>
      <c r="L1305" s="15">
        <v>76</v>
      </c>
      <c r="M1305" s="25" t="s">
        <v>40</v>
      </c>
      <c r="N1305">
        <v>278</v>
      </c>
    </row>
    <row r="1306" spans="1:14">
      <c r="A1306" s="25">
        <f t="shared" si="124"/>
        <v>475</v>
      </c>
      <c r="B1306" s="67" t="s">
        <v>11</v>
      </c>
      <c r="C1306" s="67" t="s">
        <v>589</v>
      </c>
      <c r="D1306" s="67" t="s">
        <v>537</v>
      </c>
      <c r="E1306" s="22">
        <f t="shared" ca="1" si="125"/>
        <v>40951</v>
      </c>
      <c r="F1306" s="11">
        <f>DATE(85,11,26)</f>
        <v>31377</v>
      </c>
      <c r="G1306" s="12">
        <f t="shared" ca="1" si="126"/>
        <v>27</v>
      </c>
      <c r="H1306" s="12">
        <f t="shared" ca="1" si="127"/>
        <v>-9</v>
      </c>
      <c r="I1306" s="13">
        <f t="shared" ca="1" si="128"/>
        <v>-14</v>
      </c>
      <c r="J1306" s="14">
        <f t="shared" ca="1" si="129"/>
        <v>26</v>
      </c>
      <c r="K1306" s="12" t="s">
        <v>40</v>
      </c>
      <c r="L1306" s="15">
        <v>76</v>
      </c>
      <c r="M1306" s="25" t="s">
        <v>44</v>
      </c>
      <c r="N1306">
        <v>278</v>
      </c>
    </row>
    <row r="1307" spans="1:14" ht="15.75" thickBot="1">
      <c r="A1307" s="26">
        <f t="shared" si="124"/>
        <v>476</v>
      </c>
      <c r="B1307" s="67" t="s">
        <v>11</v>
      </c>
      <c r="C1307" s="68" t="s">
        <v>184</v>
      </c>
      <c r="D1307" s="68" t="s">
        <v>573</v>
      </c>
      <c r="E1307" s="23">
        <f t="shared" ca="1" si="125"/>
        <v>40951</v>
      </c>
      <c r="F1307" s="33"/>
      <c r="G1307" s="17">
        <f t="shared" ca="1" si="126"/>
        <v>112</v>
      </c>
      <c r="H1307" s="17">
        <f t="shared" ca="1" si="127"/>
        <v>1</v>
      </c>
      <c r="I1307" s="18">
        <f t="shared" ca="1" si="128"/>
        <v>12</v>
      </c>
      <c r="J1307" s="19">
        <f t="shared" ca="1" si="129"/>
        <v>112</v>
      </c>
      <c r="K1307" s="17" t="s">
        <v>40</v>
      </c>
      <c r="L1307" s="20">
        <v>76</v>
      </c>
      <c r="M1307" s="26" t="s">
        <v>40</v>
      </c>
      <c r="N1307">
        <v>278</v>
      </c>
    </row>
    <row r="1308" spans="1:14">
      <c r="A1308" s="25">
        <f t="shared" si="124"/>
        <v>477</v>
      </c>
      <c r="B1308" s="67" t="s">
        <v>11</v>
      </c>
      <c r="C1308" s="67" t="s">
        <v>704</v>
      </c>
      <c r="D1308" s="67" t="s">
        <v>184</v>
      </c>
      <c r="E1308" s="22">
        <f t="shared" ca="1" si="125"/>
        <v>40951</v>
      </c>
      <c r="F1308" s="11">
        <f>DATE(74,12,12)</f>
        <v>27375</v>
      </c>
      <c r="G1308" s="12">
        <f t="shared" ca="1" si="126"/>
        <v>38</v>
      </c>
      <c r="H1308" s="12">
        <f t="shared" ca="1" si="127"/>
        <v>-10</v>
      </c>
      <c r="I1308" s="13">
        <f t="shared" ca="1" si="128"/>
        <v>0</v>
      </c>
      <c r="J1308" s="14">
        <f t="shared" ca="1" si="129"/>
        <v>37</v>
      </c>
      <c r="K1308" s="12" t="s">
        <v>40</v>
      </c>
      <c r="L1308" s="15">
        <v>76</v>
      </c>
      <c r="M1308" s="25" t="s">
        <v>40</v>
      </c>
      <c r="N1308">
        <v>279</v>
      </c>
    </row>
    <row r="1309" spans="1:14">
      <c r="A1309" s="25">
        <f t="shared" si="124"/>
        <v>478</v>
      </c>
      <c r="B1309" s="67" t="s">
        <v>11</v>
      </c>
      <c r="C1309" s="67" t="s">
        <v>705</v>
      </c>
      <c r="D1309" s="67" t="s">
        <v>184</v>
      </c>
      <c r="E1309" s="22">
        <f t="shared" ca="1" si="125"/>
        <v>40951</v>
      </c>
      <c r="F1309" s="11">
        <f>DATE(82,12,9)</f>
        <v>30294</v>
      </c>
      <c r="G1309" s="12">
        <f t="shared" ca="1" si="126"/>
        <v>30</v>
      </c>
      <c r="H1309" s="12">
        <f t="shared" ca="1" si="127"/>
        <v>-10</v>
      </c>
      <c r="I1309" s="13">
        <f t="shared" ca="1" si="128"/>
        <v>3</v>
      </c>
      <c r="J1309" s="14">
        <f t="shared" ca="1" si="129"/>
        <v>29</v>
      </c>
      <c r="K1309" s="12" t="s">
        <v>40</v>
      </c>
      <c r="L1309" s="15">
        <v>76</v>
      </c>
      <c r="M1309" s="25" t="s">
        <v>44</v>
      </c>
      <c r="N1309">
        <v>279</v>
      </c>
    </row>
    <row r="1310" spans="1:14">
      <c r="A1310" s="25">
        <f t="shared" si="124"/>
        <v>479</v>
      </c>
      <c r="B1310" s="67" t="s">
        <v>11</v>
      </c>
      <c r="C1310" s="67" t="s">
        <v>706</v>
      </c>
      <c r="D1310" s="67" t="s">
        <v>707</v>
      </c>
      <c r="E1310" s="22">
        <f t="shared" ca="1" si="125"/>
        <v>40951</v>
      </c>
      <c r="F1310" s="11">
        <f>DATE(46,5,3)</f>
        <v>16925</v>
      </c>
      <c r="G1310" s="12">
        <f t="shared" ca="1" si="126"/>
        <v>66</v>
      </c>
      <c r="H1310" s="12">
        <f t="shared" ca="1" si="127"/>
        <v>-3</v>
      </c>
      <c r="I1310" s="13">
        <f t="shared" ca="1" si="128"/>
        <v>9</v>
      </c>
      <c r="J1310" s="14">
        <f t="shared" ca="1" si="129"/>
        <v>65</v>
      </c>
      <c r="K1310" s="12" t="s">
        <v>40</v>
      </c>
      <c r="L1310" s="15">
        <v>76</v>
      </c>
      <c r="M1310" s="25" t="s">
        <v>40</v>
      </c>
      <c r="N1310">
        <v>279</v>
      </c>
    </row>
    <row r="1311" spans="1:14" ht="15.75" thickBot="1">
      <c r="A1311" s="26">
        <f t="shared" si="124"/>
        <v>480</v>
      </c>
      <c r="B1311" s="67" t="s">
        <v>11</v>
      </c>
      <c r="C1311" s="68" t="s">
        <v>517</v>
      </c>
      <c r="D1311" s="68" t="s">
        <v>708</v>
      </c>
      <c r="E1311" s="23">
        <f t="shared" ca="1" si="125"/>
        <v>40951</v>
      </c>
      <c r="F1311" s="16">
        <f>DATE(2003,6,15)</f>
        <v>37787</v>
      </c>
      <c r="G1311" s="17">
        <f t="shared" ca="1" si="126"/>
        <v>9</v>
      </c>
      <c r="H1311" s="17">
        <f t="shared" ca="1" si="127"/>
        <v>-4</v>
      </c>
      <c r="I1311" s="18">
        <f t="shared" ca="1" si="128"/>
        <v>-3</v>
      </c>
      <c r="J1311" s="19">
        <f t="shared" ca="1" si="129"/>
        <v>8</v>
      </c>
      <c r="K1311" s="17" t="s">
        <v>40</v>
      </c>
      <c r="L1311" s="20">
        <v>76</v>
      </c>
      <c r="M1311" s="26" t="s">
        <v>44</v>
      </c>
      <c r="N1311">
        <v>279</v>
      </c>
    </row>
    <row r="1312" spans="1:14">
      <c r="A1312" s="25">
        <f t="shared" si="124"/>
        <v>481</v>
      </c>
      <c r="B1312" s="67" t="s">
        <v>11</v>
      </c>
      <c r="C1312" s="67" t="s">
        <v>711</v>
      </c>
      <c r="D1312" s="67" t="s">
        <v>712</v>
      </c>
      <c r="E1312" s="22">
        <f t="shared" ca="1" si="125"/>
        <v>40951</v>
      </c>
      <c r="F1312" s="11">
        <f>DATE(68,10,19)</f>
        <v>25130</v>
      </c>
      <c r="G1312" s="12">
        <f t="shared" ca="1" si="126"/>
        <v>44</v>
      </c>
      <c r="H1312" s="12">
        <f t="shared" ca="1" si="127"/>
        <v>-8</v>
      </c>
      <c r="I1312" s="13">
        <f t="shared" ca="1" si="128"/>
        <v>-7</v>
      </c>
      <c r="J1312" s="14">
        <f t="shared" ca="1" si="129"/>
        <v>43</v>
      </c>
      <c r="K1312" s="12" t="s">
        <v>40</v>
      </c>
      <c r="L1312" s="15">
        <v>77</v>
      </c>
      <c r="M1312" s="25" t="s">
        <v>40</v>
      </c>
      <c r="N1312">
        <v>280</v>
      </c>
    </row>
    <row r="1313" spans="1:14">
      <c r="A1313" s="25">
        <f t="shared" si="124"/>
        <v>482</v>
      </c>
      <c r="B1313" s="67" t="s">
        <v>11</v>
      </c>
      <c r="C1313" s="67" t="s">
        <v>715</v>
      </c>
      <c r="D1313" s="67" t="s">
        <v>716</v>
      </c>
      <c r="E1313" s="22">
        <f t="shared" ca="1" si="125"/>
        <v>40951</v>
      </c>
      <c r="F1313" s="32"/>
      <c r="G1313" s="12">
        <f t="shared" ca="1" si="126"/>
        <v>112</v>
      </c>
      <c r="H1313" s="12">
        <f t="shared" ca="1" si="127"/>
        <v>1</v>
      </c>
      <c r="I1313" s="13">
        <f t="shared" ca="1" si="128"/>
        <v>12</v>
      </c>
      <c r="J1313" s="14">
        <f t="shared" ca="1" si="129"/>
        <v>112</v>
      </c>
      <c r="K1313" s="12" t="s">
        <v>40</v>
      </c>
      <c r="L1313" s="15">
        <v>77</v>
      </c>
      <c r="M1313" s="25" t="s">
        <v>44</v>
      </c>
      <c r="N1313">
        <v>280</v>
      </c>
    </row>
    <row r="1314" spans="1:14" ht="15.75" thickBot="1">
      <c r="A1314" s="26">
        <f t="shared" si="124"/>
        <v>483</v>
      </c>
      <c r="B1314" s="67" t="s">
        <v>11</v>
      </c>
      <c r="C1314" s="68" t="s">
        <v>720</v>
      </c>
      <c r="D1314" s="68" t="s">
        <v>606</v>
      </c>
      <c r="E1314" s="23">
        <f t="shared" ca="1" si="125"/>
        <v>40951</v>
      </c>
      <c r="F1314" s="16">
        <f>DATE(38,10,15)</f>
        <v>14168</v>
      </c>
      <c r="G1314" s="17">
        <f t="shared" ca="1" si="126"/>
        <v>74</v>
      </c>
      <c r="H1314" s="17">
        <f t="shared" ca="1" si="127"/>
        <v>-8</v>
      </c>
      <c r="I1314" s="18">
        <f t="shared" ca="1" si="128"/>
        <v>-3</v>
      </c>
      <c r="J1314" s="19">
        <f t="shared" ca="1" si="129"/>
        <v>73</v>
      </c>
      <c r="K1314" s="17" t="s">
        <v>40</v>
      </c>
      <c r="L1314" s="20">
        <v>77</v>
      </c>
      <c r="M1314" s="26" t="s">
        <v>40</v>
      </c>
      <c r="N1314">
        <v>280</v>
      </c>
    </row>
    <row r="1315" spans="1:14">
      <c r="A1315" s="25">
        <f t="shared" si="124"/>
        <v>484</v>
      </c>
      <c r="B1315" s="67" t="s">
        <v>11</v>
      </c>
      <c r="C1315" s="67" t="s">
        <v>245</v>
      </c>
      <c r="D1315" s="67" t="s">
        <v>720</v>
      </c>
      <c r="E1315" s="22">
        <f t="shared" ca="1" si="125"/>
        <v>40951</v>
      </c>
      <c r="F1315" s="11">
        <f>DATE(70,9,14)</f>
        <v>25825</v>
      </c>
      <c r="G1315" s="12">
        <f t="shared" ca="1" si="126"/>
        <v>42</v>
      </c>
      <c r="H1315" s="12">
        <f t="shared" ca="1" si="127"/>
        <v>-7</v>
      </c>
      <c r="I1315" s="13">
        <f t="shared" ca="1" si="128"/>
        <v>-2</v>
      </c>
      <c r="J1315" s="14">
        <f t="shared" ca="1" si="129"/>
        <v>41</v>
      </c>
      <c r="K1315" s="12" t="s">
        <v>40</v>
      </c>
      <c r="L1315" s="15">
        <v>77</v>
      </c>
      <c r="M1315" s="25" t="s">
        <v>40</v>
      </c>
      <c r="N1315">
        <v>281</v>
      </c>
    </row>
    <row r="1316" spans="1:14">
      <c r="A1316" s="25">
        <f t="shared" si="124"/>
        <v>485</v>
      </c>
      <c r="B1316" s="67" t="s">
        <v>11</v>
      </c>
      <c r="C1316" s="67" t="s">
        <v>263</v>
      </c>
      <c r="D1316" s="67" t="s">
        <v>245</v>
      </c>
      <c r="E1316" s="22">
        <f t="shared" ca="1" si="125"/>
        <v>40951</v>
      </c>
      <c r="F1316" s="11">
        <f>DATE(91,11,1)</f>
        <v>33543</v>
      </c>
      <c r="G1316" s="12">
        <f t="shared" ca="1" si="126"/>
        <v>21</v>
      </c>
      <c r="H1316" s="12">
        <f t="shared" ca="1" si="127"/>
        <v>-9</v>
      </c>
      <c r="I1316" s="13">
        <f t="shared" ca="1" si="128"/>
        <v>11</v>
      </c>
      <c r="J1316" s="14">
        <f t="shared" ca="1" si="129"/>
        <v>20</v>
      </c>
      <c r="K1316" s="12" t="s">
        <v>40</v>
      </c>
      <c r="L1316" s="15">
        <v>77</v>
      </c>
      <c r="M1316" s="25" t="s">
        <v>44</v>
      </c>
      <c r="N1316">
        <v>281</v>
      </c>
    </row>
    <row r="1317" spans="1:14">
      <c r="A1317" s="25">
        <f t="shared" si="124"/>
        <v>486</v>
      </c>
      <c r="B1317" s="67" t="s">
        <v>11</v>
      </c>
      <c r="C1317" s="67" t="s">
        <v>481</v>
      </c>
      <c r="D1317" s="67" t="s">
        <v>573</v>
      </c>
      <c r="E1317" s="22">
        <f t="shared" ca="1" si="125"/>
        <v>40951</v>
      </c>
      <c r="F1317" s="11">
        <f>DATE(55,5,28)</f>
        <v>20237</v>
      </c>
      <c r="G1317" s="12">
        <f t="shared" ca="1" si="126"/>
        <v>57</v>
      </c>
      <c r="H1317" s="12">
        <f t="shared" ca="1" si="127"/>
        <v>-3</v>
      </c>
      <c r="I1317" s="13">
        <f t="shared" ca="1" si="128"/>
        <v>-16</v>
      </c>
      <c r="J1317" s="14">
        <f t="shared" ca="1" si="129"/>
        <v>56</v>
      </c>
      <c r="K1317" s="12" t="s">
        <v>40</v>
      </c>
      <c r="L1317" s="15">
        <v>78</v>
      </c>
      <c r="M1317" s="25" t="s">
        <v>40</v>
      </c>
      <c r="N1317">
        <v>281</v>
      </c>
    </row>
    <row r="1318" spans="1:14">
      <c r="A1318" s="25">
        <f t="shared" si="124"/>
        <v>487</v>
      </c>
      <c r="B1318" s="67" t="s">
        <v>11</v>
      </c>
      <c r="C1318" s="67" t="s">
        <v>721</v>
      </c>
      <c r="D1318" s="67" t="s">
        <v>481</v>
      </c>
      <c r="E1318" s="22">
        <f t="shared" ca="1" si="125"/>
        <v>40951</v>
      </c>
      <c r="F1318" s="11">
        <f>DATE(81,11,21)</f>
        <v>29911</v>
      </c>
      <c r="G1318" s="12">
        <f t="shared" ca="1" si="126"/>
        <v>31</v>
      </c>
      <c r="H1318" s="12">
        <f t="shared" ca="1" si="127"/>
        <v>-9</v>
      </c>
      <c r="I1318" s="13">
        <f t="shared" ca="1" si="128"/>
        <v>-9</v>
      </c>
      <c r="J1318" s="14">
        <f t="shared" ca="1" si="129"/>
        <v>30</v>
      </c>
      <c r="K1318" s="12" t="s">
        <v>40</v>
      </c>
      <c r="L1318" s="15">
        <v>78</v>
      </c>
      <c r="M1318" s="25" t="s">
        <v>40</v>
      </c>
      <c r="N1318">
        <v>281</v>
      </c>
    </row>
    <row r="1319" spans="1:14">
      <c r="A1319" s="25">
        <f t="shared" si="124"/>
        <v>488</v>
      </c>
      <c r="B1319" s="67" t="s">
        <v>11</v>
      </c>
      <c r="C1319" s="67" t="s">
        <v>362</v>
      </c>
      <c r="D1319" s="67" t="s">
        <v>481</v>
      </c>
      <c r="E1319" s="22">
        <f t="shared" ca="1" si="125"/>
        <v>40951</v>
      </c>
      <c r="F1319" s="11">
        <f>DATE(84,7,30)</f>
        <v>30893</v>
      </c>
      <c r="G1319" s="12">
        <f t="shared" ca="1" si="126"/>
        <v>28</v>
      </c>
      <c r="H1319" s="12">
        <f t="shared" ca="1" si="127"/>
        <v>-5</v>
      </c>
      <c r="I1319" s="13">
        <f t="shared" ca="1" si="128"/>
        <v>-18</v>
      </c>
      <c r="J1319" s="14">
        <f t="shared" ca="1" si="129"/>
        <v>27</v>
      </c>
      <c r="K1319" s="12" t="s">
        <v>40</v>
      </c>
      <c r="L1319" s="15">
        <v>78</v>
      </c>
      <c r="M1319" s="25" t="s">
        <v>44</v>
      </c>
      <c r="N1319">
        <v>281</v>
      </c>
    </row>
    <row r="1320" spans="1:14">
      <c r="A1320" s="25">
        <f t="shared" si="124"/>
        <v>489</v>
      </c>
      <c r="B1320" s="67" t="s">
        <v>11</v>
      </c>
      <c r="C1320" s="67" t="s">
        <v>723</v>
      </c>
      <c r="D1320" s="67" t="s">
        <v>481</v>
      </c>
      <c r="E1320" s="22">
        <f t="shared" ca="1" si="125"/>
        <v>40951</v>
      </c>
      <c r="F1320" s="11">
        <f>DATE(86,10,24)</f>
        <v>31709</v>
      </c>
      <c r="G1320" s="12">
        <f t="shared" ca="1" si="126"/>
        <v>26</v>
      </c>
      <c r="H1320" s="12">
        <f t="shared" ca="1" si="127"/>
        <v>-8</v>
      </c>
      <c r="I1320" s="13">
        <f t="shared" ca="1" si="128"/>
        <v>-12</v>
      </c>
      <c r="J1320" s="14">
        <f t="shared" ca="1" si="129"/>
        <v>25</v>
      </c>
      <c r="K1320" s="12" t="s">
        <v>40</v>
      </c>
      <c r="L1320" s="15">
        <v>78</v>
      </c>
      <c r="M1320" s="25" t="s">
        <v>44</v>
      </c>
      <c r="N1320">
        <v>281</v>
      </c>
    </row>
    <row r="1321" spans="1:14">
      <c r="A1321" s="25">
        <f t="shared" si="124"/>
        <v>490</v>
      </c>
      <c r="B1321" s="67" t="s">
        <v>11</v>
      </c>
      <c r="C1321" s="67" t="s">
        <v>724</v>
      </c>
      <c r="D1321" s="67" t="s">
        <v>725</v>
      </c>
      <c r="E1321" s="22">
        <f t="shared" ca="1" si="125"/>
        <v>40951</v>
      </c>
      <c r="F1321" s="32"/>
      <c r="G1321" s="12">
        <f t="shared" ca="1" si="126"/>
        <v>112</v>
      </c>
      <c r="H1321" s="12">
        <f t="shared" ca="1" si="127"/>
        <v>1</v>
      </c>
      <c r="I1321" s="13">
        <f t="shared" ca="1" si="128"/>
        <v>12</v>
      </c>
      <c r="J1321" s="14">
        <f t="shared" ca="1" si="129"/>
        <v>112</v>
      </c>
      <c r="K1321" s="12" t="s">
        <v>40</v>
      </c>
      <c r="L1321" s="15">
        <v>78</v>
      </c>
      <c r="M1321" s="25" t="s">
        <v>40</v>
      </c>
      <c r="N1321">
        <v>281</v>
      </c>
    </row>
    <row r="1322" spans="1:14">
      <c r="A1322" s="25">
        <f t="shared" si="124"/>
        <v>491</v>
      </c>
      <c r="B1322" s="67" t="s">
        <v>11</v>
      </c>
      <c r="C1322" s="67" t="s">
        <v>326</v>
      </c>
      <c r="D1322" s="67" t="s">
        <v>724</v>
      </c>
      <c r="E1322" s="22">
        <f t="shared" ca="1" si="125"/>
        <v>40951</v>
      </c>
      <c r="F1322" s="11">
        <f>DATE(50,2,28)</f>
        <v>18322</v>
      </c>
      <c r="G1322" s="12">
        <f t="shared" ca="1" si="126"/>
        <v>62</v>
      </c>
      <c r="H1322" s="12">
        <f t="shared" ca="1" si="127"/>
        <v>0</v>
      </c>
      <c r="I1322" s="13">
        <f t="shared" ca="1" si="128"/>
        <v>-16</v>
      </c>
      <c r="J1322" s="14">
        <f t="shared" ca="1" si="129"/>
        <v>61</v>
      </c>
      <c r="K1322" s="12" t="s">
        <v>40</v>
      </c>
      <c r="L1322" s="15">
        <v>78</v>
      </c>
      <c r="M1322" s="25" t="s">
        <v>40</v>
      </c>
      <c r="N1322">
        <v>281</v>
      </c>
    </row>
    <row r="1323" spans="1:14">
      <c r="A1323" s="25">
        <f t="shared" si="124"/>
        <v>492</v>
      </c>
      <c r="B1323" s="67" t="s">
        <v>11</v>
      </c>
      <c r="C1323" s="67" t="s">
        <v>341</v>
      </c>
      <c r="D1323" s="67" t="s">
        <v>726</v>
      </c>
      <c r="E1323" s="22">
        <f t="shared" ca="1" si="125"/>
        <v>40951</v>
      </c>
      <c r="F1323" s="11">
        <f>DATE(47,11,19)</f>
        <v>17490</v>
      </c>
      <c r="G1323" s="12">
        <f t="shared" ca="1" si="126"/>
        <v>65</v>
      </c>
      <c r="H1323" s="12">
        <f t="shared" ca="1" si="127"/>
        <v>-9</v>
      </c>
      <c r="I1323" s="13">
        <f t="shared" ca="1" si="128"/>
        <v>-7</v>
      </c>
      <c r="J1323" s="14">
        <f t="shared" ca="1" si="129"/>
        <v>64</v>
      </c>
      <c r="K1323" s="12" t="s">
        <v>40</v>
      </c>
      <c r="L1323" s="15">
        <v>78</v>
      </c>
      <c r="M1323" s="25" t="s">
        <v>40</v>
      </c>
      <c r="N1323">
        <v>281</v>
      </c>
    </row>
    <row r="1324" spans="1:14">
      <c r="A1324" s="25">
        <f t="shared" si="124"/>
        <v>493</v>
      </c>
      <c r="B1324" s="67" t="s">
        <v>11</v>
      </c>
      <c r="C1324" s="67" t="s">
        <v>727</v>
      </c>
      <c r="D1324" s="67" t="s">
        <v>341</v>
      </c>
      <c r="E1324" s="22">
        <f t="shared" ca="1" si="125"/>
        <v>40951</v>
      </c>
      <c r="F1324" s="11">
        <f>DATE(75,4,13)</f>
        <v>27497</v>
      </c>
      <c r="G1324" s="12">
        <f t="shared" ca="1" si="126"/>
        <v>37</v>
      </c>
      <c r="H1324" s="12">
        <f t="shared" ca="1" si="127"/>
        <v>-2</v>
      </c>
      <c r="I1324" s="13">
        <f t="shared" ca="1" si="128"/>
        <v>-1</v>
      </c>
      <c r="J1324" s="14">
        <f t="shared" ca="1" si="129"/>
        <v>36</v>
      </c>
      <c r="K1324" s="12" t="s">
        <v>40</v>
      </c>
      <c r="L1324" s="15">
        <v>78</v>
      </c>
      <c r="M1324" s="25" t="s">
        <v>40</v>
      </c>
      <c r="N1324">
        <v>281</v>
      </c>
    </row>
    <row r="1325" spans="1:14">
      <c r="A1325" s="25">
        <f t="shared" si="124"/>
        <v>494</v>
      </c>
      <c r="B1325" s="67" t="s">
        <v>11</v>
      </c>
      <c r="C1325" s="67" t="s">
        <v>728</v>
      </c>
      <c r="D1325" s="67" t="s">
        <v>727</v>
      </c>
      <c r="E1325" s="22">
        <f t="shared" ca="1" si="125"/>
        <v>40951</v>
      </c>
      <c r="F1325" s="11">
        <f>DATE(2002,6,2)</f>
        <v>37409</v>
      </c>
      <c r="G1325" s="12">
        <f t="shared" ca="1" si="126"/>
        <v>10</v>
      </c>
      <c r="H1325" s="12">
        <f t="shared" ca="1" si="127"/>
        <v>-4</v>
      </c>
      <c r="I1325" s="13">
        <f t="shared" ca="1" si="128"/>
        <v>10</v>
      </c>
      <c r="J1325" s="14">
        <f t="shared" ca="1" si="129"/>
        <v>9</v>
      </c>
      <c r="K1325" s="12" t="s">
        <v>40</v>
      </c>
      <c r="L1325" s="15">
        <v>78</v>
      </c>
      <c r="M1325" s="25" t="s">
        <v>44</v>
      </c>
      <c r="N1325">
        <v>281</v>
      </c>
    </row>
    <row r="1326" spans="1:14">
      <c r="A1326" s="25">
        <f t="shared" si="124"/>
        <v>495</v>
      </c>
      <c r="B1326" s="67" t="s">
        <v>11</v>
      </c>
      <c r="C1326" s="67" t="s">
        <v>641</v>
      </c>
      <c r="D1326" s="67" t="s">
        <v>341</v>
      </c>
      <c r="E1326" s="22">
        <f t="shared" ca="1" si="125"/>
        <v>40951</v>
      </c>
      <c r="F1326" s="11">
        <f>DATE(79,1,31)</f>
        <v>28886</v>
      </c>
      <c r="G1326" s="12">
        <f t="shared" ca="1" si="126"/>
        <v>33</v>
      </c>
      <c r="H1326" s="12">
        <f t="shared" ca="1" si="127"/>
        <v>1</v>
      </c>
      <c r="I1326" s="13">
        <f t="shared" ca="1" si="128"/>
        <v>-19</v>
      </c>
      <c r="J1326" s="14">
        <f t="shared" ca="1" si="129"/>
        <v>33</v>
      </c>
      <c r="K1326" s="12" t="s">
        <v>40</v>
      </c>
      <c r="L1326" s="15">
        <v>78</v>
      </c>
      <c r="M1326" s="25" t="s">
        <v>40</v>
      </c>
      <c r="N1326">
        <v>281</v>
      </c>
    </row>
    <row r="1327" spans="1:14">
      <c r="A1327" s="25">
        <f t="shared" si="124"/>
        <v>496</v>
      </c>
      <c r="B1327" s="67" t="s">
        <v>11</v>
      </c>
      <c r="C1327" s="67" t="s">
        <v>730</v>
      </c>
      <c r="D1327" s="67" t="s">
        <v>573</v>
      </c>
      <c r="E1327" s="22">
        <f t="shared" ca="1" si="125"/>
        <v>40951</v>
      </c>
      <c r="F1327" s="11">
        <f>DATE(52,6,15)</f>
        <v>19160</v>
      </c>
      <c r="G1327" s="12">
        <f t="shared" ca="1" si="126"/>
        <v>60</v>
      </c>
      <c r="H1327" s="12">
        <f t="shared" ca="1" si="127"/>
        <v>-4</v>
      </c>
      <c r="I1327" s="13">
        <f t="shared" ca="1" si="128"/>
        <v>-3</v>
      </c>
      <c r="J1327" s="14">
        <f t="shared" ca="1" si="129"/>
        <v>59</v>
      </c>
      <c r="K1327" s="12" t="s">
        <v>40</v>
      </c>
      <c r="L1327" s="15">
        <v>79</v>
      </c>
      <c r="M1327" s="25" t="s">
        <v>40</v>
      </c>
      <c r="N1327">
        <v>281</v>
      </c>
    </row>
    <row r="1328" spans="1:14">
      <c r="A1328" s="25">
        <f t="shared" si="124"/>
        <v>497</v>
      </c>
      <c r="B1328" s="67" t="s">
        <v>11</v>
      </c>
      <c r="C1328" s="67" t="s">
        <v>355</v>
      </c>
      <c r="D1328" s="67" t="s">
        <v>134</v>
      </c>
      <c r="E1328" s="22">
        <f t="shared" ca="1" si="125"/>
        <v>40951</v>
      </c>
      <c r="F1328" s="11">
        <f>DATE(33,9,13)</f>
        <v>12310</v>
      </c>
      <c r="G1328" s="12">
        <f t="shared" ca="1" si="126"/>
        <v>79</v>
      </c>
      <c r="H1328" s="12">
        <f t="shared" ca="1" si="127"/>
        <v>-7</v>
      </c>
      <c r="I1328" s="13">
        <f t="shared" ca="1" si="128"/>
        <v>-1</v>
      </c>
      <c r="J1328" s="14">
        <f t="shared" ca="1" si="129"/>
        <v>78</v>
      </c>
      <c r="K1328" s="12" t="s">
        <v>40</v>
      </c>
      <c r="L1328" s="15">
        <v>79</v>
      </c>
      <c r="M1328" s="25" t="s">
        <v>40</v>
      </c>
      <c r="N1328">
        <v>281</v>
      </c>
    </row>
    <row r="1329" spans="1:14">
      <c r="A1329" s="25">
        <f t="shared" si="124"/>
        <v>498</v>
      </c>
      <c r="B1329" s="67" t="s">
        <v>11</v>
      </c>
      <c r="C1329" s="67" t="s">
        <v>529</v>
      </c>
      <c r="D1329" s="67" t="s">
        <v>355</v>
      </c>
      <c r="E1329" s="22">
        <f t="shared" ca="1" si="125"/>
        <v>40951</v>
      </c>
      <c r="F1329" s="11">
        <f>DATE(64,12,10)</f>
        <v>23721</v>
      </c>
      <c r="G1329" s="12">
        <f t="shared" ca="1" si="126"/>
        <v>48</v>
      </c>
      <c r="H1329" s="12">
        <f t="shared" ca="1" si="127"/>
        <v>-10</v>
      </c>
      <c r="I1329" s="13">
        <f t="shared" ca="1" si="128"/>
        <v>2</v>
      </c>
      <c r="J1329" s="14">
        <f t="shared" ca="1" si="129"/>
        <v>47</v>
      </c>
      <c r="K1329" s="12" t="s">
        <v>40</v>
      </c>
      <c r="L1329" s="15">
        <v>79</v>
      </c>
      <c r="M1329" s="25" t="s">
        <v>40</v>
      </c>
      <c r="N1329">
        <v>281</v>
      </c>
    </row>
    <row r="1330" spans="1:14">
      <c r="A1330" s="25">
        <f t="shared" si="124"/>
        <v>499</v>
      </c>
      <c r="B1330" s="67" t="s">
        <v>11</v>
      </c>
      <c r="C1330" s="67" t="s">
        <v>348</v>
      </c>
      <c r="D1330" s="67" t="s">
        <v>733</v>
      </c>
      <c r="E1330" s="22">
        <f t="shared" ca="1" si="125"/>
        <v>40951</v>
      </c>
      <c r="F1330" s="11">
        <f>DATE(63,9,11)</f>
        <v>23265</v>
      </c>
      <c r="G1330" s="12">
        <f t="shared" ca="1" si="126"/>
        <v>49</v>
      </c>
      <c r="H1330" s="12">
        <f t="shared" ca="1" si="127"/>
        <v>-7</v>
      </c>
      <c r="I1330" s="13">
        <f t="shared" ca="1" si="128"/>
        <v>1</v>
      </c>
      <c r="J1330" s="14">
        <f t="shared" ca="1" si="129"/>
        <v>48</v>
      </c>
      <c r="K1330" s="12" t="s">
        <v>40</v>
      </c>
      <c r="L1330" s="15">
        <v>79</v>
      </c>
      <c r="M1330" s="25" t="s">
        <v>40</v>
      </c>
      <c r="N1330">
        <v>281</v>
      </c>
    </row>
    <row r="1331" spans="1:14" ht="15.75" thickBot="1">
      <c r="A1331" s="26">
        <f t="shared" si="124"/>
        <v>500</v>
      </c>
      <c r="B1331" s="67" t="s">
        <v>11</v>
      </c>
      <c r="C1331" s="68" t="s">
        <v>571</v>
      </c>
      <c r="D1331" s="68" t="s">
        <v>348</v>
      </c>
      <c r="E1331" s="23">
        <f t="shared" ca="1" si="125"/>
        <v>40951</v>
      </c>
      <c r="F1331" s="16">
        <f>DATE(95,1,10)</f>
        <v>34709</v>
      </c>
      <c r="G1331" s="17">
        <f t="shared" ca="1" si="126"/>
        <v>17</v>
      </c>
      <c r="H1331" s="17">
        <f t="shared" ca="1" si="127"/>
        <v>1</v>
      </c>
      <c r="I1331" s="18">
        <f t="shared" ca="1" si="128"/>
        <v>2</v>
      </c>
      <c r="J1331" s="19">
        <f t="shared" ca="1" si="129"/>
        <v>17</v>
      </c>
      <c r="K1331" s="17" t="s">
        <v>40</v>
      </c>
      <c r="L1331" s="20">
        <v>79</v>
      </c>
      <c r="M1331" s="26" t="s">
        <v>44</v>
      </c>
      <c r="N1331">
        <v>281</v>
      </c>
    </row>
    <row r="1332" spans="1:14">
      <c r="A1332" s="25">
        <f t="shared" si="124"/>
        <v>501</v>
      </c>
      <c r="B1332" s="67" t="s">
        <v>11</v>
      </c>
      <c r="C1332" s="67" t="s">
        <v>348</v>
      </c>
      <c r="D1332" s="67" t="s">
        <v>358</v>
      </c>
      <c r="E1332" s="22">
        <f t="shared" ca="1" si="125"/>
        <v>40951</v>
      </c>
      <c r="F1332" s="11">
        <f>DATE(64,10,10)</f>
        <v>23660</v>
      </c>
      <c r="G1332" s="12">
        <f t="shared" ca="1" si="126"/>
        <v>48</v>
      </c>
      <c r="H1332" s="12">
        <f t="shared" ca="1" si="127"/>
        <v>-8</v>
      </c>
      <c r="I1332" s="13">
        <f t="shared" ca="1" si="128"/>
        <v>2</v>
      </c>
      <c r="J1332" s="14">
        <f t="shared" ca="1" si="129"/>
        <v>47</v>
      </c>
      <c r="K1332" s="12" t="s">
        <v>40</v>
      </c>
      <c r="L1332" s="15">
        <v>80</v>
      </c>
      <c r="M1332" s="25" t="s">
        <v>40</v>
      </c>
      <c r="N1332">
        <v>282</v>
      </c>
    </row>
    <row r="1333" spans="1:14">
      <c r="A1333" s="25">
        <f t="shared" si="124"/>
        <v>502</v>
      </c>
      <c r="B1333" s="67" t="s">
        <v>11</v>
      </c>
      <c r="C1333" s="67" t="s">
        <v>728</v>
      </c>
      <c r="D1333" s="67" t="s">
        <v>348</v>
      </c>
      <c r="E1333" s="22">
        <f t="shared" ca="1" si="125"/>
        <v>40951</v>
      </c>
      <c r="F1333" s="11">
        <f>DATE(2005,11,10)</f>
        <v>38666</v>
      </c>
      <c r="G1333" s="12">
        <f t="shared" ca="1" si="126"/>
        <v>7</v>
      </c>
      <c r="H1333" s="12">
        <f t="shared" ca="1" si="127"/>
        <v>-9</v>
      </c>
      <c r="I1333" s="13">
        <f t="shared" ca="1" si="128"/>
        <v>2</v>
      </c>
      <c r="J1333" s="14">
        <f t="shared" ca="1" si="129"/>
        <v>6</v>
      </c>
      <c r="K1333" s="12" t="s">
        <v>40</v>
      </c>
      <c r="L1333" s="15">
        <v>80</v>
      </c>
      <c r="M1333" s="25" t="s">
        <v>44</v>
      </c>
      <c r="N1333">
        <v>282</v>
      </c>
    </row>
    <row r="1334" spans="1:14">
      <c r="A1334" s="25">
        <f t="shared" si="124"/>
        <v>503</v>
      </c>
      <c r="B1334" s="67" t="s">
        <v>11</v>
      </c>
      <c r="C1334" s="67" t="s">
        <v>210</v>
      </c>
      <c r="D1334" s="67" t="s">
        <v>735</v>
      </c>
      <c r="E1334" s="22">
        <f t="shared" ca="1" si="125"/>
        <v>40951</v>
      </c>
      <c r="F1334" s="11">
        <f>DATE(53,9,30)</f>
        <v>19632</v>
      </c>
      <c r="G1334" s="12">
        <f t="shared" ca="1" si="126"/>
        <v>59</v>
      </c>
      <c r="H1334" s="12">
        <f t="shared" ca="1" si="127"/>
        <v>-7</v>
      </c>
      <c r="I1334" s="13">
        <f t="shared" ca="1" si="128"/>
        <v>-18</v>
      </c>
      <c r="J1334" s="14">
        <f t="shared" ca="1" si="129"/>
        <v>58</v>
      </c>
      <c r="K1334" s="12" t="s">
        <v>40</v>
      </c>
      <c r="L1334" s="15">
        <v>80</v>
      </c>
      <c r="M1334" s="25" t="s">
        <v>40</v>
      </c>
      <c r="N1334">
        <v>282</v>
      </c>
    </row>
    <row r="1335" spans="1:14" ht="15.75" thickBot="1">
      <c r="A1335" s="26">
        <f t="shared" si="124"/>
        <v>504</v>
      </c>
      <c r="B1335" s="67" t="s">
        <v>11</v>
      </c>
      <c r="C1335" s="68" t="s">
        <v>737</v>
      </c>
      <c r="D1335" s="68" t="s">
        <v>210</v>
      </c>
      <c r="E1335" s="23">
        <f t="shared" ca="1" si="125"/>
        <v>40951</v>
      </c>
      <c r="F1335" s="16">
        <f>DATE(88,10,31)</f>
        <v>32447</v>
      </c>
      <c r="G1335" s="17">
        <f t="shared" ca="1" si="126"/>
        <v>24</v>
      </c>
      <c r="H1335" s="17">
        <f t="shared" ca="1" si="127"/>
        <v>-8</v>
      </c>
      <c r="I1335" s="18">
        <f t="shared" ca="1" si="128"/>
        <v>-19</v>
      </c>
      <c r="J1335" s="19">
        <f t="shared" ca="1" si="129"/>
        <v>23</v>
      </c>
      <c r="K1335" s="17" t="s">
        <v>40</v>
      </c>
      <c r="L1335" s="20">
        <v>80</v>
      </c>
      <c r="M1335" s="26" t="s">
        <v>44</v>
      </c>
      <c r="N1335">
        <v>282</v>
      </c>
    </row>
    <row r="1336" spans="1:14">
      <c r="A1336" s="25">
        <f t="shared" si="124"/>
        <v>505</v>
      </c>
      <c r="B1336" s="67" t="s">
        <v>11</v>
      </c>
      <c r="C1336" s="67" t="s">
        <v>473</v>
      </c>
      <c r="D1336" s="67" t="s">
        <v>738</v>
      </c>
      <c r="E1336" s="22">
        <f t="shared" ca="1" si="125"/>
        <v>40951</v>
      </c>
      <c r="F1336" s="11">
        <f>DATE(52,10,14)</f>
        <v>19281</v>
      </c>
      <c r="G1336" s="12">
        <f t="shared" ca="1" si="126"/>
        <v>60</v>
      </c>
      <c r="H1336" s="12">
        <f t="shared" ca="1" si="127"/>
        <v>-8</v>
      </c>
      <c r="I1336" s="13">
        <f t="shared" ca="1" si="128"/>
        <v>-2</v>
      </c>
      <c r="J1336" s="14">
        <f t="shared" ca="1" si="129"/>
        <v>59</v>
      </c>
      <c r="K1336" s="12" t="s">
        <v>40</v>
      </c>
      <c r="L1336" s="15">
        <v>80</v>
      </c>
      <c r="M1336" s="25" t="s">
        <v>40</v>
      </c>
      <c r="N1336">
        <v>283</v>
      </c>
    </row>
    <row r="1337" spans="1:14">
      <c r="A1337" s="25">
        <f t="shared" si="124"/>
        <v>506</v>
      </c>
      <c r="B1337" s="67" t="s">
        <v>11</v>
      </c>
      <c r="C1337" s="67" t="s">
        <v>742</v>
      </c>
      <c r="D1337" s="67" t="s">
        <v>473</v>
      </c>
      <c r="E1337" s="22">
        <f t="shared" ca="1" si="125"/>
        <v>40951</v>
      </c>
      <c r="F1337" s="11">
        <f>DATE(93,7,17)</f>
        <v>34167</v>
      </c>
      <c r="G1337" s="12">
        <f t="shared" ca="1" si="126"/>
        <v>19</v>
      </c>
      <c r="H1337" s="12">
        <f t="shared" ca="1" si="127"/>
        <v>-5</v>
      </c>
      <c r="I1337" s="13">
        <f t="shared" ca="1" si="128"/>
        <v>-5</v>
      </c>
      <c r="J1337" s="14">
        <f t="shared" ca="1" si="129"/>
        <v>18</v>
      </c>
      <c r="K1337" s="12" t="s">
        <v>40</v>
      </c>
      <c r="L1337" s="15">
        <v>80</v>
      </c>
      <c r="M1337" s="25" t="s">
        <v>44</v>
      </c>
      <c r="N1337">
        <v>283</v>
      </c>
    </row>
    <row r="1338" spans="1:14">
      <c r="A1338" s="25">
        <f t="shared" si="124"/>
        <v>507</v>
      </c>
      <c r="B1338" s="67" t="s">
        <v>11</v>
      </c>
      <c r="C1338" s="67" t="s">
        <v>743</v>
      </c>
      <c r="D1338" s="67" t="s">
        <v>716</v>
      </c>
      <c r="E1338" s="22">
        <f t="shared" ca="1" si="125"/>
        <v>40951</v>
      </c>
      <c r="F1338" s="11">
        <f>DATE(39,9,17)</f>
        <v>14505</v>
      </c>
      <c r="G1338" s="12">
        <f t="shared" ca="1" si="126"/>
        <v>73</v>
      </c>
      <c r="H1338" s="12">
        <f t="shared" ca="1" si="127"/>
        <v>-7</v>
      </c>
      <c r="I1338" s="13">
        <f t="shared" ca="1" si="128"/>
        <v>-5</v>
      </c>
      <c r="J1338" s="14">
        <f t="shared" ca="1" si="129"/>
        <v>72</v>
      </c>
      <c r="K1338" s="12" t="s">
        <v>40</v>
      </c>
      <c r="L1338" s="15">
        <v>81</v>
      </c>
      <c r="M1338" s="25" t="s">
        <v>40</v>
      </c>
      <c r="N1338">
        <v>283</v>
      </c>
    </row>
    <row r="1339" spans="1:14">
      <c r="A1339" s="25">
        <f t="shared" si="124"/>
        <v>508</v>
      </c>
      <c r="B1339" s="67" t="s">
        <v>11</v>
      </c>
      <c r="C1339" s="67" t="s">
        <v>144</v>
      </c>
      <c r="D1339" s="67" t="s">
        <v>743</v>
      </c>
      <c r="E1339" s="22">
        <f t="shared" ca="1" si="125"/>
        <v>40951</v>
      </c>
      <c r="F1339" s="11">
        <f>DATE(78,4,4)</f>
        <v>28584</v>
      </c>
      <c r="G1339" s="12">
        <f t="shared" ca="1" si="126"/>
        <v>34</v>
      </c>
      <c r="H1339" s="12">
        <f t="shared" ca="1" si="127"/>
        <v>-2</v>
      </c>
      <c r="I1339" s="13">
        <f t="shared" ca="1" si="128"/>
        <v>8</v>
      </c>
      <c r="J1339" s="14">
        <f t="shared" ca="1" si="129"/>
        <v>33</v>
      </c>
      <c r="K1339" s="12" t="s">
        <v>40</v>
      </c>
      <c r="L1339" s="15">
        <v>81</v>
      </c>
      <c r="M1339" s="25" t="s">
        <v>44</v>
      </c>
      <c r="N1339">
        <v>283</v>
      </c>
    </row>
    <row r="1340" spans="1:14" ht="15.75" thickBot="1">
      <c r="A1340" s="26">
        <f t="shared" si="124"/>
        <v>509</v>
      </c>
      <c r="B1340" s="67" t="s">
        <v>11</v>
      </c>
      <c r="C1340" s="68" t="s">
        <v>191</v>
      </c>
      <c r="D1340" s="68" t="s">
        <v>743</v>
      </c>
      <c r="E1340" s="23">
        <f t="shared" ca="1" si="125"/>
        <v>40951</v>
      </c>
      <c r="F1340" s="16">
        <f>DATE(85,7,6)</f>
        <v>31234</v>
      </c>
      <c r="G1340" s="17">
        <f t="shared" ca="1" si="126"/>
        <v>27</v>
      </c>
      <c r="H1340" s="17">
        <f t="shared" ca="1" si="127"/>
        <v>-5</v>
      </c>
      <c r="I1340" s="18">
        <f t="shared" ca="1" si="128"/>
        <v>6</v>
      </c>
      <c r="J1340" s="19">
        <f t="shared" ca="1" si="129"/>
        <v>26</v>
      </c>
      <c r="K1340" s="17" t="s">
        <v>40</v>
      </c>
      <c r="L1340" s="20">
        <v>81</v>
      </c>
      <c r="M1340" s="26" t="s">
        <v>44</v>
      </c>
      <c r="N1340">
        <v>283</v>
      </c>
    </row>
    <row r="1341" spans="1:14">
      <c r="A1341" s="25">
        <f t="shared" si="124"/>
        <v>510</v>
      </c>
      <c r="B1341" s="67" t="s">
        <v>11</v>
      </c>
      <c r="C1341" s="67" t="s">
        <v>745</v>
      </c>
      <c r="D1341" s="67" t="s">
        <v>700</v>
      </c>
      <c r="E1341" s="22">
        <f t="shared" ca="1" si="125"/>
        <v>40951</v>
      </c>
      <c r="F1341" s="11">
        <f>DATE(23,12,27)</f>
        <v>8762</v>
      </c>
      <c r="G1341" s="12">
        <f t="shared" ca="1" si="126"/>
        <v>89</v>
      </c>
      <c r="H1341" s="12">
        <f t="shared" ca="1" si="127"/>
        <v>-10</v>
      </c>
      <c r="I1341" s="13">
        <f t="shared" ca="1" si="128"/>
        <v>-15</v>
      </c>
      <c r="J1341" s="14">
        <f t="shared" ca="1" si="129"/>
        <v>88</v>
      </c>
      <c r="K1341" s="12" t="s">
        <v>40</v>
      </c>
      <c r="L1341" s="15">
        <v>81</v>
      </c>
      <c r="M1341" s="25" t="s">
        <v>40</v>
      </c>
      <c r="N1341">
        <v>284</v>
      </c>
    </row>
    <row r="1342" spans="1:14">
      <c r="A1342" s="25">
        <f t="shared" ref="A1342:A1405" si="130">A1341+1</f>
        <v>511</v>
      </c>
      <c r="B1342" s="67" t="s">
        <v>11</v>
      </c>
      <c r="C1342" s="67" t="s">
        <v>747</v>
      </c>
      <c r="D1342" s="67" t="s">
        <v>745</v>
      </c>
      <c r="E1342" s="22">
        <f t="shared" ca="1" si="125"/>
        <v>40951</v>
      </c>
      <c r="F1342" s="11">
        <f>DATE(46,1,16)</f>
        <v>16818</v>
      </c>
      <c r="G1342" s="12">
        <f t="shared" ca="1" si="126"/>
        <v>66</v>
      </c>
      <c r="H1342" s="12">
        <f t="shared" ca="1" si="127"/>
        <v>1</v>
      </c>
      <c r="I1342" s="13">
        <f t="shared" ca="1" si="128"/>
        <v>-4</v>
      </c>
      <c r="J1342" s="14">
        <f t="shared" ca="1" si="129"/>
        <v>66</v>
      </c>
      <c r="K1342" s="12" t="s">
        <v>40</v>
      </c>
      <c r="L1342" s="15">
        <v>81</v>
      </c>
      <c r="M1342" s="25" t="s">
        <v>40</v>
      </c>
      <c r="N1342">
        <v>284</v>
      </c>
    </row>
    <row r="1343" spans="1:14">
      <c r="A1343" s="25">
        <f t="shared" si="130"/>
        <v>512</v>
      </c>
      <c r="B1343" s="67" t="s">
        <v>11</v>
      </c>
      <c r="C1343" s="67" t="s">
        <v>228</v>
      </c>
      <c r="D1343" s="67" t="s">
        <v>747</v>
      </c>
      <c r="E1343" s="22">
        <f t="shared" ca="1" si="125"/>
        <v>40951</v>
      </c>
      <c r="F1343" s="11">
        <f>DATE(71,7,27)</f>
        <v>26141</v>
      </c>
      <c r="G1343" s="12">
        <f t="shared" ca="1" si="126"/>
        <v>41</v>
      </c>
      <c r="H1343" s="12">
        <f t="shared" ca="1" si="127"/>
        <v>-5</v>
      </c>
      <c r="I1343" s="13">
        <f t="shared" ca="1" si="128"/>
        <v>-15</v>
      </c>
      <c r="J1343" s="14">
        <f t="shared" ca="1" si="129"/>
        <v>40</v>
      </c>
      <c r="K1343" s="12" t="s">
        <v>40</v>
      </c>
      <c r="L1343" s="15">
        <v>81</v>
      </c>
      <c r="M1343" s="25" t="s">
        <v>40</v>
      </c>
      <c r="N1343">
        <v>284</v>
      </c>
    </row>
    <row r="1344" spans="1:14">
      <c r="A1344" s="25">
        <f t="shared" si="130"/>
        <v>513</v>
      </c>
      <c r="B1344" s="67" t="s">
        <v>11</v>
      </c>
      <c r="C1344" s="67" t="s">
        <v>749</v>
      </c>
      <c r="D1344" s="67" t="s">
        <v>747</v>
      </c>
      <c r="E1344" s="22">
        <f t="shared" ca="1" si="125"/>
        <v>40951</v>
      </c>
      <c r="F1344" s="11">
        <f>DATE(74,5,6)</f>
        <v>27155</v>
      </c>
      <c r="G1344" s="12">
        <f t="shared" ca="1" si="126"/>
        <v>38</v>
      </c>
      <c r="H1344" s="12">
        <f t="shared" ca="1" si="127"/>
        <v>-3</v>
      </c>
      <c r="I1344" s="13">
        <f t="shared" ca="1" si="128"/>
        <v>6</v>
      </c>
      <c r="J1344" s="14">
        <f t="shared" ca="1" si="129"/>
        <v>37</v>
      </c>
      <c r="K1344" s="12" t="s">
        <v>40</v>
      </c>
      <c r="L1344" s="15">
        <v>81</v>
      </c>
      <c r="M1344" s="25" t="s">
        <v>40</v>
      </c>
      <c r="N1344">
        <v>284</v>
      </c>
    </row>
    <row r="1345" spans="1:14">
      <c r="A1345" s="25">
        <f t="shared" si="130"/>
        <v>514</v>
      </c>
      <c r="B1345" s="67" t="s">
        <v>11</v>
      </c>
      <c r="C1345" s="67" t="s">
        <v>235</v>
      </c>
      <c r="D1345" s="67"/>
      <c r="E1345" s="22">
        <f t="shared" ref="E1345:E1408" ca="1" si="131">TODAY()</f>
        <v>40951</v>
      </c>
      <c r="F1345" s="11">
        <f>DATE(35,11,6)</f>
        <v>13094</v>
      </c>
      <c r="G1345" s="12">
        <f t="shared" ref="G1345:G1408" ca="1" si="132">YEAR(E1345)-YEAR(F1345)</f>
        <v>77</v>
      </c>
      <c r="H1345" s="12">
        <f t="shared" ref="H1345:H1408" ca="1" si="133">MONTH(E1345)-MONTH(F1345)</f>
        <v>-9</v>
      </c>
      <c r="I1345" s="13">
        <f t="shared" ref="I1345:I1408" ca="1" si="134">DAY(E1345)-DAY(F1345)</f>
        <v>6</v>
      </c>
      <c r="J1345" s="14">
        <f t="shared" ref="J1345:J1408" ca="1" si="135">IF(H1345&lt;0,G1345-1,IF(H1345&gt;0,G1345,IF(I1345&lt;0,G1345-1,G1345)))</f>
        <v>76</v>
      </c>
      <c r="K1345" s="12" t="s">
        <v>40</v>
      </c>
      <c r="L1345" s="15">
        <v>82</v>
      </c>
      <c r="M1345" s="25" t="s">
        <v>40</v>
      </c>
      <c r="N1345">
        <v>284</v>
      </c>
    </row>
    <row r="1346" spans="1:14">
      <c r="A1346" s="25">
        <f t="shared" si="130"/>
        <v>515</v>
      </c>
      <c r="B1346" s="67" t="s">
        <v>11</v>
      </c>
      <c r="C1346" s="67" t="s">
        <v>654</v>
      </c>
      <c r="D1346" s="67" t="s">
        <v>235</v>
      </c>
      <c r="E1346" s="22">
        <f t="shared" ca="1" si="131"/>
        <v>40951</v>
      </c>
      <c r="F1346" s="11">
        <f>DATE(64,9,1)</f>
        <v>23621</v>
      </c>
      <c r="G1346" s="12">
        <f t="shared" ca="1" si="132"/>
        <v>48</v>
      </c>
      <c r="H1346" s="12">
        <f t="shared" ca="1" si="133"/>
        <v>-7</v>
      </c>
      <c r="I1346" s="13">
        <f t="shared" ca="1" si="134"/>
        <v>11</v>
      </c>
      <c r="J1346" s="14">
        <f t="shared" ca="1" si="135"/>
        <v>47</v>
      </c>
      <c r="K1346" s="12" t="s">
        <v>40</v>
      </c>
      <c r="L1346" s="15">
        <v>82</v>
      </c>
      <c r="M1346" s="25" t="s">
        <v>40</v>
      </c>
      <c r="N1346">
        <v>284</v>
      </c>
    </row>
    <row r="1347" spans="1:14" ht="15.75" thickBot="1">
      <c r="A1347" s="26">
        <f t="shared" si="130"/>
        <v>516</v>
      </c>
      <c r="B1347" s="67" t="s">
        <v>11</v>
      </c>
      <c r="C1347" s="68" t="s">
        <v>753</v>
      </c>
      <c r="D1347" s="68" t="s">
        <v>654</v>
      </c>
      <c r="E1347" s="23">
        <f t="shared" ca="1" si="131"/>
        <v>40951</v>
      </c>
      <c r="F1347" s="16">
        <f>DATE(91,9,14)</f>
        <v>33495</v>
      </c>
      <c r="G1347" s="17">
        <f t="shared" ca="1" si="132"/>
        <v>21</v>
      </c>
      <c r="H1347" s="17">
        <f t="shared" ca="1" si="133"/>
        <v>-7</v>
      </c>
      <c r="I1347" s="18">
        <f t="shared" ca="1" si="134"/>
        <v>-2</v>
      </c>
      <c r="J1347" s="19">
        <f t="shared" ca="1" si="135"/>
        <v>20</v>
      </c>
      <c r="K1347" s="17" t="s">
        <v>40</v>
      </c>
      <c r="L1347" s="20">
        <v>82</v>
      </c>
      <c r="M1347" s="26" t="s">
        <v>44</v>
      </c>
      <c r="N1347">
        <v>284</v>
      </c>
    </row>
    <row r="1348" spans="1:14">
      <c r="A1348" s="25">
        <f t="shared" si="130"/>
        <v>517</v>
      </c>
      <c r="B1348" s="67" t="s">
        <v>11</v>
      </c>
      <c r="C1348" s="67" t="s">
        <v>754</v>
      </c>
      <c r="D1348" s="67" t="s">
        <v>682</v>
      </c>
      <c r="E1348" s="22">
        <f t="shared" ca="1" si="131"/>
        <v>40951</v>
      </c>
      <c r="F1348" s="11">
        <f>DATE(65,8,1)</f>
        <v>23955</v>
      </c>
      <c r="G1348" s="12">
        <f t="shared" ca="1" si="132"/>
        <v>47</v>
      </c>
      <c r="H1348" s="12">
        <f t="shared" ca="1" si="133"/>
        <v>-6</v>
      </c>
      <c r="I1348" s="13">
        <f t="shared" ca="1" si="134"/>
        <v>11</v>
      </c>
      <c r="J1348" s="14">
        <f t="shared" ca="1" si="135"/>
        <v>46</v>
      </c>
      <c r="K1348" s="12" t="s">
        <v>40</v>
      </c>
      <c r="L1348" s="15">
        <v>82</v>
      </c>
      <c r="M1348" s="25" t="s">
        <v>40</v>
      </c>
      <c r="N1348">
        <v>285</v>
      </c>
    </row>
    <row r="1349" spans="1:14">
      <c r="A1349" s="25">
        <f t="shared" si="130"/>
        <v>518</v>
      </c>
      <c r="B1349" s="67" t="s">
        <v>11</v>
      </c>
      <c r="C1349" s="67" t="s">
        <v>685</v>
      </c>
      <c r="D1349" s="67" t="s">
        <v>754</v>
      </c>
      <c r="E1349" s="22">
        <f t="shared" ca="1" si="131"/>
        <v>40951</v>
      </c>
      <c r="F1349" s="11">
        <f>DATE(89,5,31)</f>
        <v>32659</v>
      </c>
      <c r="G1349" s="12">
        <f t="shared" ca="1" si="132"/>
        <v>23</v>
      </c>
      <c r="H1349" s="12">
        <f t="shared" ca="1" si="133"/>
        <v>-3</v>
      </c>
      <c r="I1349" s="13">
        <f t="shared" ca="1" si="134"/>
        <v>-19</v>
      </c>
      <c r="J1349" s="14">
        <f t="shared" ca="1" si="135"/>
        <v>22</v>
      </c>
      <c r="K1349" s="12" t="s">
        <v>40</v>
      </c>
      <c r="L1349" s="15">
        <v>82</v>
      </c>
      <c r="M1349" s="25" t="s">
        <v>44</v>
      </c>
      <c r="N1349">
        <v>285</v>
      </c>
    </row>
    <row r="1350" spans="1:14" ht="15.75" thickBot="1">
      <c r="A1350" s="26">
        <f t="shared" si="130"/>
        <v>519</v>
      </c>
      <c r="B1350" s="67" t="s">
        <v>11</v>
      </c>
      <c r="C1350" s="68" t="s">
        <v>592</v>
      </c>
      <c r="D1350" s="68" t="s">
        <v>756</v>
      </c>
      <c r="E1350" s="23">
        <f t="shared" ca="1" si="131"/>
        <v>40951</v>
      </c>
      <c r="F1350" s="16">
        <f>DATE(75,1,3)</f>
        <v>27397</v>
      </c>
      <c r="G1350" s="17">
        <f t="shared" ca="1" si="132"/>
        <v>37</v>
      </c>
      <c r="H1350" s="17">
        <f t="shared" ca="1" si="133"/>
        <v>1</v>
      </c>
      <c r="I1350" s="18">
        <f t="shared" ca="1" si="134"/>
        <v>9</v>
      </c>
      <c r="J1350" s="19">
        <f t="shared" ca="1" si="135"/>
        <v>37</v>
      </c>
      <c r="K1350" s="17" t="s">
        <v>40</v>
      </c>
      <c r="L1350" s="20">
        <v>82</v>
      </c>
      <c r="M1350" s="26" t="s">
        <v>40</v>
      </c>
      <c r="N1350">
        <v>285</v>
      </c>
    </row>
    <row r="1351" spans="1:14">
      <c r="A1351" s="25">
        <f t="shared" si="130"/>
        <v>520</v>
      </c>
      <c r="B1351" s="67" t="s">
        <v>11</v>
      </c>
      <c r="C1351" s="67" t="s">
        <v>652</v>
      </c>
      <c r="D1351" s="67" t="s">
        <v>756</v>
      </c>
      <c r="E1351" s="22">
        <f t="shared" ca="1" si="131"/>
        <v>40951</v>
      </c>
      <c r="F1351" s="11">
        <f>DATE(77,4,3)</f>
        <v>28218</v>
      </c>
      <c r="G1351" s="12">
        <f t="shared" ca="1" si="132"/>
        <v>35</v>
      </c>
      <c r="H1351" s="12">
        <f t="shared" ca="1" si="133"/>
        <v>-2</v>
      </c>
      <c r="I1351" s="13">
        <f t="shared" ca="1" si="134"/>
        <v>9</v>
      </c>
      <c r="J1351" s="14">
        <f t="shared" ca="1" si="135"/>
        <v>34</v>
      </c>
      <c r="K1351" s="12" t="s">
        <v>40</v>
      </c>
      <c r="L1351" s="15">
        <v>82</v>
      </c>
      <c r="M1351" s="25" t="s">
        <v>44</v>
      </c>
      <c r="N1351">
        <v>286</v>
      </c>
    </row>
    <row r="1352" spans="1:14">
      <c r="A1352" s="25">
        <f t="shared" si="130"/>
        <v>521</v>
      </c>
      <c r="B1352" s="67" t="s">
        <v>11</v>
      </c>
      <c r="C1352" s="67" t="s">
        <v>757</v>
      </c>
      <c r="D1352" s="67" t="s">
        <v>758</v>
      </c>
      <c r="E1352" s="22">
        <f t="shared" ca="1" si="131"/>
        <v>40951</v>
      </c>
      <c r="F1352" s="32"/>
      <c r="G1352" s="12">
        <f t="shared" ca="1" si="132"/>
        <v>112</v>
      </c>
      <c r="H1352" s="12">
        <f t="shared" ca="1" si="133"/>
        <v>1</v>
      </c>
      <c r="I1352" s="13">
        <f t="shared" ca="1" si="134"/>
        <v>12</v>
      </c>
      <c r="J1352" s="14">
        <f t="shared" ca="1" si="135"/>
        <v>112</v>
      </c>
      <c r="K1352" s="12" t="s">
        <v>40</v>
      </c>
      <c r="L1352" s="15">
        <v>83</v>
      </c>
      <c r="M1352" s="25" t="s">
        <v>40</v>
      </c>
      <c r="N1352">
        <v>286</v>
      </c>
    </row>
    <row r="1353" spans="1:14">
      <c r="A1353" s="25">
        <f t="shared" si="130"/>
        <v>522</v>
      </c>
      <c r="B1353" s="67" t="s">
        <v>11</v>
      </c>
      <c r="C1353" s="67" t="s">
        <v>757</v>
      </c>
      <c r="D1353" s="67" t="s">
        <v>134</v>
      </c>
      <c r="E1353" s="22">
        <f t="shared" ca="1" si="131"/>
        <v>40951</v>
      </c>
      <c r="F1353" s="11">
        <f>DATE(35,12,24)</f>
        <v>13142</v>
      </c>
      <c r="G1353" s="12">
        <f t="shared" ca="1" si="132"/>
        <v>77</v>
      </c>
      <c r="H1353" s="12">
        <f t="shared" ca="1" si="133"/>
        <v>-10</v>
      </c>
      <c r="I1353" s="13">
        <f t="shared" ca="1" si="134"/>
        <v>-12</v>
      </c>
      <c r="J1353" s="14">
        <f t="shared" ca="1" si="135"/>
        <v>76</v>
      </c>
      <c r="K1353" s="12" t="s">
        <v>40</v>
      </c>
      <c r="L1353" s="15">
        <v>83</v>
      </c>
      <c r="M1353" s="25" t="s">
        <v>40</v>
      </c>
      <c r="N1353">
        <v>286</v>
      </c>
    </row>
    <row r="1354" spans="1:14">
      <c r="A1354" s="25">
        <f t="shared" si="130"/>
        <v>523</v>
      </c>
      <c r="B1354" s="67" t="s">
        <v>11</v>
      </c>
      <c r="C1354" s="67" t="s">
        <v>592</v>
      </c>
      <c r="D1354" s="67" t="s">
        <v>757</v>
      </c>
      <c r="E1354" s="22">
        <f t="shared" ca="1" si="131"/>
        <v>40951</v>
      </c>
      <c r="F1354" s="11">
        <f>DATE(63,10,16)</f>
        <v>23300</v>
      </c>
      <c r="G1354" s="12">
        <f t="shared" ca="1" si="132"/>
        <v>49</v>
      </c>
      <c r="H1354" s="12">
        <f t="shared" ca="1" si="133"/>
        <v>-8</v>
      </c>
      <c r="I1354" s="13">
        <f t="shared" ca="1" si="134"/>
        <v>-4</v>
      </c>
      <c r="J1354" s="14">
        <f t="shared" ca="1" si="135"/>
        <v>48</v>
      </c>
      <c r="K1354" s="12" t="s">
        <v>40</v>
      </c>
      <c r="L1354" s="15">
        <v>83</v>
      </c>
      <c r="M1354" s="25" t="s">
        <v>40</v>
      </c>
      <c r="N1354">
        <v>286</v>
      </c>
    </row>
    <row r="1355" spans="1:14" ht="15.75" thickBot="1">
      <c r="A1355" s="26">
        <f t="shared" si="130"/>
        <v>524</v>
      </c>
      <c r="B1355" s="67" t="s">
        <v>11</v>
      </c>
      <c r="C1355" s="68" t="s">
        <v>759</v>
      </c>
      <c r="D1355" s="68" t="s">
        <v>592</v>
      </c>
      <c r="E1355" s="23">
        <f t="shared" ca="1" si="131"/>
        <v>40951</v>
      </c>
      <c r="F1355" s="16">
        <f>DATE(2001,10,25)</f>
        <v>37189</v>
      </c>
      <c r="G1355" s="17">
        <f t="shared" ca="1" si="132"/>
        <v>11</v>
      </c>
      <c r="H1355" s="17">
        <f t="shared" ca="1" si="133"/>
        <v>-8</v>
      </c>
      <c r="I1355" s="18">
        <f t="shared" ca="1" si="134"/>
        <v>-13</v>
      </c>
      <c r="J1355" s="19">
        <f t="shared" ca="1" si="135"/>
        <v>10</v>
      </c>
      <c r="K1355" s="17" t="s">
        <v>40</v>
      </c>
      <c r="L1355" s="20">
        <v>83</v>
      </c>
      <c r="M1355" s="26" t="s">
        <v>44</v>
      </c>
      <c r="N1355">
        <v>286</v>
      </c>
    </row>
    <row r="1356" spans="1:14">
      <c r="A1356" s="25">
        <f t="shared" si="130"/>
        <v>525</v>
      </c>
      <c r="B1356" s="67" t="s">
        <v>11</v>
      </c>
      <c r="C1356" s="67" t="s">
        <v>416</v>
      </c>
      <c r="D1356" s="67" t="s">
        <v>235</v>
      </c>
      <c r="E1356" s="22">
        <f t="shared" ca="1" si="131"/>
        <v>40951</v>
      </c>
      <c r="F1356" s="11">
        <f>DATE(66,6,1)</f>
        <v>24259</v>
      </c>
      <c r="G1356" s="12">
        <f t="shared" ca="1" si="132"/>
        <v>46</v>
      </c>
      <c r="H1356" s="12">
        <f t="shared" ca="1" si="133"/>
        <v>-4</v>
      </c>
      <c r="I1356" s="13">
        <f t="shared" ca="1" si="134"/>
        <v>11</v>
      </c>
      <c r="J1356" s="14">
        <f t="shared" ca="1" si="135"/>
        <v>45</v>
      </c>
      <c r="K1356" s="12" t="s">
        <v>40</v>
      </c>
      <c r="L1356" s="15">
        <v>83</v>
      </c>
      <c r="M1356" s="25" t="s">
        <v>40</v>
      </c>
      <c r="N1356">
        <v>287</v>
      </c>
    </row>
    <row r="1357" spans="1:14">
      <c r="A1357" s="25">
        <f t="shared" si="130"/>
        <v>526</v>
      </c>
      <c r="B1357" s="67" t="s">
        <v>11</v>
      </c>
      <c r="C1357" s="67" t="s">
        <v>571</v>
      </c>
      <c r="D1357" s="67" t="s">
        <v>416</v>
      </c>
      <c r="E1357" s="22">
        <f t="shared" ca="1" si="131"/>
        <v>40951</v>
      </c>
      <c r="F1357" s="11">
        <f>DATE(95,2,23)</f>
        <v>34753</v>
      </c>
      <c r="G1357" s="12">
        <f t="shared" ca="1" si="132"/>
        <v>17</v>
      </c>
      <c r="H1357" s="12">
        <f t="shared" ca="1" si="133"/>
        <v>0</v>
      </c>
      <c r="I1357" s="13">
        <f t="shared" ca="1" si="134"/>
        <v>-11</v>
      </c>
      <c r="J1357" s="14">
        <f t="shared" ca="1" si="135"/>
        <v>16</v>
      </c>
      <c r="K1357" s="12" t="s">
        <v>40</v>
      </c>
      <c r="L1357" s="15">
        <v>83</v>
      </c>
      <c r="M1357" s="25" t="s">
        <v>44</v>
      </c>
      <c r="N1357">
        <v>287</v>
      </c>
    </row>
    <row r="1358" spans="1:14">
      <c r="A1358" s="25">
        <f t="shared" si="130"/>
        <v>527</v>
      </c>
      <c r="B1358" s="67" t="s">
        <v>11</v>
      </c>
      <c r="C1358" s="67" t="s">
        <v>230</v>
      </c>
      <c r="D1358" s="67" t="s">
        <v>198</v>
      </c>
      <c r="E1358" s="22">
        <f t="shared" ca="1" si="131"/>
        <v>40951</v>
      </c>
      <c r="F1358" s="11">
        <f>DATE(29,2,19)</f>
        <v>10643</v>
      </c>
      <c r="G1358" s="12">
        <f t="shared" ca="1" si="132"/>
        <v>83</v>
      </c>
      <c r="H1358" s="12">
        <f t="shared" ca="1" si="133"/>
        <v>0</v>
      </c>
      <c r="I1358" s="13">
        <f t="shared" ca="1" si="134"/>
        <v>-7</v>
      </c>
      <c r="J1358" s="14">
        <f t="shared" ca="1" si="135"/>
        <v>82</v>
      </c>
      <c r="K1358" s="12" t="s">
        <v>40</v>
      </c>
      <c r="L1358" s="15">
        <v>84</v>
      </c>
      <c r="M1358" s="25" t="s">
        <v>40</v>
      </c>
      <c r="N1358">
        <v>287</v>
      </c>
    </row>
    <row r="1359" spans="1:14">
      <c r="A1359" s="25">
        <f t="shared" si="130"/>
        <v>528</v>
      </c>
      <c r="B1359" s="67" t="s">
        <v>11</v>
      </c>
      <c r="C1359" s="67" t="s">
        <v>763</v>
      </c>
      <c r="D1359" s="67" t="s">
        <v>230</v>
      </c>
      <c r="E1359" s="22">
        <f t="shared" ca="1" si="131"/>
        <v>40951</v>
      </c>
      <c r="F1359" s="11">
        <f>DATE(51,8,26)</f>
        <v>18866</v>
      </c>
      <c r="G1359" s="12">
        <f t="shared" ca="1" si="132"/>
        <v>61</v>
      </c>
      <c r="H1359" s="12">
        <f t="shared" ca="1" si="133"/>
        <v>-6</v>
      </c>
      <c r="I1359" s="13">
        <f t="shared" ca="1" si="134"/>
        <v>-14</v>
      </c>
      <c r="J1359" s="14">
        <f t="shared" ca="1" si="135"/>
        <v>60</v>
      </c>
      <c r="K1359" s="12" t="s">
        <v>40</v>
      </c>
      <c r="L1359" s="15">
        <v>84</v>
      </c>
      <c r="M1359" s="25" t="s">
        <v>40</v>
      </c>
      <c r="N1359">
        <v>287</v>
      </c>
    </row>
    <row r="1360" spans="1:14" ht="15.75" thickBot="1">
      <c r="A1360" s="26">
        <f t="shared" si="130"/>
        <v>529</v>
      </c>
      <c r="B1360" s="67" t="s">
        <v>11</v>
      </c>
      <c r="C1360" s="68" t="s">
        <v>669</v>
      </c>
      <c r="D1360" s="68" t="s">
        <v>763</v>
      </c>
      <c r="E1360" s="23">
        <f t="shared" ca="1" si="131"/>
        <v>40951</v>
      </c>
      <c r="F1360" s="16">
        <f>DATE(54,11,18)</f>
        <v>20046</v>
      </c>
      <c r="G1360" s="17">
        <f t="shared" ca="1" si="132"/>
        <v>58</v>
      </c>
      <c r="H1360" s="17">
        <f t="shared" ca="1" si="133"/>
        <v>-9</v>
      </c>
      <c r="I1360" s="18">
        <f t="shared" ca="1" si="134"/>
        <v>-6</v>
      </c>
      <c r="J1360" s="19">
        <f t="shared" ca="1" si="135"/>
        <v>57</v>
      </c>
      <c r="K1360" s="17" t="s">
        <v>40</v>
      </c>
      <c r="L1360" s="20">
        <v>84</v>
      </c>
      <c r="M1360" s="26" t="s">
        <v>40</v>
      </c>
      <c r="N1360">
        <v>287</v>
      </c>
    </row>
    <row r="1361" spans="1:14">
      <c r="A1361" s="25">
        <f t="shared" si="130"/>
        <v>530</v>
      </c>
      <c r="B1361" s="67" t="s">
        <v>11</v>
      </c>
      <c r="C1361" s="67" t="s">
        <v>627</v>
      </c>
      <c r="D1361" s="67" t="s">
        <v>763</v>
      </c>
      <c r="E1361" s="22">
        <f t="shared" ca="1" si="131"/>
        <v>40951</v>
      </c>
      <c r="F1361" s="11">
        <f>DATE(77,2,7)</f>
        <v>28163</v>
      </c>
      <c r="G1361" s="12">
        <f t="shared" ca="1" si="132"/>
        <v>35</v>
      </c>
      <c r="H1361" s="12">
        <f t="shared" ca="1" si="133"/>
        <v>0</v>
      </c>
      <c r="I1361" s="13">
        <f t="shared" ca="1" si="134"/>
        <v>5</v>
      </c>
      <c r="J1361" s="14">
        <f t="shared" ca="1" si="135"/>
        <v>35</v>
      </c>
      <c r="K1361" s="12" t="s">
        <v>40</v>
      </c>
      <c r="L1361" s="15">
        <v>84</v>
      </c>
      <c r="M1361" s="25" t="s">
        <v>40</v>
      </c>
      <c r="N1361">
        <v>288</v>
      </c>
    </row>
    <row r="1362" spans="1:14">
      <c r="A1362" s="25">
        <f t="shared" si="130"/>
        <v>531</v>
      </c>
      <c r="B1362" s="67" t="s">
        <v>11</v>
      </c>
      <c r="C1362" s="67" t="s">
        <v>765</v>
      </c>
      <c r="D1362" s="67" t="s">
        <v>627</v>
      </c>
      <c r="E1362" s="22">
        <f t="shared" ca="1" si="131"/>
        <v>40951</v>
      </c>
      <c r="F1362" s="11">
        <f>DATE(2004,11,18)</f>
        <v>38309</v>
      </c>
      <c r="G1362" s="12">
        <f t="shared" ca="1" si="132"/>
        <v>8</v>
      </c>
      <c r="H1362" s="12">
        <f t="shared" ca="1" si="133"/>
        <v>-9</v>
      </c>
      <c r="I1362" s="13">
        <f t="shared" ca="1" si="134"/>
        <v>-6</v>
      </c>
      <c r="J1362" s="14">
        <f t="shared" ca="1" si="135"/>
        <v>7</v>
      </c>
      <c r="K1362" s="12" t="s">
        <v>40</v>
      </c>
      <c r="L1362" s="15">
        <v>84</v>
      </c>
      <c r="M1362" s="25" t="s">
        <v>44</v>
      </c>
      <c r="N1362">
        <v>288</v>
      </c>
    </row>
    <row r="1363" spans="1:14">
      <c r="A1363" s="25">
        <f t="shared" si="130"/>
        <v>532</v>
      </c>
      <c r="B1363" s="67" t="s">
        <v>11</v>
      </c>
      <c r="C1363" s="67" t="s">
        <v>284</v>
      </c>
      <c r="D1363" s="67" t="s">
        <v>230</v>
      </c>
      <c r="E1363" s="22">
        <f t="shared" ca="1" si="131"/>
        <v>40951</v>
      </c>
      <c r="F1363" s="11">
        <f>DATE(53,7,18)</f>
        <v>19558</v>
      </c>
      <c r="G1363" s="12">
        <f t="shared" ca="1" si="132"/>
        <v>59</v>
      </c>
      <c r="H1363" s="12">
        <f t="shared" ca="1" si="133"/>
        <v>-5</v>
      </c>
      <c r="I1363" s="13">
        <f t="shared" ca="1" si="134"/>
        <v>-6</v>
      </c>
      <c r="J1363" s="14">
        <f t="shared" ca="1" si="135"/>
        <v>58</v>
      </c>
      <c r="K1363" s="12" t="s">
        <v>40</v>
      </c>
      <c r="L1363" s="15">
        <v>84</v>
      </c>
      <c r="M1363" s="25" t="s">
        <v>40</v>
      </c>
      <c r="N1363">
        <v>288</v>
      </c>
    </row>
    <row r="1364" spans="1:14">
      <c r="A1364" s="25">
        <f t="shared" si="130"/>
        <v>533</v>
      </c>
      <c r="B1364" s="67" t="s">
        <v>11</v>
      </c>
      <c r="C1364" s="67" t="s">
        <v>766</v>
      </c>
      <c r="D1364" s="67" t="s">
        <v>284</v>
      </c>
      <c r="E1364" s="22">
        <f t="shared" ca="1" si="131"/>
        <v>40951</v>
      </c>
      <c r="F1364" s="11">
        <f>DATE(81,12,2)</f>
        <v>29922</v>
      </c>
      <c r="G1364" s="12">
        <f t="shared" ca="1" si="132"/>
        <v>31</v>
      </c>
      <c r="H1364" s="12">
        <f t="shared" ca="1" si="133"/>
        <v>-10</v>
      </c>
      <c r="I1364" s="13">
        <f t="shared" ca="1" si="134"/>
        <v>10</v>
      </c>
      <c r="J1364" s="14">
        <f t="shared" ca="1" si="135"/>
        <v>30</v>
      </c>
      <c r="K1364" s="12" t="s">
        <v>40</v>
      </c>
      <c r="L1364" s="15">
        <v>84</v>
      </c>
      <c r="M1364" s="25" t="s">
        <v>44</v>
      </c>
      <c r="N1364">
        <v>288</v>
      </c>
    </row>
    <row r="1365" spans="1:14" ht="15.75" thickBot="1">
      <c r="A1365" s="26">
        <f t="shared" si="130"/>
        <v>534</v>
      </c>
      <c r="B1365" s="67" t="s">
        <v>11</v>
      </c>
      <c r="C1365" s="68" t="s">
        <v>767</v>
      </c>
      <c r="D1365" s="68" t="s">
        <v>230</v>
      </c>
      <c r="E1365" s="23">
        <f t="shared" ca="1" si="131"/>
        <v>40951</v>
      </c>
      <c r="F1365" s="16">
        <f>DATE(55,3,13)</f>
        <v>20161</v>
      </c>
      <c r="G1365" s="17">
        <f t="shared" ca="1" si="132"/>
        <v>57</v>
      </c>
      <c r="H1365" s="17">
        <f t="shared" ca="1" si="133"/>
        <v>-1</v>
      </c>
      <c r="I1365" s="18">
        <f t="shared" ca="1" si="134"/>
        <v>-1</v>
      </c>
      <c r="J1365" s="19">
        <f t="shared" ca="1" si="135"/>
        <v>56</v>
      </c>
      <c r="K1365" s="17" t="s">
        <v>40</v>
      </c>
      <c r="L1365" s="20">
        <v>84</v>
      </c>
      <c r="M1365" s="26" t="s">
        <v>40</v>
      </c>
      <c r="N1365">
        <v>288</v>
      </c>
    </row>
    <row r="1366" spans="1:14">
      <c r="A1366" s="25">
        <f t="shared" si="130"/>
        <v>535</v>
      </c>
      <c r="B1366" s="67" t="s">
        <v>11</v>
      </c>
      <c r="C1366" s="67" t="s">
        <v>769</v>
      </c>
      <c r="D1366" s="67" t="s">
        <v>767</v>
      </c>
      <c r="E1366" s="22">
        <f t="shared" ca="1" si="131"/>
        <v>40951</v>
      </c>
      <c r="F1366" s="11">
        <f>DATE(81,11,25)</f>
        <v>29915</v>
      </c>
      <c r="G1366" s="12">
        <f t="shared" ca="1" si="132"/>
        <v>31</v>
      </c>
      <c r="H1366" s="12">
        <f t="shared" ca="1" si="133"/>
        <v>-9</v>
      </c>
      <c r="I1366" s="13">
        <f t="shared" ca="1" si="134"/>
        <v>-13</v>
      </c>
      <c r="J1366" s="14">
        <f t="shared" ca="1" si="135"/>
        <v>30</v>
      </c>
      <c r="K1366" s="12" t="s">
        <v>40</v>
      </c>
      <c r="L1366" s="15">
        <v>84</v>
      </c>
      <c r="M1366" s="25" t="s">
        <v>40</v>
      </c>
      <c r="N1366">
        <v>289</v>
      </c>
    </row>
    <row r="1367" spans="1:14">
      <c r="A1367" s="25">
        <f t="shared" si="130"/>
        <v>536</v>
      </c>
      <c r="B1367" s="67" t="s">
        <v>11</v>
      </c>
      <c r="C1367" s="67" t="s">
        <v>771</v>
      </c>
      <c r="D1367" s="67" t="s">
        <v>767</v>
      </c>
      <c r="E1367" s="22">
        <f t="shared" ca="1" si="131"/>
        <v>40951</v>
      </c>
      <c r="F1367" s="11">
        <f>DATE(87,11,28)</f>
        <v>32109</v>
      </c>
      <c r="G1367" s="12">
        <f t="shared" ca="1" si="132"/>
        <v>25</v>
      </c>
      <c r="H1367" s="12">
        <f t="shared" ca="1" si="133"/>
        <v>-9</v>
      </c>
      <c r="I1367" s="13">
        <f t="shared" ca="1" si="134"/>
        <v>-16</v>
      </c>
      <c r="J1367" s="14">
        <f t="shared" ca="1" si="135"/>
        <v>24</v>
      </c>
      <c r="K1367" s="12" t="s">
        <v>40</v>
      </c>
      <c r="L1367" s="15">
        <v>84</v>
      </c>
      <c r="M1367" s="25" t="s">
        <v>44</v>
      </c>
      <c r="N1367">
        <v>289</v>
      </c>
    </row>
    <row r="1368" spans="1:14">
      <c r="A1368" s="25">
        <f t="shared" si="130"/>
        <v>537</v>
      </c>
      <c r="B1368" s="67" t="s">
        <v>11</v>
      </c>
      <c r="C1368" s="67" t="s">
        <v>96</v>
      </c>
      <c r="D1368" s="67" t="s">
        <v>358</v>
      </c>
      <c r="E1368" s="22">
        <f t="shared" ca="1" si="131"/>
        <v>40951</v>
      </c>
      <c r="F1368" s="11">
        <f>DATE(63,11,17)</f>
        <v>23332</v>
      </c>
      <c r="G1368" s="12">
        <f t="shared" ca="1" si="132"/>
        <v>49</v>
      </c>
      <c r="H1368" s="12">
        <f t="shared" ca="1" si="133"/>
        <v>-9</v>
      </c>
      <c r="I1368" s="13">
        <f t="shared" ca="1" si="134"/>
        <v>-5</v>
      </c>
      <c r="J1368" s="14">
        <f t="shared" ca="1" si="135"/>
        <v>48</v>
      </c>
      <c r="K1368" s="12" t="s">
        <v>40</v>
      </c>
      <c r="L1368" s="15">
        <v>84</v>
      </c>
      <c r="M1368" s="25" t="s">
        <v>40</v>
      </c>
      <c r="N1368">
        <v>289</v>
      </c>
    </row>
    <row r="1369" spans="1:14" ht="15.75" thickBot="1">
      <c r="A1369" s="26">
        <f t="shared" si="130"/>
        <v>538</v>
      </c>
      <c r="B1369" s="67" t="s">
        <v>11</v>
      </c>
      <c r="C1369" s="68" t="s">
        <v>540</v>
      </c>
      <c r="D1369" s="68" t="s">
        <v>96</v>
      </c>
      <c r="E1369" s="23">
        <f t="shared" ca="1" si="131"/>
        <v>40951</v>
      </c>
      <c r="F1369" s="16">
        <f>DATE(89,8,20)</f>
        <v>32740</v>
      </c>
      <c r="G1369" s="17">
        <f t="shared" ca="1" si="132"/>
        <v>23</v>
      </c>
      <c r="H1369" s="17">
        <f t="shared" ca="1" si="133"/>
        <v>-6</v>
      </c>
      <c r="I1369" s="18">
        <f t="shared" ca="1" si="134"/>
        <v>-8</v>
      </c>
      <c r="J1369" s="19">
        <f t="shared" ca="1" si="135"/>
        <v>22</v>
      </c>
      <c r="K1369" s="17" t="s">
        <v>40</v>
      </c>
      <c r="L1369" s="20">
        <v>84</v>
      </c>
      <c r="M1369" s="26" t="s">
        <v>44</v>
      </c>
      <c r="N1369">
        <v>289</v>
      </c>
    </row>
    <row r="1370" spans="1:14">
      <c r="A1370" s="25">
        <f t="shared" si="130"/>
        <v>539</v>
      </c>
      <c r="B1370" s="67" t="s">
        <v>11</v>
      </c>
      <c r="C1370" s="67" t="s">
        <v>299</v>
      </c>
      <c r="D1370" s="67" t="s">
        <v>96</v>
      </c>
      <c r="E1370" s="22">
        <f t="shared" ca="1" si="131"/>
        <v>40951</v>
      </c>
      <c r="F1370" s="11">
        <f>DATE(95,6,24)</f>
        <v>34874</v>
      </c>
      <c r="G1370" s="12">
        <f t="shared" ca="1" si="132"/>
        <v>17</v>
      </c>
      <c r="H1370" s="12">
        <f t="shared" ca="1" si="133"/>
        <v>-4</v>
      </c>
      <c r="I1370" s="13">
        <f t="shared" ca="1" si="134"/>
        <v>-12</v>
      </c>
      <c r="J1370" s="14">
        <f t="shared" ca="1" si="135"/>
        <v>16</v>
      </c>
      <c r="K1370" s="12" t="s">
        <v>40</v>
      </c>
      <c r="L1370" s="15">
        <v>84</v>
      </c>
      <c r="M1370" s="25" t="s">
        <v>44</v>
      </c>
      <c r="N1370">
        <v>290</v>
      </c>
    </row>
    <row r="1371" spans="1:14">
      <c r="A1371" s="25">
        <f t="shared" si="130"/>
        <v>540</v>
      </c>
      <c r="B1371" s="67" t="s">
        <v>11</v>
      </c>
      <c r="C1371" s="67" t="s">
        <v>237</v>
      </c>
      <c r="D1371" s="67" t="s">
        <v>198</v>
      </c>
      <c r="E1371" s="22">
        <f t="shared" ca="1" si="131"/>
        <v>40951</v>
      </c>
      <c r="F1371" s="11">
        <f>DATE(33,3,16)</f>
        <v>12129</v>
      </c>
      <c r="G1371" s="12">
        <f t="shared" ca="1" si="132"/>
        <v>79</v>
      </c>
      <c r="H1371" s="12">
        <f t="shared" ca="1" si="133"/>
        <v>-1</v>
      </c>
      <c r="I1371" s="13">
        <f t="shared" ca="1" si="134"/>
        <v>-4</v>
      </c>
      <c r="J1371" s="14">
        <f t="shared" ca="1" si="135"/>
        <v>78</v>
      </c>
      <c r="K1371" s="12" t="s">
        <v>40</v>
      </c>
      <c r="L1371" s="15">
        <v>85</v>
      </c>
      <c r="M1371" s="25" t="s">
        <v>40</v>
      </c>
      <c r="N1371">
        <v>290</v>
      </c>
    </row>
    <row r="1372" spans="1:14">
      <c r="A1372" s="25">
        <f t="shared" si="130"/>
        <v>541</v>
      </c>
      <c r="B1372" s="67" t="s">
        <v>11</v>
      </c>
      <c r="C1372" s="67" t="s">
        <v>773</v>
      </c>
      <c r="D1372" s="67" t="s">
        <v>237</v>
      </c>
      <c r="E1372" s="22">
        <f t="shared" ca="1" si="131"/>
        <v>40951</v>
      </c>
      <c r="F1372" s="11">
        <f>DATE(57,11,30)</f>
        <v>21154</v>
      </c>
      <c r="G1372" s="12">
        <f t="shared" ca="1" si="132"/>
        <v>55</v>
      </c>
      <c r="H1372" s="12">
        <f t="shared" ca="1" si="133"/>
        <v>-9</v>
      </c>
      <c r="I1372" s="13">
        <f t="shared" ca="1" si="134"/>
        <v>-18</v>
      </c>
      <c r="J1372" s="14">
        <f t="shared" ca="1" si="135"/>
        <v>54</v>
      </c>
      <c r="K1372" s="12" t="s">
        <v>40</v>
      </c>
      <c r="L1372" s="15">
        <v>85</v>
      </c>
      <c r="M1372" s="25" t="s">
        <v>40</v>
      </c>
      <c r="N1372">
        <v>290</v>
      </c>
    </row>
    <row r="1373" spans="1:14">
      <c r="A1373" s="25">
        <f t="shared" si="130"/>
        <v>542</v>
      </c>
      <c r="B1373" s="67" t="s">
        <v>11</v>
      </c>
      <c r="C1373" s="67" t="s">
        <v>648</v>
      </c>
      <c r="D1373" s="67" t="s">
        <v>682</v>
      </c>
      <c r="E1373" s="22">
        <f t="shared" ca="1" si="131"/>
        <v>40951</v>
      </c>
      <c r="F1373" s="11">
        <f>DATE(49,9,6)</f>
        <v>18147</v>
      </c>
      <c r="G1373" s="12">
        <f t="shared" ca="1" si="132"/>
        <v>63</v>
      </c>
      <c r="H1373" s="12">
        <f t="shared" ca="1" si="133"/>
        <v>-7</v>
      </c>
      <c r="I1373" s="13">
        <f t="shared" ca="1" si="134"/>
        <v>6</v>
      </c>
      <c r="J1373" s="14">
        <f t="shared" ca="1" si="135"/>
        <v>62</v>
      </c>
      <c r="K1373" s="12" t="s">
        <v>40</v>
      </c>
      <c r="L1373" s="15">
        <v>85</v>
      </c>
      <c r="M1373" s="25" t="s">
        <v>40</v>
      </c>
      <c r="N1373">
        <v>290</v>
      </c>
    </row>
    <row r="1374" spans="1:14" ht="15.75" thickBot="1">
      <c r="A1374" s="26">
        <f t="shared" si="130"/>
        <v>543</v>
      </c>
      <c r="B1374" s="67" t="s">
        <v>11</v>
      </c>
      <c r="C1374" s="68" t="s">
        <v>452</v>
      </c>
      <c r="D1374" s="68" t="s">
        <v>648</v>
      </c>
      <c r="E1374" s="23">
        <f t="shared" ca="1" si="131"/>
        <v>40951</v>
      </c>
      <c r="F1374" s="16">
        <f>DATE(77,3,26)</f>
        <v>28210</v>
      </c>
      <c r="G1374" s="17">
        <f t="shared" ca="1" si="132"/>
        <v>35</v>
      </c>
      <c r="H1374" s="17">
        <f t="shared" ca="1" si="133"/>
        <v>-1</v>
      </c>
      <c r="I1374" s="18">
        <f t="shared" ca="1" si="134"/>
        <v>-14</v>
      </c>
      <c r="J1374" s="19">
        <f t="shared" ca="1" si="135"/>
        <v>34</v>
      </c>
      <c r="K1374" s="17" t="s">
        <v>40</v>
      </c>
      <c r="L1374" s="20">
        <v>85</v>
      </c>
      <c r="M1374" s="26" t="s">
        <v>40</v>
      </c>
      <c r="N1374">
        <v>290</v>
      </c>
    </row>
    <row r="1375" spans="1:14">
      <c r="A1375" s="25">
        <f t="shared" si="130"/>
        <v>544</v>
      </c>
      <c r="B1375" s="67" t="s">
        <v>11</v>
      </c>
      <c r="C1375" s="67" t="s">
        <v>777</v>
      </c>
      <c r="D1375" s="67" t="s">
        <v>452</v>
      </c>
      <c r="E1375" s="22">
        <f t="shared" ca="1" si="131"/>
        <v>40951</v>
      </c>
      <c r="F1375" s="11">
        <f>DATE(2005,6,14)</f>
        <v>38517</v>
      </c>
      <c r="G1375" s="12">
        <f t="shared" ca="1" si="132"/>
        <v>7</v>
      </c>
      <c r="H1375" s="12">
        <f t="shared" ca="1" si="133"/>
        <v>-4</v>
      </c>
      <c r="I1375" s="13">
        <f t="shared" ca="1" si="134"/>
        <v>-2</v>
      </c>
      <c r="J1375" s="14">
        <f t="shared" ca="1" si="135"/>
        <v>6</v>
      </c>
      <c r="K1375" s="12" t="s">
        <v>40</v>
      </c>
      <c r="L1375" s="15">
        <v>85</v>
      </c>
      <c r="M1375" s="25" t="s">
        <v>44</v>
      </c>
      <c r="N1375">
        <v>291</v>
      </c>
    </row>
    <row r="1376" spans="1:14">
      <c r="A1376" s="25">
        <f t="shared" si="130"/>
        <v>545</v>
      </c>
      <c r="B1376" s="67" t="s">
        <v>11</v>
      </c>
      <c r="C1376" s="67" t="s">
        <v>648</v>
      </c>
      <c r="D1376" s="67" t="s">
        <v>778</v>
      </c>
      <c r="E1376" s="22">
        <f t="shared" ca="1" si="131"/>
        <v>40951</v>
      </c>
      <c r="F1376" s="11">
        <f>DATE(48,2,13)</f>
        <v>17576</v>
      </c>
      <c r="G1376" s="12">
        <f t="shared" ca="1" si="132"/>
        <v>64</v>
      </c>
      <c r="H1376" s="12">
        <f t="shared" ca="1" si="133"/>
        <v>0</v>
      </c>
      <c r="I1376" s="13">
        <f t="shared" ca="1" si="134"/>
        <v>-1</v>
      </c>
      <c r="J1376" s="14">
        <f t="shared" ca="1" si="135"/>
        <v>63</v>
      </c>
      <c r="K1376" s="12" t="s">
        <v>40</v>
      </c>
      <c r="L1376" s="15">
        <v>85</v>
      </c>
      <c r="M1376" s="25" t="s">
        <v>40</v>
      </c>
      <c r="N1376">
        <v>291</v>
      </c>
    </row>
    <row r="1377" spans="1:14">
      <c r="A1377" s="25">
        <f t="shared" si="130"/>
        <v>546</v>
      </c>
      <c r="B1377" s="67" t="s">
        <v>11</v>
      </c>
      <c r="C1377" s="67" t="s">
        <v>399</v>
      </c>
      <c r="D1377" s="67" t="s">
        <v>606</v>
      </c>
      <c r="E1377" s="22">
        <f t="shared" ca="1" si="131"/>
        <v>40951</v>
      </c>
      <c r="F1377" s="11">
        <f>DATE(45,9,21)</f>
        <v>16701</v>
      </c>
      <c r="G1377" s="12">
        <f t="shared" ca="1" si="132"/>
        <v>67</v>
      </c>
      <c r="H1377" s="12">
        <f t="shared" ca="1" si="133"/>
        <v>-7</v>
      </c>
      <c r="I1377" s="13">
        <f t="shared" ca="1" si="134"/>
        <v>-9</v>
      </c>
      <c r="J1377" s="14">
        <f t="shared" ca="1" si="135"/>
        <v>66</v>
      </c>
      <c r="K1377" s="12" t="s">
        <v>40</v>
      </c>
      <c r="L1377" s="15">
        <v>86</v>
      </c>
      <c r="M1377" s="25" t="s">
        <v>40</v>
      </c>
      <c r="N1377">
        <v>291</v>
      </c>
    </row>
    <row r="1378" spans="1:14">
      <c r="A1378" s="25">
        <f t="shared" si="130"/>
        <v>547</v>
      </c>
      <c r="B1378" s="67" t="s">
        <v>11</v>
      </c>
      <c r="C1378" s="67" t="s">
        <v>784</v>
      </c>
      <c r="D1378" s="67" t="s">
        <v>399</v>
      </c>
      <c r="E1378" s="22">
        <f t="shared" ca="1" si="131"/>
        <v>40951</v>
      </c>
      <c r="F1378" s="11">
        <f>DATE(76,5,24)</f>
        <v>27904</v>
      </c>
      <c r="G1378" s="12">
        <f t="shared" ca="1" si="132"/>
        <v>36</v>
      </c>
      <c r="H1378" s="12">
        <f t="shared" ca="1" si="133"/>
        <v>-3</v>
      </c>
      <c r="I1378" s="13">
        <f t="shared" ca="1" si="134"/>
        <v>-12</v>
      </c>
      <c r="J1378" s="14">
        <f t="shared" ca="1" si="135"/>
        <v>35</v>
      </c>
      <c r="K1378" s="12" t="s">
        <v>40</v>
      </c>
      <c r="L1378" s="15">
        <v>86</v>
      </c>
      <c r="M1378" s="25" t="s">
        <v>40</v>
      </c>
      <c r="N1378">
        <v>291</v>
      </c>
    </row>
    <row r="1379" spans="1:14">
      <c r="A1379" s="25">
        <f t="shared" si="130"/>
        <v>548</v>
      </c>
      <c r="B1379" s="67" t="s">
        <v>11</v>
      </c>
      <c r="C1379" s="67" t="s">
        <v>96</v>
      </c>
      <c r="D1379" s="67" t="s">
        <v>528</v>
      </c>
      <c r="E1379" s="22">
        <f t="shared" ca="1" si="131"/>
        <v>40951</v>
      </c>
      <c r="F1379" s="11">
        <f>DATE(66,9,1)</f>
        <v>24351</v>
      </c>
      <c r="G1379" s="12">
        <f t="shared" ca="1" si="132"/>
        <v>46</v>
      </c>
      <c r="H1379" s="12">
        <f t="shared" ca="1" si="133"/>
        <v>-7</v>
      </c>
      <c r="I1379" s="13">
        <f t="shared" ca="1" si="134"/>
        <v>11</v>
      </c>
      <c r="J1379" s="14">
        <f t="shared" ca="1" si="135"/>
        <v>45</v>
      </c>
      <c r="K1379" s="12" t="s">
        <v>40</v>
      </c>
      <c r="L1379" s="15">
        <v>86</v>
      </c>
      <c r="M1379" s="25" t="s">
        <v>40</v>
      </c>
      <c r="N1379">
        <v>291</v>
      </c>
    </row>
    <row r="1380" spans="1:14" ht="15.75" thickBot="1">
      <c r="A1380" s="26">
        <f t="shared" si="130"/>
        <v>549</v>
      </c>
      <c r="B1380" s="68" t="s">
        <v>11</v>
      </c>
      <c r="C1380" s="68" t="s">
        <v>319</v>
      </c>
      <c r="D1380" s="68" t="s">
        <v>96</v>
      </c>
      <c r="E1380" s="23">
        <f t="shared" ca="1" si="131"/>
        <v>40951</v>
      </c>
      <c r="F1380" s="16">
        <f>DATE(68,10,29)</f>
        <v>25140</v>
      </c>
      <c r="G1380" s="17">
        <f t="shared" ca="1" si="132"/>
        <v>44</v>
      </c>
      <c r="H1380" s="17">
        <f t="shared" ca="1" si="133"/>
        <v>-8</v>
      </c>
      <c r="I1380" s="18">
        <f t="shared" ca="1" si="134"/>
        <v>-17</v>
      </c>
      <c r="J1380" s="19">
        <f t="shared" ca="1" si="135"/>
        <v>43</v>
      </c>
      <c r="K1380" s="17" t="s">
        <v>40</v>
      </c>
      <c r="L1380" s="20">
        <v>86</v>
      </c>
      <c r="M1380" s="26" t="s">
        <v>40</v>
      </c>
      <c r="N1380">
        <v>291</v>
      </c>
    </row>
    <row r="1381" spans="1:14">
      <c r="A1381" s="25">
        <f t="shared" si="130"/>
        <v>550</v>
      </c>
      <c r="B1381" s="67" t="s">
        <v>11</v>
      </c>
      <c r="C1381" s="67" t="s">
        <v>785</v>
      </c>
      <c r="D1381" s="67" t="s">
        <v>96</v>
      </c>
      <c r="E1381" s="22">
        <f t="shared" ca="1" si="131"/>
        <v>40951</v>
      </c>
      <c r="F1381" s="11">
        <f>DATE(92,10,10)</f>
        <v>33887</v>
      </c>
      <c r="G1381" s="12">
        <f t="shared" ca="1" si="132"/>
        <v>20</v>
      </c>
      <c r="H1381" s="12">
        <f t="shared" ca="1" si="133"/>
        <v>-8</v>
      </c>
      <c r="I1381" s="13">
        <f t="shared" ca="1" si="134"/>
        <v>2</v>
      </c>
      <c r="J1381" s="14">
        <f t="shared" ca="1" si="135"/>
        <v>19</v>
      </c>
      <c r="K1381" s="12" t="s">
        <v>40</v>
      </c>
      <c r="L1381" s="15">
        <v>86</v>
      </c>
      <c r="M1381" s="25" t="s">
        <v>44</v>
      </c>
      <c r="N1381">
        <v>292</v>
      </c>
    </row>
    <row r="1382" spans="1:14">
      <c r="A1382" s="25">
        <f t="shared" si="130"/>
        <v>551</v>
      </c>
      <c r="B1382" s="67" t="s">
        <v>11</v>
      </c>
      <c r="C1382" s="67" t="s">
        <v>571</v>
      </c>
      <c r="D1382" s="67" t="s">
        <v>96</v>
      </c>
      <c r="E1382" s="22">
        <f t="shared" ca="1" si="131"/>
        <v>40951</v>
      </c>
      <c r="F1382" s="11">
        <f>DATE(97,5,23)</f>
        <v>35573</v>
      </c>
      <c r="G1382" s="12">
        <f t="shared" ca="1" si="132"/>
        <v>15</v>
      </c>
      <c r="H1382" s="12">
        <f t="shared" ca="1" si="133"/>
        <v>-3</v>
      </c>
      <c r="I1382" s="13">
        <f t="shared" ca="1" si="134"/>
        <v>-11</v>
      </c>
      <c r="J1382" s="14">
        <f t="shared" ca="1" si="135"/>
        <v>14</v>
      </c>
      <c r="K1382" s="12" t="s">
        <v>40</v>
      </c>
      <c r="L1382" s="15">
        <v>86</v>
      </c>
      <c r="M1382" s="25" t="s">
        <v>44</v>
      </c>
      <c r="N1382">
        <v>292</v>
      </c>
    </row>
    <row r="1383" spans="1:14" ht="15.75" thickBot="1">
      <c r="A1383" s="26">
        <f t="shared" si="130"/>
        <v>552</v>
      </c>
      <c r="B1383" s="68" t="s">
        <v>11</v>
      </c>
      <c r="C1383" s="68" t="s">
        <v>588</v>
      </c>
      <c r="D1383" s="68" t="s">
        <v>528</v>
      </c>
      <c r="E1383" s="23">
        <f t="shared" ca="1" si="131"/>
        <v>40951</v>
      </c>
      <c r="F1383" s="16">
        <f>DATE(63,4,24)</f>
        <v>23125</v>
      </c>
      <c r="G1383" s="17">
        <f t="shared" ca="1" si="132"/>
        <v>49</v>
      </c>
      <c r="H1383" s="17">
        <f t="shared" ca="1" si="133"/>
        <v>-2</v>
      </c>
      <c r="I1383" s="18">
        <f t="shared" ca="1" si="134"/>
        <v>-12</v>
      </c>
      <c r="J1383" s="19">
        <f t="shared" ca="1" si="135"/>
        <v>48</v>
      </c>
      <c r="K1383" s="17" t="s">
        <v>40</v>
      </c>
      <c r="L1383" s="20">
        <v>86</v>
      </c>
      <c r="M1383" s="26" t="s">
        <v>40</v>
      </c>
      <c r="N1383">
        <v>292</v>
      </c>
    </row>
    <row r="1384" spans="1:14">
      <c r="A1384" s="25">
        <f t="shared" si="130"/>
        <v>553</v>
      </c>
      <c r="B1384" s="67" t="s">
        <v>11</v>
      </c>
      <c r="C1384" s="67" t="s">
        <v>787</v>
      </c>
      <c r="D1384" s="67" t="s">
        <v>588</v>
      </c>
      <c r="E1384" s="22">
        <f t="shared" ca="1" si="131"/>
        <v>40951</v>
      </c>
      <c r="F1384" s="11">
        <f>DATE(2002,2,27)</f>
        <v>37314</v>
      </c>
      <c r="G1384" s="12">
        <f t="shared" ca="1" si="132"/>
        <v>10</v>
      </c>
      <c r="H1384" s="12">
        <f t="shared" ca="1" si="133"/>
        <v>0</v>
      </c>
      <c r="I1384" s="13">
        <f t="shared" ca="1" si="134"/>
        <v>-15</v>
      </c>
      <c r="J1384" s="14">
        <f t="shared" ca="1" si="135"/>
        <v>9</v>
      </c>
      <c r="K1384" s="12" t="s">
        <v>40</v>
      </c>
      <c r="L1384" s="15">
        <v>86</v>
      </c>
      <c r="M1384" s="25" t="s">
        <v>44</v>
      </c>
      <c r="N1384">
        <v>293</v>
      </c>
    </row>
    <row r="1385" spans="1:14">
      <c r="A1385" s="25">
        <f t="shared" si="130"/>
        <v>554</v>
      </c>
      <c r="B1385" s="67" t="s">
        <v>11</v>
      </c>
      <c r="C1385" s="67" t="s">
        <v>788</v>
      </c>
      <c r="D1385" s="67" t="s">
        <v>528</v>
      </c>
      <c r="E1385" s="22">
        <f t="shared" ca="1" si="131"/>
        <v>40951</v>
      </c>
      <c r="F1385" s="11">
        <f>DATE(69,8,1)</f>
        <v>25416</v>
      </c>
      <c r="G1385" s="12">
        <f t="shared" ca="1" si="132"/>
        <v>43</v>
      </c>
      <c r="H1385" s="12">
        <f t="shared" ca="1" si="133"/>
        <v>-6</v>
      </c>
      <c r="I1385" s="13">
        <f t="shared" ca="1" si="134"/>
        <v>11</v>
      </c>
      <c r="J1385" s="14">
        <f t="shared" ca="1" si="135"/>
        <v>42</v>
      </c>
      <c r="K1385" s="12" t="s">
        <v>40</v>
      </c>
      <c r="L1385" s="15">
        <v>86</v>
      </c>
      <c r="M1385" s="25" t="s">
        <v>40</v>
      </c>
      <c r="N1385">
        <v>293</v>
      </c>
    </row>
    <row r="1386" spans="1:14">
      <c r="A1386" s="25">
        <f t="shared" si="130"/>
        <v>555</v>
      </c>
      <c r="B1386" s="67" t="s">
        <v>11</v>
      </c>
      <c r="C1386" s="67" t="s">
        <v>790</v>
      </c>
      <c r="D1386" s="67" t="s">
        <v>791</v>
      </c>
      <c r="E1386" s="22">
        <f t="shared" ca="1" si="131"/>
        <v>40951</v>
      </c>
      <c r="F1386" s="32"/>
      <c r="G1386" s="12">
        <f t="shared" ca="1" si="132"/>
        <v>112</v>
      </c>
      <c r="H1386" s="12">
        <f t="shared" ca="1" si="133"/>
        <v>1</v>
      </c>
      <c r="I1386" s="13">
        <f t="shared" ca="1" si="134"/>
        <v>12</v>
      </c>
      <c r="J1386" s="14">
        <f t="shared" ca="1" si="135"/>
        <v>112</v>
      </c>
      <c r="K1386" s="12" t="s">
        <v>40</v>
      </c>
      <c r="L1386" s="15">
        <v>87</v>
      </c>
      <c r="M1386" s="25" t="s">
        <v>40</v>
      </c>
      <c r="N1386">
        <v>293</v>
      </c>
    </row>
    <row r="1387" spans="1:14" ht="15.75" thickBot="1">
      <c r="A1387" s="26">
        <f t="shared" si="130"/>
        <v>556</v>
      </c>
      <c r="B1387" s="68" t="s">
        <v>11</v>
      </c>
      <c r="C1387" s="68" t="s">
        <v>284</v>
      </c>
      <c r="D1387" s="68" t="s">
        <v>682</v>
      </c>
      <c r="E1387" s="23">
        <f t="shared" ca="1" si="131"/>
        <v>40951</v>
      </c>
      <c r="F1387" s="16">
        <f>DATE(59,10,20)</f>
        <v>21843</v>
      </c>
      <c r="G1387" s="17">
        <f t="shared" ca="1" si="132"/>
        <v>53</v>
      </c>
      <c r="H1387" s="17">
        <f t="shared" ca="1" si="133"/>
        <v>-8</v>
      </c>
      <c r="I1387" s="18">
        <f t="shared" ca="1" si="134"/>
        <v>-8</v>
      </c>
      <c r="J1387" s="19">
        <f t="shared" ca="1" si="135"/>
        <v>52</v>
      </c>
      <c r="K1387" s="17" t="s">
        <v>40</v>
      </c>
      <c r="L1387" s="20">
        <v>87</v>
      </c>
      <c r="M1387" s="26" t="s">
        <v>40</v>
      </c>
      <c r="N1387">
        <v>293</v>
      </c>
    </row>
    <row r="1388" spans="1:14">
      <c r="A1388" s="25">
        <f t="shared" si="130"/>
        <v>557</v>
      </c>
      <c r="B1388" s="67" t="s">
        <v>11</v>
      </c>
      <c r="C1388" s="67" t="s">
        <v>794</v>
      </c>
      <c r="D1388" s="67" t="s">
        <v>284</v>
      </c>
      <c r="E1388" s="22">
        <f t="shared" ca="1" si="131"/>
        <v>40951</v>
      </c>
      <c r="F1388" s="11">
        <f>DATE(90,4,10)</f>
        <v>32973</v>
      </c>
      <c r="G1388" s="12">
        <f t="shared" ca="1" si="132"/>
        <v>22</v>
      </c>
      <c r="H1388" s="12">
        <f t="shared" ca="1" si="133"/>
        <v>-2</v>
      </c>
      <c r="I1388" s="13">
        <f t="shared" ca="1" si="134"/>
        <v>2</v>
      </c>
      <c r="J1388" s="14">
        <f t="shared" ca="1" si="135"/>
        <v>21</v>
      </c>
      <c r="K1388" s="12" t="s">
        <v>40</v>
      </c>
      <c r="L1388" s="15">
        <v>87</v>
      </c>
      <c r="M1388" s="25" t="s">
        <v>44</v>
      </c>
      <c r="N1388">
        <v>294</v>
      </c>
    </row>
    <row r="1389" spans="1:14">
      <c r="A1389" s="25">
        <f t="shared" si="130"/>
        <v>558</v>
      </c>
      <c r="B1389" s="67" t="s">
        <v>11</v>
      </c>
      <c r="C1389" s="67" t="s">
        <v>797</v>
      </c>
      <c r="D1389" s="67" t="s">
        <v>606</v>
      </c>
      <c r="E1389" s="22">
        <f t="shared" ca="1" si="131"/>
        <v>40951</v>
      </c>
      <c r="F1389" s="11">
        <f>DATE(43,7,24)</f>
        <v>15911</v>
      </c>
      <c r="G1389" s="12">
        <f t="shared" ca="1" si="132"/>
        <v>69</v>
      </c>
      <c r="H1389" s="12">
        <f t="shared" ca="1" si="133"/>
        <v>-5</v>
      </c>
      <c r="I1389" s="13">
        <f t="shared" ca="1" si="134"/>
        <v>-12</v>
      </c>
      <c r="J1389" s="14">
        <f t="shared" ca="1" si="135"/>
        <v>68</v>
      </c>
      <c r="K1389" s="12" t="s">
        <v>40</v>
      </c>
      <c r="L1389" s="15">
        <v>87</v>
      </c>
      <c r="M1389" s="25" t="s">
        <v>40</v>
      </c>
      <c r="N1389">
        <v>294</v>
      </c>
    </row>
    <row r="1390" spans="1:14">
      <c r="A1390" s="25">
        <f t="shared" si="130"/>
        <v>559</v>
      </c>
      <c r="B1390" s="67" t="s">
        <v>11</v>
      </c>
      <c r="C1390" s="67" t="s">
        <v>118</v>
      </c>
      <c r="D1390" s="67" t="s">
        <v>797</v>
      </c>
      <c r="E1390" s="22">
        <f t="shared" ca="1" si="131"/>
        <v>40951</v>
      </c>
      <c r="F1390" s="11">
        <f>DATE(75,2,26)</f>
        <v>27451</v>
      </c>
      <c r="G1390" s="12">
        <f t="shared" ca="1" si="132"/>
        <v>37</v>
      </c>
      <c r="H1390" s="12">
        <f t="shared" ca="1" si="133"/>
        <v>0</v>
      </c>
      <c r="I1390" s="13">
        <f t="shared" ca="1" si="134"/>
        <v>-14</v>
      </c>
      <c r="J1390" s="14">
        <f t="shared" ca="1" si="135"/>
        <v>36</v>
      </c>
      <c r="K1390" s="12" t="s">
        <v>40</v>
      </c>
      <c r="L1390" s="15">
        <v>87</v>
      </c>
      <c r="M1390" s="25" t="s">
        <v>40</v>
      </c>
      <c r="N1390">
        <v>294</v>
      </c>
    </row>
    <row r="1391" spans="1:14" ht="15.75" thickBot="1">
      <c r="A1391" s="26">
        <f t="shared" si="130"/>
        <v>560</v>
      </c>
      <c r="B1391" s="68" t="s">
        <v>11</v>
      </c>
      <c r="C1391" s="68" t="s">
        <v>799</v>
      </c>
      <c r="D1391" s="68" t="s">
        <v>118</v>
      </c>
      <c r="E1391" s="23">
        <f t="shared" ca="1" si="131"/>
        <v>40951</v>
      </c>
      <c r="F1391" s="16">
        <f>DATE(2004,10,27)</f>
        <v>38287</v>
      </c>
      <c r="G1391" s="17">
        <f t="shared" ca="1" si="132"/>
        <v>8</v>
      </c>
      <c r="H1391" s="17">
        <f t="shared" ca="1" si="133"/>
        <v>-8</v>
      </c>
      <c r="I1391" s="18">
        <f t="shared" ca="1" si="134"/>
        <v>-15</v>
      </c>
      <c r="J1391" s="19">
        <f t="shared" ca="1" si="135"/>
        <v>7</v>
      </c>
      <c r="K1391" s="17" t="s">
        <v>40</v>
      </c>
      <c r="L1391" s="20">
        <v>87</v>
      </c>
      <c r="M1391" s="26" t="s">
        <v>44</v>
      </c>
      <c r="N1391">
        <v>294</v>
      </c>
    </row>
    <row r="1392" spans="1:14">
      <c r="A1392" s="25">
        <f t="shared" si="130"/>
        <v>561</v>
      </c>
      <c r="B1392" s="67" t="s">
        <v>11</v>
      </c>
      <c r="C1392" s="67" t="s">
        <v>414</v>
      </c>
      <c r="D1392" s="67" t="s">
        <v>758</v>
      </c>
      <c r="E1392" s="22">
        <f t="shared" ca="1" si="131"/>
        <v>40951</v>
      </c>
      <c r="F1392" s="11">
        <f>DATE(61,9,1)</f>
        <v>22525</v>
      </c>
      <c r="G1392" s="12">
        <f t="shared" ca="1" si="132"/>
        <v>51</v>
      </c>
      <c r="H1392" s="12">
        <f t="shared" ca="1" si="133"/>
        <v>-7</v>
      </c>
      <c r="I1392" s="13">
        <f t="shared" ca="1" si="134"/>
        <v>11</v>
      </c>
      <c r="J1392" s="14">
        <f t="shared" ca="1" si="135"/>
        <v>50</v>
      </c>
      <c r="K1392" s="12" t="s">
        <v>40</v>
      </c>
      <c r="L1392" s="15">
        <v>88</v>
      </c>
      <c r="M1392" s="25" t="s">
        <v>40</v>
      </c>
      <c r="N1392">
        <v>295</v>
      </c>
    </row>
    <row r="1393" spans="1:14">
      <c r="A1393" s="25">
        <f t="shared" si="130"/>
        <v>562</v>
      </c>
      <c r="B1393" s="67" t="s">
        <v>11</v>
      </c>
      <c r="C1393" s="67" t="s">
        <v>802</v>
      </c>
      <c r="D1393" s="67" t="s">
        <v>414</v>
      </c>
      <c r="E1393" s="22">
        <f t="shared" ca="1" si="131"/>
        <v>40951</v>
      </c>
      <c r="F1393" s="11">
        <f>DATE(2000,10,7)</f>
        <v>36806</v>
      </c>
      <c r="G1393" s="12">
        <f t="shared" ca="1" si="132"/>
        <v>12</v>
      </c>
      <c r="H1393" s="12">
        <f t="shared" ca="1" si="133"/>
        <v>-8</v>
      </c>
      <c r="I1393" s="13">
        <f t="shared" ca="1" si="134"/>
        <v>5</v>
      </c>
      <c r="J1393" s="14">
        <f t="shared" ca="1" si="135"/>
        <v>11</v>
      </c>
      <c r="K1393" s="12" t="s">
        <v>40</v>
      </c>
      <c r="L1393" s="15">
        <v>88</v>
      </c>
      <c r="M1393" s="25" t="s">
        <v>44</v>
      </c>
      <c r="N1393">
        <v>295</v>
      </c>
    </row>
    <row r="1394" spans="1:14">
      <c r="A1394" s="25">
        <f t="shared" si="130"/>
        <v>563</v>
      </c>
      <c r="B1394" s="67" t="s">
        <v>11</v>
      </c>
      <c r="C1394" s="67" t="s">
        <v>229</v>
      </c>
      <c r="D1394" s="67" t="s">
        <v>267</v>
      </c>
      <c r="E1394" s="22">
        <f t="shared" ca="1" si="131"/>
        <v>40951</v>
      </c>
      <c r="F1394" s="11">
        <f>DATE(74,10,6)</f>
        <v>27308</v>
      </c>
      <c r="G1394" s="12">
        <f t="shared" ca="1" si="132"/>
        <v>38</v>
      </c>
      <c r="H1394" s="12">
        <f t="shared" ca="1" si="133"/>
        <v>-8</v>
      </c>
      <c r="I1394" s="13">
        <f t="shared" ca="1" si="134"/>
        <v>6</v>
      </c>
      <c r="J1394" s="14">
        <f t="shared" ca="1" si="135"/>
        <v>37</v>
      </c>
      <c r="K1394" s="12" t="s">
        <v>40</v>
      </c>
      <c r="L1394" s="15">
        <v>88</v>
      </c>
      <c r="M1394" s="25" t="s">
        <v>40</v>
      </c>
      <c r="N1394">
        <v>295</v>
      </c>
    </row>
    <row r="1395" spans="1:14" ht="15.75" thickBot="1">
      <c r="A1395" s="26">
        <f t="shared" si="130"/>
        <v>564</v>
      </c>
      <c r="B1395" s="68" t="s">
        <v>11</v>
      </c>
      <c r="C1395" s="68" t="s">
        <v>541</v>
      </c>
      <c r="D1395" s="68" t="s">
        <v>267</v>
      </c>
      <c r="E1395" s="23">
        <f t="shared" ca="1" si="131"/>
        <v>40951</v>
      </c>
      <c r="F1395" s="16">
        <f>DATE(76,5,22)</f>
        <v>27902</v>
      </c>
      <c r="G1395" s="17">
        <f t="shared" ca="1" si="132"/>
        <v>36</v>
      </c>
      <c r="H1395" s="17">
        <f t="shared" ca="1" si="133"/>
        <v>-3</v>
      </c>
      <c r="I1395" s="18">
        <f t="shared" ca="1" si="134"/>
        <v>-10</v>
      </c>
      <c r="J1395" s="19">
        <f t="shared" ca="1" si="135"/>
        <v>35</v>
      </c>
      <c r="K1395" s="17" t="s">
        <v>40</v>
      </c>
      <c r="L1395" s="20">
        <v>88</v>
      </c>
      <c r="M1395" s="26" t="s">
        <v>40</v>
      </c>
      <c r="N1395">
        <v>295</v>
      </c>
    </row>
    <row r="1396" spans="1:14">
      <c r="A1396" s="25">
        <f t="shared" si="130"/>
        <v>565</v>
      </c>
      <c r="B1396" s="67" t="s">
        <v>12</v>
      </c>
      <c r="C1396" s="67" t="s">
        <v>807</v>
      </c>
      <c r="D1396" s="67" t="s">
        <v>716</v>
      </c>
      <c r="E1396" s="22">
        <f t="shared" ca="1" si="131"/>
        <v>40951</v>
      </c>
      <c r="F1396" s="11">
        <f>DATE(54,12,21)</f>
        <v>20079</v>
      </c>
      <c r="G1396" s="12">
        <f t="shared" ca="1" si="132"/>
        <v>58</v>
      </c>
      <c r="H1396" s="12">
        <f t="shared" ca="1" si="133"/>
        <v>-10</v>
      </c>
      <c r="I1396" s="13">
        <f t="shared" ca="1" si="134"/>
        <v>-9</v>
      </c>
      <c r="J1396" s="14">
        <f t="shared" ca="1" si="135"/>
        <v>57</v>
      </c>
      <c r="K1396" s="12" t="s">
        <v>40</v>
      </c>
      <c r="L1396" s="15">
        <v>89</v>
      </c>
      <c r="M1396" s="25" t="s">
        <v>40</v>
      </c>
      <c r="N1396">
        <v>296</v>
      </c>
    </row>
    <row r="1397" spans="1:14">
      <c r="A1397" s="25">
        <f t="shared" si="130"/>
        <v>566</v>
      </c>
      <c r="B1397" s="67" t="s">
        <v>12</v>
      </c>
      <c r="C1397" s="67" t="s">
        <v>808</v>
      </c>
      <c r="D1397" s="67" t="s">
        <v>807</v>
      </c>
      <c r="E1397" s="22">
        <f t="shared" ca="1" si="131"/>
        <v>40951</v>
      </c>
      <c r="F1397" s="11">
        <f>DATE(84,3,31)</f>
        <v>30772</v>
      </c>
      <c r="G1397" s="12">
        <f t="shared" ca="1" si="132"/>
        <v>28</v>
      </c>
      <c r="H1397" s="12">
        <f t="shared" ca="1" si="133"/>
        <v>-1</v>
      </c>
      <c r="I1397" s="13">
        <f t="shared" ca="1" si="134"/>
        <v>-19</v>
      </c>
      <c r="J1397" s="14">
        <f t="shared" ca="1" si="135"/>
        <v>27</v>
      </c>
      <c r="K1397" s="12" t="s">
        <v>40</v>
      </c>
      <c r="L1397" s="15">
        <v>89</v>
      </c>
      <c r="M1397" s="25" t="s">
        <v>44</v>
      </c>
      <c r="N1397">
        <v>296</v>
      </c>
    </row>
    <row r="1398" spans="1:14">
      <c r="A1398" s="25">
        <f t="shared" si="130"/>
        <v>567</v>
      </c>
      <c r="B1398" s="67" t="s">
        <v>12</v>
      </c>
      <c r="C1398" s="67" t="s">
        <v>809</v>
      </c>
      <c r="D1398" s="67" t="s">
        <v>70</v>
      </c>
      <c r="E1398" s="22">
        <f t="shared" ca="1" si="131"/>
        <v>40951</v>
      </c>
      <c r="F1398" s="11">
        <f>DATE(62,9,23)</f>
        <v>22912</v>
      </c>
      <c r="G1398" s="12">
        <f t="shared" ca="1" si="132"/>
        <v>50</v>
      </c>
      <c r="H1398" s="12">
        <f t="shared" ca="1" si="133"/>
        <v>-7</v>
      </c>
      <c r="I1398" s="13">
        <f t="shared" ca="1" si="134"/>
        <v>-11</v>
      </c>
      <c r="J1398" s="14">
        <f t="shared" ca="1" si="135"/>
        <v>49</v>
      </c>
      <c r="K1398" s="12" t="s">
        <v>40</v>
      </c>
      <c r="L1398" s="15">
        <v>89</v>
      </c>
      <c r="M1398" s="25" t="s">
        <v>40</v>
      </c>
      <c r="N1398">
        <v>296</v>
      </c>
    </row>
    <row r="1399" spans="1:14">
      <c r="A1399" s="25">
        <f t="shared" si="130"/>
        <v>568</v>
      </c>
      <c r="B1399" s="67" t="s">
        <v>12</v>
      </c>
      <c r="C1399" s="67" t="s">
        <v>811</v>
      </c>
      <c r="D1399" s="67" t="s">
        <v>809</v>
      </c>
      <c r="E1399" s="22">
        <f t="shared" ca="1" si="131"/>
        <v>40951</v>
      </c>
      <c r="F1399" s="11">
        <f>DATE(90,10,31)</f>
        <v>33177</v>
      </c>
      <c r="G1399" s="12">
        <f t="shared" ca="1" si="132"/>
        <v>22</v>
      </c>
      <c r="H1399" s="12">
        <f t="shared" ca="1" si="133"/>
        <v>-8</v>
      </c>
      <c r="I1399" s="13">
        <f t="shared" ca="1" si="134"/>
        <v>-19</v>
      </c>
      <c r="J1399" s="14">
        <f t="shared" ca="1" si="135"/>
        <v>21</v>
      </c>
      <c r="K1399" s="12" t="s">
        <v>40</v>
      </c>
      <c r="L1399" s="15">
        <v>89</v>
      </c>
      <c r="M1399" s="25" t="s">
        <v>44</v>
      </c>
      <c r="N1399">
        <v>296</v>
      </c>
    </row>
    <row r="1400" spans="1:14" ht="15.75" thickBot="1">
      <c r="A1400" s="26">
        <f t="shared" si="130"/>
        <v>569</v>
      </c>
      <c r="B1400" s="68" t="s">
        <v>12</v>
      </c>
      <c r="C1400" s="68" t="s">
        <v>812</v>
      </c>
      <c r="D1400" s="68" t="s">
        <v>809</v>
      </c>
      <c r="E1400" s="23">
        <f t="shared" ca="1" si="131"/>
        <v>40951</v>
      </c>
      <c r="F1400" s="16">
        <f>DATE(96,11,13)</f>
        <v>35382</v>
      </c>
      <c r="G1400" s="17">
        <f t="shared" ca="1" si="132"/>
        <v>16</v>
      </c>
      <c r="H1400" s="17">
        <f t="shared" ca="1" si="133"/>
        <v>-9</v>
      </c>
      <c r="I1400" s="18">
        <f t="shared" ca="1" si="134"/>
        <v>-1</v>
      </c>
      <c r="J1400" s="19">
        <f t="shared" ca="1" si="135"/>
        <v>15</v>
      </c>
      <c r="K1400" s="17" t="s">
        <v>40</v>
      </c>
      <c r="L1400" s="20">
        <v>89</v>
      </c>
      <c r="M1400" s="26" t="s">
        <v>44</v>
      </c>
      <c r="N1400">
        <v>296</v>
      </c>
    </row>
    <row r="1401" spans="1:14">
      <c r="A1401" s="25">
        <f t="shared" si="130"/>
        <v>570</v>
      </c>
      <c r="B1401" s="67" t="s">
        <v>12</v>
      </c>
      <c r="C1401" s="67" t="s">
        <v>55</v>
      </c>
      <c r="D1401" s="67" t="s">
        <v>716</v>
      </c>
      <c r="E1401" s="22">
        <f t="shared" ca="1" si="131"/>
        <v>40951</v>
      </c>
      <c r="F1401" s="32"/>
      <c r="G1401" s="12">
        <f t="shared" ca="1" si="132"/>
        <v>112</v>
      </c>
      <c r="H1401" s="12">
        <f t="shared" ca="1" si="133"/>
        <v>1</v>
      </c>
      <c r="I1401" s="13">
        <f t="shared" ca="1" si="134"/>
        <v>12</v>
      </c>
      <c r="J1401" s="14">
        <f t="shared" ca="1" si="135"/>
        <v>112</v>
      </c>
      <c r="K1401" s="12" t="s">
        <v>40</v>
      </c>
      <c r="L1401" s="15">
        <v>89</v>
      </c>
      <c r="M1401" s="25" t="s">
        <v>40</v>
      </c>
      <c r="N1401">
        <v>297</v>
      </c>
    </row>
    <row r="1402" spans="1:14" ht="15.75" thickBot="1">
      <c r="A1402" s="26">
        <f t="shared" si="130"/>
        <v>571</v>
      </c>
      <c r="B1402" s="68" t="s">
        <v>12</v>
      </c>
      <c r="C1402" s="68" t="s">
        <v>652</v>
      </c>
      <c r="D1402" s="68" t="s">
        <v>55</v>
      </c>
      <c r="E1402" s="23">
        <f t="shared" ca="1" si="131"/>
        <v>40951</v>
      </c>
      <c r="F1402" s="16">
        <f>DATE(75,5,4)</f>
        <v>27518</v>
      </c>
      <c r="G1402" s="17">
        <f t="shared" ca="1" si="132"/>
        <v>37</v>
      </c>
      <c r="H1402" s="17">
        <f t="shared" ca="1" si="133"/>
        <v>-3</v>
      </c>
      <c r="I1402" s="18">
        <f t="shared" ca="1" si="134"/>
        <v>8</v>
      </c>
      <c r="J1402" s="19">
        <f t="shared" ca="1" si="135"/>
        <v>36</v>
      </c>
      <c r="K1402" s="17" t="s">
        <v>40</v>
      </c>
      <c r="L1402" s="20">
        <v>89</v>
      </c>
      <c r="M1402" s="26" t="s">
        <v>40</v>
      </c>
      <c r="N1402">
        <v>297</v>
      </c>
    </row>
    <row r="1403" spans="1:14">
      <c r="A1403" s="25">
        <f t="shared" si="130"/>
        <v>572</v>
      </c>
      <c r="B1403" s="67" t="s">
        <v>12</v>
      </c>
      <c r="C1403" s="67" t="s">
        <v>814</v>
      </c>
      <c r="D1403" s="67" t="s">
        <v>652</v>
      </c>
      <c r="E1403" s="22">
        <f t="shared" ca="1" si="131"/>
        <v>40951</v>
      </c>
      <c r="F1403" s="11">
        <f>DATE(2006,10,4)</f>
        <v>38994</v>
      </c>
      <c r="G1403" s="12">
        <f t="shared" ca="1" si="132"/>
        <v>6</v>
      </c>
      <c r="H1403" s="12">
        <f t="shared" ca="1" si="133"/>
        <v>-8</v>
      </c>
      <c r="I1403" s="13">
        <f t="shared" ca="1" si="134"/>
        <v>8</v>
      </c>
      <c r="J1403" s="14">
        <f t="shared" ca="1" si="135"/>
        <v>5</v>
      </c>
      <c r="K1403" s="12" t="s">
        <v>40</v>
      </c>
      <c r="L1403" s="15">
        <v>89</v>
      </c>
      <c r="M1403" s="25" t="s">
        <v>44</v>
      </c>
      <c r="N1403">
        <v>298</v>
      </c>
    </row>
    <row r="1404" spans="1:14">
      <c r="A1404" s="25">
        <f t="shared" si="130"/>
        <v>573</v>
      </c>
      <c r="B1404" s="67" t="s">
        <v>12</v>
      </c>
      <c r="C1404" s="67" t="s">
        <v>815</v>
      </c>
      <c r="D1404" s="67" t="s">
        <v>816</v>
      </c>
      <c r="E1404" s="22">
        <f t="shared" ca="1" si="131"/>
        <v>40951</v>
      </c>
      <c r="F1404" s="32"/>
      <c r="G1404" s="12">
        <f t="shared" ca="1" si="132"/>
        <v>112</v>
      </c>
      <c r="H1404" s="12">
        <f t="shared" ca="1" si="133"/>
        <v>1</v>
      </c>
      <c r="I1404" s="13">
        <f t="shared" ca="1" si="134"/>
        <v>12</v>
      </c>
      <c r="J1404" s="14">
        <f t="shared" ca="1" si="135"/>
        <v>112</v>
      </c>
      <c r="K1404" s="12" t="s">
        <v>40</v>
      </c>
      <c r="L1404" s="15">
        <v>89</v>
      </c>
      <c r="M1404" s="25" t="s">
        <v>40</v>
      </c>
      <c r="N1404">
        <v>298</v>
      </c>
    </row>
    <row r="1405" spans="1:14">
      <c r="A1405" s="25">
        <f t="shared" si="130"/>
        <v>574</v>
      </c>
      <c r="B1405" s="67" t="s">
        <v>12</v>
      </c>
      <c r="C1405" s="67" t="s">
        <v>817</v>
      </c>
      <c r="D1405" s="67" t="s">
        <v>716</v>
      </c>
      <c r="E1405" s="22">
        <f t="shared" ca="1" si="131"/>
        <v>40951</v>
      </c>
      <c r="F1405" s="11">
        <f>DATE(53,3,2)</f>
        <v>19420</v>
      </c>
      <c r="G1405" s="12">
        <f t="shared" ca="1" si="132"/>
        <v>59</v>
      </c>
      <c r="H1405" s="12">
        <f t="shared" ca="1" si="133"/>
        <v>-1</v>
      </c>
      <c r="I1405" s="13">
        <f t="shared" ca="1" si="134"/>
        <v>10</v>
      </c>
      <c r="J1405" s="14">
        <f t="shared" ca="1" si="135"/>
        <v>58</v>
      </c>
      <c r="K1405" s="12" t="s">
        <v>40</v>
      </c>
      <c r="L1405" s="15">
        <v>90</v>
      </c>
      <c r="M1405" s="25" t="s">
        <v>40</v>
      </c>
      <c r="N1405">
        <v>298</v>
      </c>
    </row>
    <row r="1406" spans="1:14">
      <c r="A1406" s="25">
        <f t="shared" ref="A1406:A1469" si="136">A1405+1</f>
        <v>575</v>
      </c>
      <c r="B1406" s="67" t="s">
        <v>12</v>
      </c>
      <c r="C1406" s="67" t="s">
        <v>819</v>
      </c>
      <c r="D1406" s="67" t="s">
        <v>817</v>
      </c>
      <c r="E1406" s="22">
        <f t="shared" ca="1" si="131"/>
        <v>40951</v>
      </c>
      <c r="F1406" s="11">
        <f>DATE(81,2,27)</f>
        <v>29644</v>
      </c>
      <c r="G1406" s="12">
        <f t="shared" ca="1" si="132"/>
        <v>31</v>
      </c>
      <c r="H1406" s="12">
        <f t="shared" ca="1" si="133"/>
        <v>0</v>
      </c>
      <c r="I1406" s="13">
        <f t="shared" ca="1" si="134"/>
        <v>-15</v>
      </c>
      <c r="J1406" s="14">
        <f t="shared" ca="1" si="135"/>
        <v>30</v>
      </c>
      <c r="K1406" s="12" t="s">
        <v>40</v>
      </c>
      <c r="L1406" s="15">
        <v>90</v>
      </c>
      <c r="M1406" s="25" t="s">
        <v>40</v>
      </c>
      <c r="N1406">
        <v>298</v>
      </c>
    </row>
    <row r="1407" spans="1:14" ht="15.75" thickBot="1">
      <c r="A1407" s="26">
        <f t="shared" si="136"/>
        <v>576</v>
      </c>
      <c r="B1407" s="67" t="s">
        <v>12</v>
      </c>
      <c r="C1407" s="68" t="s">
        <v>716</v>
      </c>
      <c r="D1407" s="68"/>
      <c r="E1407" s="23">
        <f t="shared" ca="1" si="131"/>
        <v>40951</v>
      </c>
      <c r="F1407" s="33"/>
      <c r="G1407" s="17">
        <f t="shared" ca="1" si="132"/>
        <v>112</v>
      </c>
      <c r="H1407" s="17">
        <f t="shared" ca="1" si="133"/>
        <v>1</v>
      </c>
      <c r="I1407" s="18">
        <f t="shared" ca="1" si="134"/>
        <v>12</v>
      </c>
      <c r="J1407" s="19">
        <f t="shared" ca="1" si="135"/>
        <v>112</v>
      </c>
      <c r="K1407" s="17" t="s">
        <v>40</v>
      </c>
      <c r="L1407" s="20">
        <v>90</v>
      </c>
      <c r="M1407" s="26" t="s">
        <v>40</v>
      </c>
      <c r="N1407">
        <v>298</v>
      </c>
    </row>
    <row r="1408" spans="1:14">
      <c r="A1408" s="25">
        <f t="shared" si="136"/>
        <v>577</v>
      </c>
      <c r="B1408" s="67" t="s">
        <v>12</v>
      </c>
      <c r="C1408" s="67" t="s">
        <v>249</v>
      </c>
      <c r="D1408" s="67" t="s">
        <v>70</v>
      </c>
      <c r="E1408" s="22">
        <f t="shared" ca="1" si="131"/>
        <v>40951</v>
      </c>
      <c r="F1408" s="11">
        <f>DATE(49,11,23)</f>
        <v>18225</v>
      </c>
      <c r="G1408" s="12">
        <f t="shared" ca="1" si="132"/>
        <v>63</v>
      </c>
      <c r="H1408" s="12">
        <f t="shared" ca="1" si="133"/>
        <v>-9</v>
      </c>
      <c r="I1408" s="13">
        <f t="shared" ca="1" si="134"/>
        <v>-11</v>
      </c>
      <c r="J1408" s="14">
        <f t="shared" ca="1" si="135"/>
        <v>62</v>
      </c>
      <c r="K1408" s="12" t="s">
        <v>40</v>
      </c>
      <c r="L1408" s="15">
        <v>90</v>
      </c>
      <c r="M1408" s="25" t="s">
        <v>40</v>
      </c>
      <c r="N1408">
        <v>299</v>
      </c>
    </row>
    <row r="1409" spans="1:14">
      <c r="A1409" s="25">
        <f t="shared" si="136"/>
        <v>578</v>
      </c>
      <c r="B1409" s="67" t="s">
        <v>12</v>
      </c>
      <c r="C1409" s="67" t="s">
        <v>820</v>
      </c>
      <c r="D1409" s="67" t="s">
        <v>249</v>
      </c>
      <c r="E1409" s="22">
        <f t="shared" ref="E1409:E1472" ca="1" si="137">TODAY()</f>
        <v>40951</v>
      </c>
      <c r="F1409" s="11">
        <f>DATE(89,9,26)</f>
        <v>32777</v>
      </c>
      <c r="G1409" s="12">
        <f t="shared" ref="G1409:G1472" ca="1" si="138">YEAR(E1409)-YEAR(F1409)</f>
        <v>23</v>
      </c>
      <c r="H1409" s="12">
        <f t="shared" ref="H1409:H1472" ca="1" si="139">MONTH(E1409)-MONTH(F1409)</f>
        <v>-7</v>
      </c>
      <c r="I1409" s="13">
        <f t="shared" ref="I1409:I1472" ca="1" si="140">DAY(E1409)-DAY(F1409)</f>
        <v>-14</v>
      </c>
      <c r="J1409" s="14">
        <f t="shared" ref="J1409:J1472" ca="1" si="141">IF(H1409&lt;0,G1409-1,IF(H1409&gt;0,G1409,IF(I1409&lt;0,G1409-1,G1409)))</f>
        <v>22</v>
      </c>
      <c r="K1409" s="12" t="s">
        <v>40</v>
      </c>
      <c r="L1409" s="15">
        <v>90</v>
      </c>
      <c r="M1409" s="25" t="s">
        <v>44</v>
      </c>
      <c r="N1409">
        <v>299</v>
      </c>
    </row>
    <row r="1410" spans="1:14">
      <c r="A1410" s="25">
        <f t="shared" si="136"/>
        <v>579</v>
      </c>
      <c r="B1410" s="67" t="s">
        <v>12</v>
      </c>
      <c r="C1410" s="67" t="s">
        <v>821</v>
      </c>
      <c r="D1410" s="67" t="s">
        <v>716</v>
      </c>
      <c r="E1410" s="22">
        <f t="shared" ca="1" si="137"/>
        <v>40951</v>
      </c>
      <c r="F1410" s="11">
        <f>DATE(42,12,4)</f>
        <v>15679</v>
      </c>
      <c r="G1410" s="12">
        <f t="shared" ca="1" si="138"/>
        <v>70</v>
      </c>
      <c r="H1410" s="12">
        <f t="shared" ca="1" si="139"/>
        <v>-10</v>
      </c>
      <c r="I1410" s="13">
        <f t="shared" ca="1" si="140"/>
        <v>8</v>
      </c>
      <c r="J1410" s="14">
        <f t="shared" ca="1" si="141"/>
        <v>69</v>
      </c>
      <c r="K1410" s="81" t="s">
        <v>40</v>
      </c>
      <c r="L1410" s="15">
        <v>90</v>
      </c>
      <c r="M1410" s="25" t="s">
        <v>40</v>
      </c>
      <c r="N1410">
        <v>299</v>
      </c>
    </row>
    <row r="1411" spans="1:14" ht="15.75" thickBot="1">
      <c r="A1411" s="26">
        <f t="shared" si="136"/>
        <v>580</v>
      </c>
      <c r="B1411" s="67" t="s">
        <v>13</v>
      </c>
      <c r="C1411" s="68" t="s">
        <v>822</v>
      </c>
      <c r="D1411" s="68" t="s">
        <v>72</v>
      </c>
      <c r="E1411" s="23">
        <f t="shared" ca="1" si="137"/>
        <v>40951</v>
      </c>
      <c r="F1411" s="16">
        <f>DATE(68,11,20)</f>
        <v>25162</v>
      </c>
      <c r="G1411" s="17">
        <f t="shared" ca="1" si="138"/>
        <v>44</v>
      </c>
      <c r="H1411" s="17">
        <f t="shared" ca="1" si="139"/>
        <v>-9</v>
      </c>
      <c r="I1411" s="18">
        <f t="shared" ca="1" si="140"/>
        <v>-8</v>
      </c>
      <c r="J1411" s="19">
        <f t="shared" ca="1" si="141"/>
        <v>43</v>
      </c>
      <c r="K1411" s="17" t="s">
        <v>40</v>
      </c>
      <c r="L1411" s="20">
        <v>91</v>
      </c>
      <c r="M1411" s="26" t="s">
        <v>40</v>
      </c>
      <c r="N1411">
        <v>299</v>
      </c>
    </row>
    <row r="1412" spans="1:14">
      <c r="A1412" s="25">
        <f t="shared" si="136"/>
        <v>581</v>
      </c>
      <c r="B1412" s="67" t="s">
        <v>13</v>
      </c>
      <c r="C1412" s="67" t="s">
        <v>392</v>
      </c>
      <c r="D1412" s="67" t="s">
        <v>521</v>
      </c>
      <c r="E1412" s="22">
        <f t="shared" ca="1" si="137"/>
        <v>40951</v>
      </c>
      <c r="F1412" s="11">
        <f>DATE(97,1,11)</f>
        <v>35441</v>
      </c>
      <c r="G1412" s="12">
        <f t="shared" ca="1" si="138"/>
        <v>15</v>
      </c>
      <c r="H1412" s="12">
        <f t="shared" ca="1" si="139"/>
        <v>1</v>
      </c>
      <c r="I1412" s="13">
        <f t="shared" ca="1" si="140"/>
        <v>1</v>
      </c>
      <c r="J1412" s="14">
        <f t="shared" ca="1" si="141"/>
        <v>15</v>
      </c>
      <c r="K1412" s="12" t="s">
        <v>40</v>
      </c>
      <c r="L1412" s="15">
        <v>91</v>
      </c>
      <c r="M1412" s="25" t="s">
        <v>44</v>
      </c>
      <c r="N1412">
        <v>300</v>
      </c>
    </row>
    <row r="1413" spans="1:14">
      <c r="A1413" s="25">
        <f t="shared" si="136"/>
        <v>582</v>
      </c>
      <c r="B1413" s="67" t="s">
        <v>13</v>
      </c>
      <c r="C1413" s="67" t="s">
        <v>521</v>
      </c>
      <c r="D1413" s="67" t="s">
        <v>198</v>
      </c>
      <c r="E1413" s="22">
        <f t="shared" ca="1" si="137"/>
        <v>40951</v>
      </c>
      <c r="F1413" s="11">
        <f>DATE(41,12,9)</f>
        <v>15319</v>
      </c>
      <c r="G1413" s="12">
        <f t="shared" ca="1" si="138"/>
        <v>71</v>
      </c>
      <c r="H1413" s="12">
        <f t="shared" ca="1" si="139"/>
        <v>-10</v>
      </c>
      <c r="I1413" s="13">
        <f t="shared" ca="1" si="140"/>
        <v>3</v>
      </c>
      <c r="J1413" s="14">
        <f t="shared" ca="1" si="141"/>
        <v>70</v>
      </c>
      <c r="K1413" s="12" t="s">
        <v>40</v>
      </c>
      <c r="L1413" s="15">
        <v>91</v>
      </c>
      <c r="M1413" s="25" t="s">
        <v>40</v>
      </c>
      <c r="N1413">
        <v>300</v>
      </c>
    </row>
    <row r="1414" spans="1:14">
      <c r="A1414" s="25">
        <f t="shared" si="136"/>
        <v>583</v>
      </c>
      <c r="B1414" s="67" t="s">
        <v>13</v>
      </c>
      <c r="C1414" s="67" t="s">
        <v>824</v>
      </c>
      <c r="D1414" s="67" t="s">
        <v>521</v>
      </c>
      <c r="E1414" s="22">
        <f t="shared" ca="1" si="137"/>
        <v>40951</v>
      </c>
      <c r="F1414" s="11">
        <f>DATE(69,7,19)</f>
        <v>25403</v>
      </c>
      <c r="G1414" s="12">
        <f t="shared" ca="1" si="138"/>
        <v>43</v>
      </c>
      <c r="H1414" s="12">
        <f t="shared" ca="1" si="139"/>
        <v>-5</v>
      </c>
      <c r="I1414" s="13">
        <f t="shared" ca="1" si="140"/>
        <v>-7</v>
      </c>
      <c r="J1414" s="14">
        <f t="shared" ca="1" si="141"/>
        <v>42</v>
      </c>
      <c r="K1414" s="12" t="s">
        <v>40</v>
      </c>
      <c r="L1414" s="15">
        <v>91</v>
      </c>
      <c r="M1414" s="25" t="s">
        <v>40</v>
      </c>
      <c r="N1414">
        <v>300</v>
      </c>
    </row>
    <row r="1415" spans="1:14">
      <c r="A1415" s="25">
        <f t="shared" si="136"/>
        <v>584</v>
      </c>
      <c r="B1415" s="67" t="s">
        <v>13</v>
      </c>
      <c r="C1415" s="67" t="s">
        <v>825</v>
      </c>
      <c r="D1415" s="67" t="s">
        <v>521</v>
      </c>
      <c r="E1415" s="22">
        <f t="shared" ca="1" si="137"/>
        <v>40951</v>
      </c>
      <c r="F1415" s="11">
        <f>DATE(73,8,24)</f>
        <v>26900</v>
      </c>
      <c r="G1415" s="12">
        <f t="shared" ca="1" si="138"/>
        <v>39</v>
      </c>
      <c r="H1415" s="12">
        <f t="shared" ca="1" si="139"/>
        <v>-6</v>
      </c>
      <c r="I1415" s="13">
        <f t="shared" ca="1" si="140"/>
        <v>-12</v>
      </c>
      <c r="J1415" s="14">
        <f t="shared" ca="1" si="141"/>
        <v>38</v>
      </c>
      <c r="K1415" s="12" t="s">
        <v>40</v>
      </c>
      <c r="L1415" s="15">
        <v>91</v>
      </c>
      <c r="M1415" s="25" t="s">
        <v>40</v>
      </c>
      <c r="N1415">
        <v>300</v>
      </c>
    </row>
    <row r="1416" spans="1:14">
      <c r="A1416" s="25">
        <f t="shared" si="136"/>
        <v>585</v>
      </c>
      <c r="B1416" s="67" t="s">
        <v>13</v>
      </c>
      <c r="C1416" s="67" t="s">
        <v>101</v>
      </c>
      <c r="D1416" s="67" t="s">
        <v>825</v>
      </c>
      <c r="E1416" s="22">
        <f t="shared" ca="1" si="137"/>
        <v>40951</v>
      </c>
      <c r="F1416" s="11">
        <f>DATE(2005,9,5)</f>
        <v>38600</v>
      </c>
      <c r="G1416" s="12">
        <f t="shared" ca="1" si="138"/>
        <v>7</v>
      </c>
      <c r="H1416" s="12">
        <f t="shared" ca="1" si="139"/>
        <v>-7</v>
      </c>
      <c r="I1416" s="13">
        <f t="shared" ca="1" si="140"/>
        <v>7</v>
      </c>
      <c r="J1416" s="14">
        <f t="shared" ca="1" si="141"/>
        <v>6</v>
      </c>
      <c r="K1416" s="12" t="s">
        <v>40</v>
      </c>
      <c r="L1416" s="15">
        <v>91</v>
      </c>
      <c r="M1416" s="25" t="s">
        <v>44</v>
      </c>
      <c r="N1416">
        <v>300</v>
      </c>
    </row>
    <row r="1417" spans="1:14" ht="15.75" thickBot="1">
      <c r="A1417" s="26">
        <f t="shared" si="136"/>
        <v>586</v>
      </c>
      <c r="B1417" s="67" t="s">
        <v>13</v>
      </c>
      <c r="C1417" s="68" t="s">
        <v>827</v>
      </c>
      <c r="D1417" s="68" t="s">
        <v>521</v>
      </c>
      <c r="E1417" s="23">
        <f t="shared" ca="1" si="137"/>
        <v>40951</v>
      </c>
      <c r="F1417" s="16">
        <f>DATE(75,2,23)</f>
        <v>27448</v>
      </c>
      <c r="G1417" s="17">
        <f t="shared" ca="1" si="138"/>
        <v>37</v>
      </c>
      <c r="H1417" s="17">
        <f t="shared" ca="1" si="139"/>
        <v>0</v>
      </c>
      <c r="I1417" s="18">
        <f t="shared" ca="1" si="140"/>
        <v>-11</v>
      </c>
      <c r="J1417" s="19">
        <f t="shared" ca="1" si="141"/>
        <v>36</v>
      </c>
      <c r="K1417" s="17" t="s">
        <v>40</v>
      </c>
      <c r="L1417" s="20">
        <v>91</v>
      </c>
      <c r="M1417" s="26" t="s">
        <v>40</v>
      </c>
      <c r="N1417">
        <v>300</v>
      </c>
    </row>
    <row r="1418" spans="1:14">
      <c r="A1418" s="24">
        <f t="shared" si="136"/>
        <v>587</v>
      </c>
      <c r="B1418" s="67" t="s">
        <v>13</v>
      </c>
      <c r="C1418" s="66" t="s">
        <v>829</v>
      </c>
      <c r="D1418" s="66" t="s">
        <v>830</v>
      </c>
      <c r="E1418" s="21">
        <f t="shared" ca="1" si="137"/>
        <v>40951</v>
      </c>
      <c r="F1418" s="45"/>
      <c r="G1418" s="7">
        <f t="shared" ca="1" si="138"/>
        <v>112</v>
      </c>
      <c r="H1418" s="7">
        <f t="shared" ca="1" si="139"/>
        <v>1</v>
      </c>
      <c r="I1418" s="8">
        <f t="shared" ca="1" si="140"/>
        <v>12</v>
      </c>
      <c r="J1418" s="9">
        <f t="shared" ca="1" si="141"/>
        <v>112</v>
      </c>
      <c r="K1418" s="7" t="s">
        <v>40</v>
      </c>
      <c r="L1418" s="10">
        <v>92</v>
      </c>
      <c r="M1418" s="24" t="s">
        <v>40</v>
      </c>
      <c r="N1418">
        <v>301</v>
      </c>
    </row>
    <row r="1419" spans="1:14">
      <c r="A1419" s="25">
        <f t="shared" si="136"/>
        <v>588</v>
      </c>
      <c r="B1419" s="67" t="s">
        <v>13</v>
      </c>
      <c r="C1419" s="67" t="s">
        <v>315</v>
      </c>
      <c r="D1419" s="67" t="s">
        <v>832</v>
      </c>
      <c r="E1419" s="22">
        <f t="shared" ca="1" si="137"/>
        <v>40951</v>
      </c>
      <c r="F1419" s="11">
        <f>DATE(54,12,12)</f>
        <v>20070</v>
      </c>
      <c r="G1419" s="12">
        <f t="shared" ca="1" si="138"/>
        <v>58</v>
      </c>
      <c r="H1419" s="12">
        <f t="shared" ca="1" si="139"/>
        <v>-10</v>
      </c>
      <c r="I1419" s="13">
        <f t="shared" ca="1" si="140"/>
        <v>0</v>
      </c>
      <c r="J1419" s="14">
        <f t="shared" ca="1" si="141"/>
        <v>57</v>
      </c>
      <c r="K1419" s="12" t="s">
        <v>40</v>
      </c>
      <c r="L1419" s="15">
        <v>92</v>
      </c>
      <c r="M1419" s="25" t="s">
        <v>40</v>
      </c>
      <c r="N1419">
        <v>301</v>
      </c>
    </row>
    <row r="1420" spans="1:14" ht="15.75" thickBot="1">
      <c r="A1420" s="26">
        <f t="shared" si="136"/>
        <v>589</v>
      </c>
      <c r="B1420" s="67" t="s">
        <v>13</v>
      </c>
      <c r="C1420" s="68" t="s">
        <v>834</v>
      </c>
      <c r="D1420" s="68" t="s">
        <v>833</v>
      </c>
      <c r="E1420" s="23">
        <f t="shared" ca="1" si="137"/>
        <v>40951</v>
      </c>
      <c r="F1420" s="16">
        <f>DATE(91,4,22)</f>
        <v>33350</v>
      </c>
      <c r="G1420" s="17">
        <f t="shared" ca="1" si="138"/>
        <v>21</v>
      </c>
      <c r="H1420" s="17">
        <f t="shared" ca="1" si="139"/>
        <v>-2</v>
      </c>
      <c r="I1420" s="18">
        <f t="shared" ca="1" si="140"/>
        <v>-10</v>
      </c>
      <c r="J1420" s="19">
        <f t="shared" ca="1" si="141"/>
        <v>20</v>
      </c>
      <c r="K1420" s="17" t="s">
        <v>40</v>
      </c>
      <c r="L1420" s="20">
        <v>92</v>
      </c>
      <c r="M1420" s="26" t="s">
        <v>44</v>
      </c>
      <c r="N1420">
        <v>301</v>
      </c>
    </row>
    <row r="1421" spans="1:14">
      <c r="A1421" s="25">
        <f t="shared" si="136"/>
        <v>590</v>
      </c>
      <c r="B1421" s="67" t="s">
        <v>13</v>
      </c>
      <c r="C1421" s="67" t="s">
        <v>835</v>
      </c>
      <c r="D1421" s="67" t="s">
        <v>573</v>
      </c>
      <c r="E1421" s="22">
        <f t="shared" ca="1" si="137"/>
        <v>40951</v>
      </c>
      <c r="F1421" s="32"/>
      <c r="G1421" s="12">
        <f t="shared" ca="1" si="138"/>
        <v>112</v>
      </c>
      <c r="H1421" s="12">
        <f t="shared" ca="1" si="139"/>
        <v>1</v>
      </c>
      <c r="I1421" s="13">
        <f t="shared" ca="1" si="140"/>
        <v>12</v>
      </c>
      <c r="J1421" s="14">
        <f t="shared" ca="1" si="141"/>
        <v>112</v>
      </c>
      <c r="K1421" s="12" t="s">
        <v>40</v>
      </c>
      <c r="L1421" s="15">
        <v>92</v>
      </c>
      <c r="M1421" s="25" t="s">
        <v>40</v>
      </c>
      <c r="N1421">
        <v>302</v>
      </c>
    </row>
    <row r="1422" spans="1:14">
      <c r="A1422" s="25">
        <f t="shared" si="136"/>
        <v>591</v>
      </c>
      <c r="B1422" s="67" t="s">
        <v>13</v>
      </c>
      <c r="C1422" s="67" t="s">
        <v>376</v>
      </c>
      <c r="D1422" s="67" t="s">
        <v>835</v>
      </c>
      <c r="E1422" s="22">
        <f t="shared" ca="1" si="137"/>
        <v>40951</v>
      </c>
      <c r="F1422" s="32"/>
      <c r="G1422" s="12">
        <f t="shared" ca="1" si="138"/>
        <v>112</v>
      </c>
      <c r="H1422" s="12">
        <f t="shared" ca="1" si="139"/>
        <v>1</v>
      </c>
      <c r="I1422" s="13">
        <f t="shared" ca="1" si="140"/>
        <v>12</v>
      </c>
      <c r="J1422" s="14">
        <f t="shared" ca="1" si="141"/>
        <v>112</v>
      </c>
      <c r="K1422" s="12" t="s">
        <v>40</v>
      </c>
      <c r="L1422" s="15">
        <v>92</v>
      </c>
      <c r="M1422" s="25" t="s">
        <v>44</v>
      </c>
      <c r="N1422">
        <v>302</v>
      </c>
    </row>
    <row r="1423" spans="1:14">
      <c r="A1423" s="25">
        <f t="shared" si="136"/>
        <v>592</v>
      </c>
      <c r="B1423" s="67" t="s">
        <v>13</v>
      </c>
      <c r="C1423" s="67" t="s">
        <v>333</v>
      </c>
      <c r="D1423" s="67" t="s">
        <v>832</v>
      </c>
      <c r="E1423" s="22">
        <f t="shared" ca="1" si="137"/>
        <v>40951</v>
      </c>
      <c r="F1423" s="11">
        <f>DATE(52,7,1)</f>
        <v>19176</v>
      </c>
      <c r="G1423" s="12">
        <f t="shared" ca="1" si="138"/>
        <v>60</v>
      </c>
      <c r="H1423" s="12">
        <f t="shared" ca="1" si="139"/>
        <v>-5</v>
      </c>
      <c r="I1423" s="13">
        <f t="shared" ca="1" si="140"/>
        <v>11</v>
      </c>
      <c r="J1423" s="14">
        <f t="shared" ca="1" si="141"/>
        <v>59</v>
      </c>
      <c r="K1423" s="12" t="s">
        <v>40</v>
      </c>
      <c r="L1423" s="15">
        <v>92</v>
      </c>
      <c r="M1423" s="25" t="s">
        <v>40</v>
      </c>
      <c r="N1423">
        <v>302</v>
      </c>
    </row>
    <row r="1424" spans="1:14">
      <c r="A1424" s="25">
        <f t="shared" si="136"/>
        <v>593</v>
      </c>
      <c r="B1424" s="67" t="s">
        <v>13</v>
      </c>
      <c r="C1424" s="67" t="s">
        <v>542</v>
      </c>
      <c r="D1424" s="67" t="s">
        <v>333</v>
      </c>
      <c r="E1424" s="22">
        <f t="shared" ca="1" si="137"/>
        <v>40951</v>
      </c>
      <c r="F1424" s="11">
        <f>DATE(85,1,3)</f>
        <v>31050</v>
      </c>
      <c r="G1424" s="12">
        <f t="shared" ca="1" si="138"/>
        <v>27</v>
      </c>
      <c r="H1424" s="12">
        <f t="shared" ca="1" si="139"/>
        <v>1</v>
      </c>
      <c r="I1424" s="13">
        <f t="shared" ca="1" si="140"/>
        <v>9</v>
      </c>
      <c r="J1424" s="14">
        <f t="shared" ca="1" si="141"/>
        <v>27</v>
      </c>
      <c r="K1424" s="12" t="s">
        <v>40</v>
      </c>
      <c r="L1424" s="15">
        <v>92</v>
      </c>
      <c r="M1424" s="25" t="s">
        <v>44</v>
      </c>
      <c r="N1424">
        <v>302</v>
      </c>
    </row>
    <row r="1425" spans="1:14">
      <c r="A1425" s="25">
        <f t="shared" si="136"/>
        <v>594</v>
      </c>
      <c r="B1425" s="67" t="s">
        <v>13</v>
      </c>
      <c r="C1425" s="67" t="s">
        <v>838</v>
      </c>
      <c r="D1425" s="67" t="s">
        <v>837</v>
      </c>
      <c r="E1425" s="22">
        <f t="shared" ca="1" si="137"/>
        <v>40951</v>
      </c>
      <c r="F1425" s="11">
        <f>DATE(63,4,27)</f>
        <v>23128</v>
      </c>
      <c r="G1425" s="12">
        <f t="shared" ca="1" si="138"/>
        <v>49</v>
      </c>
      <c r="H1425" s="12">
        <f t="shared" ca="1" si="139"/>
        <v>-2</v>
      </c>
      <c r="I1425" s="13">
        <f t="shared" ca="1" si="140"/>
        <v>-15</v>
      </c>
      <c r="J1425" s="14">
        <f t="shared" ca="1" si="141"/>
        <v>48</v>
      </c>
      <c r="K1425" s="12" t="s">
        <v>40</v>
      </c>
      <c r="L1425" s="15">
        <v>93</v>
      </c>
      <c r="M1425" s="25" t="s">
        <v>40</v>
      </c>
      <c r="N1425">
        <v>302</v>
      </c>
    </row>
    <row r="1426" spans="1:14" ht="15.75" thickBot="1">
      <c r="A1426" s="26">
        <f t="shared" si="136"/>
        <v>595</v>
      </c>
      <c r="B1426" s="67" t="s">
        <v>13</v>
      </c>
      <c r="C1426" s="68" t="s">
        <v>839</v>
      </c>
      <c r="D1426" s="68" t="s">
        <v>838</v>
      </c>
      <c r="E1426" s="23">
        <f t="shared" ca="1" si="137"/>
        <v>40951</v>
      </c>
      <c r="F1426" s="16">
        <f>DATE(92,6,17)</f>
        <v>33772</v>
      </c>
      <c r="G1426" s="17">
        <f t="shared" ca="1" si="138"/>
        <v>20</v>
      </c>
      <c r="H1426" s="17">
        <f t="shared" ca="1" si="139"/>
        <v>-4</v>
      </c>
      <c r="I1426" s="18">
        <f t="shared" ca="1" si="140"/>
        <v>-5</v>
      </c>
      <c r="J1426" s="19">
        <f t="shared" ca="1" si="141"/>
        <v>19</v>
      </c>
      <c r="K1426" s="17" t="s">
        <v>40</v>
      </c>
      <c r="L1426" s="20">
        <v>93</v>
      </c>
      <c r="M1426" s="26" t="s">
        <v>44</v>
      </c>
      <c r="N1426">
        <v>302</v>
      </c>
    </row>
    <row r="1427" spans="1:14">
      <c r="A1427" s="25">
        <f t="shared" si="136"/>
        <v>596</v>
      </c>
      <c r="B1427" s="67" t="s">
        <v>13</v>
      </c>
      <c r="C1427" s="67" t="s">
        <v>840</v>
      </c>
      <c r="D1427" s="67" t="s">
        <v>573</v>
      </c>
      <c r="E1427" s="22">
        <f t="shared" ca="1" si="137"/>
        <v>40951</v>
      </c>
      <c r="F1427" s="11">
        <f>DATE(55,9,28)</f>
        <v>20360</v>
      </c>
      <c r="G1427" s="12">
        <f t="shared" ca="1" si="138"/>
        <v>57</v>
      </c>
      <c r="H1427" s="12">
        <f t="shared" ca="1" si="139"/>
        <v>-7</v>
      </c>
      <c r="I1427" s="13">
        <f t="shared" ca="1" si="140"/>
        <v>-16</v>
      </c>
      <c r="J1427" s="14">
        <f t="shared" ca="1" si="141"/>
        <v>56</v>
      </c>
      <c r="K1427" s="12" t="s">
        <v>40</v>
      </c>
      <c r="L1427" s="15">
        <v>93</v>
      </c>
      <c r="M1427" s="25" t="s">
        <v>40</v>
      </c>
      <c r="N1427">
        <v>303</v>
      </c>
    </row>
    <row r="1428" spans="1:14">
      <c r="A1428" s="25">
        <f t="shared" si="136"/>
        <v>597</v>
      </c>
      <c r="B1428" s="67" t="s">
        <v>13</v>
      </c>
      <c r="C1428" s="67" t="s">
        <v>183</v>
      </c>
      <c r="D1428" s="67" t="s">
        <v>840</v>
      </c>
      <c r="E1428" s="22">
        <f t="shared" ca="1" si="137"/>
        <v>40951</v>
      </c>
      <c r="F1428" s="11">
        <f>DATE(87,4,18)</f>
        <v>31885</v>
      </c>
      <c r="G1428" s="12">
        <f t="shared" ca="1" si="138"/>
        <v>25</v>
      </c>
      <c r="H1428" s="12">
        <f t="shared" ca="1" si="139"/>
        <v>-2</v>
      </c>
      <c r="I1428" s="13">
        <f t="shared" ca="1" si="140"/>
        <v>-6</v>
      </c>
      <c r="J1428" s="14">
        <f t="shared" ca="1" si="141"/>
        <v>24</v>
      </c>
      <c r="K1428" s="12" t="s">
        <v>40</v>
      </c>
      <c r="L1428" s="15">
        <v>93</v>
      </c>
      <c r="M1428" s="25" t="s">
        <v>44</v>
      </c>
      <c r="N1428">
        <v>303</v>
      </c>
    </row>
    <row r="1429" spans="1:14">
      <c r="A1429" s="25">
        <f t="shared" si="136"/>
        <v>598</v>
      </c>
      <c r="B1429" s="67" t="s">
        <v>13</v>
      </c>
      <c r="C1429" s="67" t="s">
        <v>844</v>
      </c>
      <c r="D1429" s="67" t="s">
        <v>573</v>
      </c>
      <c r="E1429" s="22">
        <f t="shared" ca="1" si="137"/>
        <v>40951</v>
      </c>
      <c r="F1429" s="11">
        <f>DATE(46,6,9)</f>
        <v>16962</v>
      </c>
      <c r="G1429" s="12">
        <f t="shared" ca="1" si="138"/>
        <v>66</v>
      </c>
      <c r="H1429" s="12">
        <f t="shared" ca="1" si="139"/>
        <v>-4</v>
      </c>
      <c r="I1429" s="13">
        <f t="shared" ca="1" si="140"/>
        <v>3</v>
      </c>
      <c r="J1429" s="14">
        <f t="shared" ca="1" si="141"/>
        <v>65</v>
      </c>
      <c r="K1429" s="12" t="s">
        <v>40</v>
      </c>
      <c r="L1429" s="15">
        <v>94</v>
      </c>
      <c r="M1429" s="25" t="s">
        <v>40</v>
      </c>
      <c r="N1429">
        <v>303</v>
      </c>
    </row>
    <row r="1430" spans="1:14">
      <c r="A1430" s="25">
        <f t="shared" si="136"/>
        <v>599</v>
      </c>
      <c r="B1430" s="67" t="s">
        <v>13</v>
      </c>
      <c r="C1430" s="67" t="s">
        <v>845</v>
      </c>
      <c r="D1430" s="67" t="s">
        <v>844</v>
      </c>
      <c r="E1430" s="22">
        <f t="shared" ca="1" si="137"/>
        <v>40951</v>
      </c>
      <c r="F1430" s="11">
        <f>DATE(76,4,2)</f>
        <v>27852</v>
      </c>
      <c r="G1430" s="12">
        <f t="shared" ca="1" si="138"/>
        <v>36</v>
      </c>
      <c r="H1430" s="12">
        <f t="shared" ca="1" si="139"/>
        <v>-2</v>
      </c>
      <c r="I1430" s="13">
        <f t="shared" ca="1" si="140"/>
        <v>10</v>
      </c>
      <c r="J1430" s="14">
        <f t="shared" ca="1" si="141"/>
        <v>35</v>
      </c>
      <c r="K1430" s="12" t="s">
        <v>40</v>
      </c>
      <c r="L1430" s="15">
        <v>94</v>
      </c>
      <c r="M1430" s="25" t="s">
        <v>40</v>
      </c>
      <c r="N1430">
        <v>303</v>
      </c>
    </row>
    <row r="1431" spans="1:14" ht="15.75" thickBot="1">
      <c r="A1431" s="26">
        <f t="shared" si="136"/>
        <v>600</v>
      </c>
      <c r="B1431" s="67" t="s">
        <v>13</v>
      </c>
      <c r="C1431" s="68" t="s">
        <v>846</v>
      </c>
      <c r="D1431" s="68" t="s">
        <v>844</v>
      </c>
      <c r="E1431" s="23">
        <f t="shared" ca="1" si="137"/>
        <v>40951</v>
      </c>
      <c r="F1431" s="16">
        <f>DATE(2002,10,31)</f>
        <v>37560</v>
      </c>
      <c r="G1431" s="17">
        <f t="shared" ca="1" si="138"/>
        <v>10</v>
      </c>
      <c r="H1431" s="17">
        <f t="shared" ca="1" si="139"/>
        <v>-8</v>
      </c>
      <c r="I1431" s="18">
        <f t="shared" ca="1" si="140"/>
        <v>-19</v>
      </c>
      <c r="J1431" s="19">
        <f t="shared" ca="1" si="141"/>
        <v>9</v>
      </c>
      <c r="K1431" s="17" t="s">
        <v>40</v>
      </c>
      <c r="L1431" s="20">
        <v>94</v>
      </c>
      <c r="M1431" s="26" t="s">
        <v>44</v>
      </c>
      <c r="N1431">
        <v>303</v>
      </c>
    </row>
    <row r="1432" spans="1:14">
      <c r="A1432" s="25">
        <f t="shared" si="136"/>
        <v>601</v>
      </c>
      <c r="B1432" s="67" t="s">
        <v>13</v>
      </c>
      <c r="C1432" s="67" t="s">
        <v>96</v>
      </c>
      <c r="D1432" s="67" t="s">
        <v>521</v>
      </c>
      <c r="E1432" s="22">
        <f t="shared" ca="1" si="137"/>
        <v>40951</v>
      </c>
      <c r="F1432" s="11">
        <f>DATE(73,12,15)</f>
        <v>27013</v>
      </c>
      <c r="G1432" s="12">
        <f t="shared" ca="1" si="138"/>
        <v>39</v>
      </c>
      <c r="H1432" s="12">
        <f t="shared" ca="1" si="139"/>
        <v>-10</v>
      </c>
      <c r="I1432" s="13">
        <f t="shared" ca="1" si="140"/>
        <v>-3</v>
      </c>
      <c r="J1432" s="14">
        <f t="shared" ca="1" si="141"/>
        <v>38</v>
      </c>
      <c r="K1432" s="12" t="s">
        <v>40</v>
      </c>
      <c r="L1432" s="15">
        <v>94</v>
      </c>
      <c r="M1432" s="25" t="s">
        <v>40</v>
      </c>
      <c r="N1432">
        <v>304</v>
      </c>
    </row>
    <row r="1433" spans="1:14">
      <c r="A1433" s="25">
        <f t="shared" si="136"/>
        <v>602</v>
      </c>
      <c r="B1433" s="67" t="s">
        <v>13</v>
      </c>
      <c r="C1433" s="67" t="s">
        <v>802</v>
      </c>
      <c r="D1433" s="67" t="s">
        <v>96</v>
      </c>
      <c r="E1433" s="22">
        <f t="shared" ca="1" si="137"/>
        <v>40951</v>
      </c>
      <c r="F1433" s="11">
        <f>DATE(2006,7,7)</f>
        <v>38905</v>
      </c>
      <c r="G1433" s="12">
        <f t="shared" ca="1" si="138"/>
        <v>6</v>
      </c>
      <c r="H1433" s="12">
        <f t="shared" ca="1" si="139"/>
        <v>-5</v>
      </c>
      <c r="I1433" s="13">
        <f t="shared" ca="1" si="140"/>
        <v>5</v>
      </c>
      <c r="J1433" s="14">
        <f t="shared" ca="1" si="141"/>
        <v>5</v>
      </c>
      <c r="K1433" s="12" t="s">
        <v>40</v>
      </c>
      <c r="L1433" s="15">
        <v>94</v>
      </c>
      <c r="M1433" s="25" t="s">
        <v>44</v>
      </c>
      <c r="N1433">
        <v>304</v>
      </c>
    </row>
    <row r="1434" spans="1:14">
      <c r="A1434" s="25">
        <f t="shared" si="136"/>
        <v>603</v>
      </c>
      <c r="B1434" s="67" t="s">
        <v>13</v>
      </c>
      <c r="C1434" s="67" t="s">
        <v>123</v>
      </c>
      <c r="D1434" s="67" t="s">
        <v>849</v>
      </c>
      <c r="E1434" s="22">
        <f t="shared" ca="1" si="137"/>
        <v>40951</v>
      </c>
      <c r="F1434" s="11">
        <f>DATE(67,88,15)</f>
        <v>27134</v>
      </c>
      <c r="G1434" s="12">
        <f t="shared" ca="1" si="138"/>
        <v>38</v>
      </c>
      <c r="H1434" s="12">
        <f t="shared" ca="1" si="139"/>
        <v>-2</v>
      </c>
      <c r="I1434" s="13">
        <f t="shared" ca="1" si="140"/>
        <v>-3</v>
      </c>
      <c r="J1434" s="14">
        <f t="shared" ca="1" si="141"/>
        <v>37</v>
      </c>
      <c r="K1434" s="12" t="s">
        <v>40</v>
      </c>
      <c r="L1434" s="15">
        <v>94</v>
      </c>
      <c r="M1434" s="25" t="s">
        <v>40</v>
      </c>
      <c r="N1434">
        <v>304</v>
      </c>
    </row>
    <row r="1435" spans="1:14">
      <c r="A1435" s="25">
        <f t="shared" si="136"/>
        <v>604</v>
      </c>
      <c r="B1435" s="67" t="s">
        <v>13</v>
      </c>
      <c r="C1435" s="67" t="s">
        <v>850</v>
      </c>
      <c r="D1435" s="67" t="s">
        <v>123</v>
      </c>
      <c r="E1435" s="22">
        <f t="shared" ca="1" si="137"/>
        <v>40951</v>
      </c>
      <c r="F1435" s="11">
        <f>DATE(97,7,23)</f>
        <v>35634</v>
      </c>
      <c r="G1435" s="12">
        <f t="shared" ca="1" si="138"/>
        <v>15</v>
      </c>
      <c r="H1435" s="12">
        <f t="shared" ca="1" si="139"/>
        <v>-5</v>
      </c>
      <c r="I1435" s="13">
        <f t="shared" ca="1" si="140"/>
        <v>-11</v>
      </c>
      <c r="J1435" s="14">
        <f t="shared" ca="1" si="141"/>
        <v>14</v>
      </c>
      <c r="K1435" s="12" t="s">
        <v>40</v>
      </c>
      <c r="L1435" s="15">
        <v>94</v>
      </c>
      <c r="M1435" s="25" t="s">
        <v>44</v>
      </c>
      <c r="N1435">
        <v>304</v>
      </c>
    </row>
    <row r="1436" spans="1:14">
      <c r="A1436" s="25">
        <f t="shared" si="136"/>
        <v>605</v>
      </c>
      <c r="B1436" s="67" t="s">
        <v>13</v>
      </c>
      <c r="C1436" s="67" t="s">
        <v>852</v>
      </c>
      <c r="D1436" s="67" t="s">
        <v>837</v>
      </c>
      <c r="E1436" s="22">
        <f t="shared" ca="1" si="137"/>
        <v>40951</v>
      </c>
      <c r="F1436" s="11">
        <f>DATE(72,3,9)</f>
        <v>26367</v>
      </c>
      <c r="G1436" s="12">
        <f t="shared" ca="1" si="138"/>
        <v>40</v>
      </c>
      <c r="H1436" s="12">
        <f t="shared" ca="1" si="139"/>
        <v>-1</v>
      </c>
      <c r="I1436" s="13">
        <f t="shared" ca="1" si="140"/>
        <v>3</v>
      </c>
      <c r="J1436" s="14">
        <f t="shared" ca="1" si="141"/>
        <v>39</v>
      </c>
      <c r="K1436" s="12" t="s">
        <v>40</v>
      </c>
      <c r="L1436" s="15">
        <v>95</v>
      </c>
      <c r="M1436" s="25" t="s">
        <v>40</v>
      </c>
      <c r="N1436">
        <v>304</v>
      </c>
    </row>
    <row r="1437" spans="1:14" ht="15.75" thickBot="1">
      <c r="A1437" s="26">
        <f t="shared" si="136"/>
        <v>606</v>
      </c>
      <c r="B1437" s="67" t="s">
        <v>13</v>
      </c>
      <c r="C1437" s="68" t="s">
        <v>853</v>
      </c>
      <c r="D1437" s="68" t="s">
        <v>852</v>
      </c>
      <c r="E1437" s="23">
        <f t="shared" ca="1" si="137"/>
        <v>40951</v>
      </c>
      <c r="F1437" s="16">
        <f>DATE(2000,7,24)</f>
        <v>36731</v>
      </c>
      <c r="G1437" s="17">
        <f t="shared" ca="1" si="138"/>
        <v>12</v>
      </c>
      <c r="H1437" s="17">
        <f t="shared" ca="1" si="139"/>
        <v>-5</v>
      </c>
      <c r="I1437" s="18">
        <f t="shared" ca="1" si="140"/>
        <v>-12</v>
      </c>
      <c r="J1437" s="19">
        <f t="shared" ca="1" si="141"/>
        <v>11</v>
      </c>
      <c r="K1437" s="17" t="s">
        <v>40</v>
      </c>
      <c r="L1437" s="20">
        <v>95</v>
      </c>
      <c r="M1437" s="26" t="s">
        <v>44</v>
      </c>
      <c r="N1437">
        <v>304</v>
      </c>
    </row>
    <row r="1438" spans="1:14">
      <c r="A1438" s="25">
        <f t="shared" si="136"/>
        <v>607</v>
      </c>
      <c r="B1438" s="67" t="s">
        <v>13</v>
      </c>
      <c r="C1438" s="67" t="s">
        <v>854</v>
      </c>
      <c r="D1438" s="67" t="s">
        <v>852</v>
      </c>
      <c r="E1438" s="22">
        <f t="shared" ca="1" si="137"/>
        <v>40951</v>
      </c>
      <c r="F1438" s="11">
        <f>DATE(2003,10,5)</f>
        <v>37899</v>
      </c>
      <c r="G1438" s="12">
        <f t="shared" ca="1" si="138"/>
        <v>9</v>
      </c>
      <c r="H1438" s="12">
        <f t="shared" ca="1" si="139"/>
        <v>-8</v>
      </c>
      <c r="I1438" s="13">
        <f t="shared" ca="1" si="140"/>
        <v>7</v>
      </c>
      <c r="J1438" s="14">
        <f t="shared" ca="1" si="141"/>
        <v>8</v>
      </c>
      <c r="K1438" s="12" t="s">
        <v>40</v>
      </c>
      <c r="L1438" s="15">
        <v>95</v>
      </c>
      <c r="M1438" s="25" t="s">
        <v>44</v>
      </c>
      <c r="N1438">
        <v>305</v>
      </c>
    </row>
    <row r="1439" spans="1:14">
      <c r="A1439" s="25">
        <f t="shared" si="136"/>
        <v>608</v>
      </c>
      <c r="B1439" s="67" t="s">
        <v>13</v>
      </c>
      <c r="C1439" s="67" t="s">
        <v>855</v>
      </c>
      <c r="D1439" s="67" t="s">
        <v>832</v>
      </c>
      <c r="E1439" s="22">
        <f t="shared" ca="1" si="137"/>
        <v>40951</v>
      </c>
      <c r="F1439" s="11">
        <f>DATE(64,7,3)</f>
        <v>23561</v>
      </c>
      <c r="G1439" s="12">
        <f t="shared" ca="1" si="138"/>
        <v>48</v>
      </c>
      <c r="H1439" s="12">
        <f t="shared" ca="1" si="139"/>
        <v>-5</v>
      </c>
      <c r="I1439" s="13">
        <f t="shared" ca="1" si="140"/>
        <v>9</v>
      </c>
      <c r="J1439" s="14">
        <f t="shared" ca="1" si="141"/>
        <v>47</v>
      </c>
      <c r="K1439" s="12" t="s">
        <v>40</v>
      </c>
      <c r="L1439" s="15">
        <v>95</v>
      </c>
      <c r="M1439" s="25" t="s">
        <v>40</v>
      </c>
      <c r="N1439">
        <v>305</v>
      </c>
    </row>
    <row r="1440" spans="1:14" ht="15.75" thickBot="1">
      <c r="A1440" s="26">
        <f t="shared" si="136"/>
        <v>609</v>
      </c>
      <c r="B1440" s="67" t="s">
        <v>13</v>
      </c>
      <c r="C1440" s="68" t="s">
        <v>857</v>
      </c>
      <c r="D1440" s="68" t="s">
        <v>855</v>
      </c>
      <c r="E1440" s="23">
        <f t="shared" ca="1" si="137"/>
        <v>40951</v>
      </c>
      <c r="F1440" s="16">
        <f>DATE(98,9,13)</f>
        <v>36051</v>
      </c>
      <c r="G1440" s="17">
        <f t="shared" ca="1" si="138"/>
        <v>14</v>
      </c>
      <c r="H1440" s="17">
        <f t="shared" ca="1" si="139"/>
        <v>-7</v>
      </c>
      <c r="I1440" s="18">
        <f t="shared" ca="1" si="140"/>
        <v>-1</v>
      </c>
      <c r="J1440" s="19">
        <f t="shared" ca="1" si="141"/>
        <v>13</v>
      </c>
      <c r="K1440" s="17" t="s">
        <v>40</v>
      </c>
      <c r="L1440" s="20">
        <v>95</v>
      </c>
      <c r="M1440" s="26" t="s">
        <v>44</v>
      </c>
      <c r="N1440">
        <v>305</v>
      </c>
    </row>
    <row r="1441" spans="1:14">
      <c r="A1441" s="25">
        <f t="shared" si="136"/>
        <v>610</v>
      </c>
      <c r="B1441" s="67" t="s">
        <v>13</v>
      </c>
      <c r="C1441" s="67" t="s">
        <v>665</v>
      </c>
      <c r="D1441" s="67" t="s">
        <v>832</v>
      </c>
      <c r="E1441" s="22">
        <f t="shared" ca="1" si="137"/>
        <v>40951</v>
      </c>
      <c r="F1441" s="11">
        <f>DATE(68,9,3)</f>
        <v>25084</v>
      </c>
      <c r="G1441" s="12">
        <f t="shared" ca="1" si="138"/>
        <v>44</v>
      </c>
      <c r="H1441" s="12">
        <f t="shared" ca="1" si="139"/>
        <v>-7</v>
      </c>
      <c r="I1441" s="13">
        <f t="shared" ca="1" si="140"/>
        <v>9</v>
      </c>
      <c r="J1441" s="14">
        <f t="shared" ca="1" si="141"/>
        <v>43</v>
      </c>
      <c r="K1441" s="12" t="s">
        <v>40</v>
      </c>
      <c r="L1441" s="15">
        <v>95</v>
      </c>
      <c r="M1441" s="25" t="s">
        <v>40</v>
      </c>
      <c r="N1441">
        <v>306</v>
      </c>
    </row>
    <row r="1442" spans="1:14" ht="15.75" thickBot="1">
      <c r="A1442" s="26">
        <f t="shared" si="136"/>
        <v>611</v>
      </c>
      <c r="B1442" s="67" t="s">
        <v>13</v>
      </c>
      <c r="C1442" s="68" t="s">
        <v>859</v>
      </c>
      <c r="D1442" s="68" t="s">
        <v>665</v>
      </c>
      <c r="E1442" s="23">
        <f t="shared" ca="1" si="137"/>
        <v>40951</v>
      </c>
      <c r="F1442" s="16">
        <f>DATE(97,1,30)</f>
        <v>35460</v>
      </c>
      <c r="G1442" s="17">
        <f t="shared" ca="1" si="138"/>
        <v>15</v>
      </c>
      <c r="H1442" s="17">
        <f t="shared" ca="1" si="139"/>
        <v>1</v>
      </c>
      <c r="I1442" s="18">
        <f t="shared" ca="1" si="140"/>
        <v>-18</v>
      </c>
      <c r="J1442" s="19">
        <f t="shared" ca="1" si="141"/>
        <v>15</v>
      </c>
      <c r="K1442" s="17" t="s">
        <v>40</v>
      </c>
      <c r="L1442" s="20">
        <v>95</v>
      </c>
      <c r="M1442" s="26" t="s">
        <v>44</v>
      </c>
      <c r="N1442">
        <v>306</v>
      </c>
    </row>
    <row r="1443" spans="1:14">
      <c r="A1443" s="25">
        <f t="shared" si="136"/>
        <v>612</v>
      </c>
      <c r="B1443" s="67" t="s">
        <v>13</v>
      </c>
      <c r="C1443" s="67" t="s">
        <v>860</v>
      </c>
      <c r="D1443" s="67" t="s">
        <v>837</v>
      </c>
      <c r="E1443" s="22">
        <f t="shared" ca="1" si="137"/>
        <v>40951</v>
      </c>
      <c r="F1443" s="11">
        <f>DATE(66,4,25)</f>
        <v>24222</v>
      </c>
      <c r="G1443" s="12">
        <f t="shared" ca="1" si="138"/>
        <v>46</v>
      </c>
      <c r="H1443" s="12">
        <f t="shared" ca="1" si="139"/>
        <v>-2</v>
      </c>
      <c r="I1443" s="13">
        <f t="shared" ca="1" si="140"/>
        <v>-13</v>
      </c>
      <c r="J1443" s="14">
        <f t="shared" ca="1" si="141"/>
        <v>45</v>
      </c>
      <c r="K1443" s="12" t="s">
        <v>40</v>
      </c>
      <c r="L1443" s="15">
        <v>96</v>
      </c>
      <c r="M1443" s="25" t="s">
        <v>40</v>
      </c>
      <c r="N1443">
        <v>307</v>
      </c>
    </row>
    <row r="1444" spans="1:14">
      <c r="A1444" s="25">
        <f t="shared" si="136"/>
        <v>613</v>
      </c>
      <c r="B1444" s="67" t="s">
        <v>13</v>
      </c>
      <c r="C1444" s="67" t="s">
        <v>862</v>
      </c>
      <c r="D1444" s="67" t="s">
        <v>860</v>
      </c>
      <c r="E1444" s="22">
        <f t="shared" ca="1" si="137"/>
        <v>40951</v>
      </c>
      <c r="F1444" s="11">
        <f>DATE(2002,5,28)</f>
        <v>37404</v>
      </c>
      <c r="G1444" s="12">
        <f t="shared" ca="1" si="138"/>
        <v>10</v>
      </c>
      <c r="H1444" s="12">
        <f t="shared" ca="1" si="139"/>
        <v>-3</v>
      </c>
      <c r="I1444" s="13">
        <f t="shared" ca="1" si="140"/>
        <v>-16</v>
      </c>
      <c r="J1444" s="14">
        <f t="shared" ca="1" si="141"/>
        <v>9</v>
      </c>
      <c r="K1444" s="12" t="s">
        <v>40</v>
      </c>
      <c r="L1444" s="15">
        <v>96</v>
      </c>
      <c r="M1444" s="25" t="s">
        <v>44</v>
      </c>
      <c r="N1444">
        <v>307</v>
      </c>
    </row>
    <row r="1445" spans="1:14">
      <c r="A1445" s="25">
        <f t="shared" si="136"/>
        <v>614</v>
      </c>
      <c r="B1445" s="67" t="s">
        <v>13</v>
      </c>
      <c r="C1445" s="67" t="s">
        <v>863</v>
      </c>
      <c r="D1445" s="67" t="s">
        <v>423</v>
      </c>
      <c r="E1445" s="22">
        <f t="shared" ca="1" si="137"/>
        <v>40951</v>
      </c>
      <c r="F1445" s="11">
        <f>DATE(73,5,1)</f>
        <v>26785</v>
      </c>
      <c r="G1445" s="12">
        <f t="shared" ca="1" si="138"/>
        <v>39</v>
      </c>
      <c r="H1445" s="12">
        <f t="shared" ca="1" si="139"/>
        <v>-3</v>
      </c>
      <c r="I1445" s="13">
        <f t="shared" ca="1" si="140"/>
        <v>11</v>
      </c>
      <c r="J1445" s="14">
        <f t="shared" ca="1" si="141"/>
        <v>38</v>
      </c>
      <c r="K1445" s="12" t="s">
        <v>40</v>
      </c>
      <c r="L1445" s="15">
        <v>96</v>
      </c>
      <c r="M1445" s="25" t="s">
        <v>40</v>
      </c>
      <c r="N1445">
        <v>307</v>
      </c>
    </row>
    <row r="1446" spans="1:14">
      <c r="A1446" s="25">
        <f t="shared" si="136"/>
        <v>615</v>
      </c>
      <c r="B1446" s="67" t="s">
        <v>13</v>
      </c>
      <c r="C1446" s="67" t="s">
        <v>266</v>
      </c>
      <c r="D1446" s="67" t="s">
        <v>94</v>
      </c>
      <c r="E1446" s="22">
        <f t="shared" ca="1" si="137"/>
        <v>40951</v>
      </c>
      <c r="F1446" s="11">
        <f>DATE(47,7,15)</f>
        <v>17363</v>
      </c>
      <c r="G1446" s="12">
        <f t="shared" ca="1" si="138"/>
        <v>65</v>
      </c>
      <c r="H1446" s="12">
        <f t="shared" ca="1" si="139"/>
        <v>-5</v>
      </c>
      <c r="I1446" s="13">
        <f t="shared" ca="1" si="140"/>
        <v>-3</v>
      </c>
      <c r="J1446" s="14">
        <f t="shared" ca="1" si="141"/>
        <v>64</v>
      </c>
      <c r="K1446" s="12" t="s">
        <v>40</v>
      </c>
      <c r="L1446" s="15">
        <v>96</v>
      </c>
      <c r="M1446" s="25" t="s">
        <v>40</v>
      </c>
      <c r="N1446">
        <v>307</v>
      </c>
    </row>
    <row r="1447" spans="1:14">
      <c r="A1447" s="25">
        <f t="shared" si="136"/>
        <v>616</v>
      </c>
      <c r="B1447" s="67" t="s">
        <v>13</v>
      </c>
      <c r="C1447" s="67" t="s">
        <v>463</v>
      </c>
      <c r="D1447" s="67" t="s">
        <v>94</v>
      </c>
      <c r="E1447" s="22">
        <f t="shared" ca="1" si="137"/>
        <v>40951</v>
      </c>
      <c r="F1447" s="11">
        <f>DATE(55,8,4)</f>
        <v>20305</v>
      </c>
      <c r="G1447" s="12">
        <f t="shared" ca="1" si="138"/>
        <v>57</v>
      </c>
      <c r="H1447" s="12">
        <f t="shared" ca="1" si="139"/>
        <v>-6</v>
      </c>
      <c r="I1447" s="13">
        <f t="shared" ca="1" si="140"/>
        <v>8</v>
      </c>
      <c r="J1447" s="14">
        <f t="shared" ca="1" si="141"/>
        <v>56</v>
      </c>
      <c r="K1447" s="12" t="s">
        <v>40</v>
      </c>
      <c r="L1447" s="15">
        <v>96</v>
      </c>
      <c r="M1447" s="25" t="s">
        <v>40</v>
      </c>
      <c r="N1447">
        <v>307</v>
      </c>
    </row>
    <row r="1448" spans="1:14" ht="15.75" thickBot="1">
      <c r="A1448" s="26">
        <f t="shared" si="136"/>
        <v>617</v>
      </c>
      <c r="B1448" s="67" t="s">
        <v>14</v>
      </c>
      <c r="C1448" s="68" t="s">
        <v>308</v>
      </c>
      <c r="D1448" s="68" t="s">
        <v>298</v>
      </c>
      <c r="E1448" s="23">
        <f t="shared" ca="1" si="137"/>
        <v>40951</v>
      </c>
      <c r="F1448" s="16">
        <f>DATE(73,1,60)</f>
        <v>26724</v>
      </c>
      <c r="G1448" s="17">
        <f t="shared" ca="1" si="138"/>
        <v>39</v>
      </c>
      <c r="H1448" s="17">
        <f t="shared" ca="1" si="139"/>
        <v>-1</v>
      </c>
      <c r="I1448" s="18">
        <f t="shared" ca="1" si="140"/>
        <v>11</v>
      </c>
      <c r="J1448" s="19">
        <f t="shared" ca="1" si="141"/>
        <v>38</v>
      </c>
      <c r="K1448" s="17" t="s">
        <v>40</v>
      </c>
      <c r="L1448" s="20">
        <v>97</v>
      </c>
      <c r="M1448" s="26" t="s">
        <v>40</v>
      </c>
      <c r="N1448">
        <v>307</v>
      </c>
    </row>
    <row r="1449" spans="1:14">
      <c r="A1449" s="25">
        <f t="shared" si="136"/>
        <v>618</v>
      </c>
      <c r="B1449" s="67" t="s">
        <v>14</v>
      </c>
      <c r="C1449" s="67" t="s">
        <v>869</v>
      </c>
      <c r="D1449" s="67" t="s">
        <v>308</v>
      </c>
      <c r="E1449" s="22">
        <f t="shared" ca="1" si="137"/>
        <v>40951</v>
      </c>
      <c r="F1449" s="11">
        <f>DATE(2005,9,21)</f>
        <v>38616</v>
      </c>
      <c r="G1449" s="12">
        <f t="shared" ca="1" si="138"/>
        <v>7</v>
      </c>
      <c r="H1449" s="12">
        <f t="shared" ca="1" si="139"/>
        <v>-7</v>
      </c>
      <c r="I1449" s="13">
        <f t="shared" ca="1" si="140"/>
        <v>-9</v>
      </c>
      <c r="J1449" s="14">
        <f t="shared" ca="1" si="141"/>
        <v>6</v>
      </c>
      <c r="K1449" s="12" t="s">
        <v>40</v>
      </c>
      <c r="L1449" s="15">
        <v>97</v>
      </c>
      <c r="M1449" s="25" t="s">
        <v>44</v>
      </c>
      <c r="N1449">
        <v>308</v>
      </c>
    </row>
    <row r="1450" spans="1:14">
      <c r="A1450" s="25">
        <f t="shared" si="136"/>
        <v>619</v>
      </c>
      <c r="B1450" s="67" t="s">
        <v>14</v>
      </c>
      <c r="C1450" s="67" t="s">
        <v>181</v>
      </c>
      <c r="D1450" s="67" t="s">
        <v>870</v>
      </c>
      <c r="E1450" s="22">
        <f t="shared" ca="1" si="137"/>
        <v>40951</v>
      </c>
      <c r="F1450" s="11">
        <f>DATE(65,3,15)</f>
        <v>23816</v>
      </c>
      <c r="G1450" s="12">
        <f t="shared" ca="1" si="138"/>
        <v>47</v>
      </c>
      <c r="H1450" s="12">
        <f t="shared" ca="1" si="139"/>
        <v>-1</v>
      </c>
      <c r="I1450" s="13">
        <f t="shared" ca="1" si="140"/>
        <v>-3</v>
      </c>
      <c r="J1450" s="14">
        <f t="shared" ca="1" si="141"/>
        <v>46</v>
      </c>
      <c r="K1450" s="12" t="s">
        <v>40</v>
      </c>
      <c r="L1450" s="15">
        <v>97</v>
      </c>
      <c r="M1450" s="25" t="s">
        <v>40</v>
      </c>
      <c r="N1450">
        <v>308</v>
      </c>
    </row>
    <row r="1451" spans="1:14">
      <c r="A1451" s="25">
        <f t="shared" si="136"/>
        <v>620</v>
      </c>
      <c r="B1451" s="67" t="s">
        <v>14</v>
      </c>
      <c r="C1451" s="67" t="s">
        <v>537</v>
      </c>
      <c r="D1451" s="67" t="s">
        <v>519</v>
      </c>
      <c r="E1451" s="22">
        <f t="shared" ca="1" si="137"/>
        <v>40951</v>
      </c>
      <c r="F1451" s="11">
        <f>DATE(60,3,2)</f>
        <v>21977</v>
      </c>
      <c r="G1451" s="12">
        <f t="shared" ca="1" si="138"/>
        <v>52</v>
      </c>
      <c r="H1451" s="12">
        <f t="shared" ca="1" si="139"/>
        <v>-1</v>
      </c>
      <c r="I1451" s="13">
        <f t="shared" ca="1" si="140"/>
        <v>10</v>
      </c>
      <c r="J1451" s="14">
        <f t="shared" ca="1" si="141"/>
        <v>51</v>
      </c>
      <c r="K1451" s="12" t="s">
        <v>40</v>
      </c>
      <c r="L1451" s="15">
        <v>97</v>
      </c>
      <c r="M1451" s="25" t="s">
        <v>40</v>
      </c>
      <c r="N1451">
        <v>308</v>
      </c>
    </row>
    <row r="1452" spans="1:14">
      <c r="A1452" s="25">
        <f t="shared" si="136"/>
        <v>621</v>
      </c>
      <c r="B1452" s="67" t="s">
        <v>14</v>
      </c>
      <c r="C1452" s="67" t="s">
        <v>873</v>
      </c>
      <c r="D1452" s="67" t="s">
        <v>537</v>
      </c>
      <c r="E1452" s="22">
        <f t="shared" ca="1" si="137"/>
        <v>40951</v>
      </c>
      <c r="F1452" s="11">
        <f>DATE(92,2,10)</f>
        <v>33644</v>
      </c>
      <c r="G1452" s="12">
        <f t="shared" ca="1" si="138"/>
        <v>20</v>
      </c>
      <c r="H1452" s="12">
        <f t="shared" ca="1" si="139"/>
        <v>0</v>
      </c>
      <c r="I1452" s="13">
        <f t="shared" ca="1" si="140"/>
        <v>2</v>
      </c>
      <c r="J1452" s="14">
        <f t="shared" ca="1" si="141"/>
        <v>20</v>
      </c>
      <c r="K1452" s="12" t="s">
        <v>40</v>
      </c>
      <c r="L1452" s="15">
        <v>97</v>
      </c>
      <c r="M1452" s="25" t="s">
        <v>44</v>
      </c>
      <c r="N1452">
        <v>308</v>
      </c>
    </row>
    <row r="1453" spans="1:14" ht="15.75" thickBot="1">
      <c r="A1453" s="26">
        <f t="shared" si="136"/>
        <v>622</v>
      </c>
      <c r="B1453" s="67" t="s">
        <v>14</v>
      </c>
      <c r="C1453" s="68" t="s">
        <v>199</v>
      </c>
      <c r="D1453" s="68" t="s">
        <v>624</v>
      </c>
      <c r="E1453" s="23">
        <f t="shared" ca="1" si="137"/>
        <v>40951</v>
      </c>
      <c r="F1453" s="16">
        <f>DATE(44,11,21)</f>
        <v>16397</v>
      </c>
      <c r="G1453" s="17">
        <f t="shared" ca="1" si="138"/>
        <v>68</v>
      </c>
      <c r="H1453" s="17">
        <f t="shared" ca="1" si="139"/>
        <v>-9</v>
      </c>
      <c r="I1453" s="18">
        <f t="shared" ca="1" si="140"/>
        <v>-9</v>
      </c>
      <c r="J1453" s="19">
        <f t="shared" ca="1" si="141"/>
        <v>67</v>
      </c>
      <c r="K1453" s="17" t="s">
        <v>40</v>
      </c>
      <c r="L1453" s="20">
        <v>98</v>
      </c>
      <c r="M1453" s="26" t="s">
        <v>40</v>
      </c>
      <c r="N1453">
        <v>308</v>
      </c>
    </row>
    <row r="1454" spans="1:14">
      <c r="A1454" s="25">
        <f t="shared" si="136"/>
        <v>623</v>
      </c>
      <c r="B1454" s="67" t="s">
        <v>14</v>
      </c>
      <c r="C1454" s="67" t="s">
        <v>874</v>
      </c>
      <c r="D1454" s="67" t="s">
        <v>199</v>
      </c>
      <c r="E1454" s="22">
        <f t="shared" ca="1" si="137"/>
        <v>40951</v>
      </c>
      <c r="F1454" s="11">
        <f>DATE(81,4,11)</f>
        <v>29687</v>
      </c>
      <c r="G1454" s="12">
        <f t="shared" ca="1" si="138"/>
        <v>31</v>
      </c>
      <c r="H1454" s="12">
        <f t="shared" ca="1" si="139"/>
        <v>-2</v>
      </c>
      <c r="I1454" s="13">
        <f t="shared" ca="1" si="140"/>
        <v>1</v>
      </c>
      <c r="J1454" s="14">
        <f t="shared" ca="1" si="141"/>
        <v>30</v>
      </c>
      <c r="K1454" s="12" t="s">
        <v>40</v>
      </c>
      <c r="L1454" s="15">
        <v>98</v>
      </c>
      <c r="M1454" s="25" t="s">
        <v>44</v>
      </c>
      <c r="N1454">
        <v>309</v>
      </c>
    </row>
    <row r="1455" spans="1:14">
      <c r="A1455" s="25">
        <f t="shared" si="136"/>
        <v>624</v>
      </c>
      <c r="B1455" s="67" t="s">
        <v>14</v>
      </c>
      <c r="C1455" s="67" t="s">
        <v>49</v>
      </c>
      <c r="D1455" s="67" t="s">
        <v>519</v>
      </c>
      <c r="E1455" s="22">
        <f t="shared" ca="1" si="137"/>
        <v>40951</v>
      </c>
      <c r="F1455" s="32"/>
      <c r="G1455" s="12">
        <f t="shared" ca="1" si="138"/>
        <v>112</v>
      </c>
      <c r="H1455" s="12">
        <f t="shared" ca="1" si="139"/>
        <v>1</v>
      </c>
      <c r="I1455" s="13">
        <f t="shared" ca="1" si="140"/>
        <v>12</v>
      </c>
      <c r="J1455" s="14">
        <f t="shared" ca="1" si="141"/>
        <v>112</v>
      </c>
      <c r="K1455" s="12" t="s">
        <v>40</v>
      </c>
      <c r="L1455" s="15">
        <v>98</v>
      </c>
      <c r="M1455" s="25" t="s">
        <v>40</v>
      </c>
      <c r="N1455">
        <v>309</v>
      </c>
    </row>
    <row r="1456" spans="1:14">
      <c r="A1456" s="25">
        <f t="shared" si="136"/>
        <v>625</v>
      </c>
      <c r="B1456" s="67" t="s">
        <v>14</v>
      </c>
      <c r="C1456" s="67" t="s">
        <v>641</v>
      </c>
      <c r="D1456" s="67" t="s">
        <v>49</v>
      </c>
      <c r="E1456" s="22">
        <f t="shared" ca="1" si="137"/>
        <v>40951</v>
      </c>
      <c r="F1456" s="11">
        <f>DATE(79,11,27)</f>
        <v>29186</v>
      </c>
      <c r="G1456" s="12">
        <f t="shared" ca="1" si="138"/>
        <v>33</v>
      </c>
      <c r="H1456" s="12">
        <f t="shared" ca="1" si="139"/>
        <v>-9</v>
      </c>
      <c r="I1456" s="13">
        <f t="shared" ca="1" si="140"/>
        <v>-15</v>
      </c>
      <c r="J1456" s="14">
        <f t="shared" ca="1" si="141"/>
        <v>32</v>
      </c>
      <c r="K1456" s="12" t="s">
        <v>40</v>
      </c>
      <c r="L1456" s="15">
        <v>98</v>
      </c>
      <c r="M1456" s="25" t="s">
        <v>40</v>
      </c>
      <c r="N1456">
        <v>309</v>
      </c>
    </row>
    <row r="1457" spans="1:14">
      <c r="A1457" s="25">
        <f t="shared" si="136"/>
        <v>626</v>
      </c>
      <c r="B1457" s="67" t="s">
        <v>14</v>
      </c>
      <c r="C1457" s="67" t="s">
        <v>183</v>
      </c>
      <c r="D1457" s="67" t="s">
        <v>641</v>
      </c>
      <c r="E1457" s="22">
        <f t="shared" ca="1" si="137"/>
        <v>40951</v>
      </c>
      <c r="F1457" s="11">
        <f>DATE(85,10,16)</f>
        <v>31336</v>
      </c>
      <c r="G1457" s="12">
        <f t="shared" ca="1" si="138"/>
        <v>27</v>
      </c>
      <c r="H1457" s="12">
        <f t="shared" ca="1" si="139"/>
        <v>-8</v>
      </c>
      <c r="I1457" s="13">
        <f t="shared" ca="1" si="140"/>
        <v>-4</v>
      </c>
      <c r="J1457" s="14">
        <f t="shared" ca="1" si="141"/>
        <v>26</v>
      </c>
      <c r="K1457" s="12" t="s">
        <v>40</v>
      </c>
      <c r="L1457" s="15">
        <v>98</v>
      </c>
      <c r="M1457" s="25" t="s">
        <v>44</v>
      </c>
      <c r="N1457">
        <v>309</v>
      </c>
    </row>
    <row r="1458" spans="1:14">
      <c r="A1458" s="25">
        <f t="shared" si="136"/>
        <v>627</v>
      </c>
      <c r="B1458" s="67" t="s">
        <v>14</v>
      </c>
      <c r="C1458" s="67" t="s">
        <v>463</v>
      </c>
      <c r="D1458" s="67" t="s">
        <v>429</v>
      </c>
      <c r="E1458" s="22">
        <f t="shared" ca="1" si="137"/>
        <v>40951</v>
      </c>
      <c r="F1458" s="11">
        <f>DATE(50,7,1)</f>
        <v>18445</v>
      </c>
      <c r="G1458" s="12">
        <f t="shared" ca="1" si="138"/>
        <v>62</v>
      </c>
      <c r="H1458" s="12">
        <f t="shared" ca="1" si="139"/>
        <v>-5</v>
      </c>
      <c r="I1458" s="13">
        <f t="shared" ca="1" si="140"/>
        <v>11</v>
      </c>
      <c r="J1458" s="14">
        <f t="shared" ca="1" si="141"/>
        <v>61</v>
      </c>
      <c r="K1458" s="12" t="s">
        <v>40</v>
      </c>
      <c r="L1458" s="15">
        <v>98</v>
      </c>
      <c r="M1458" s="25" t="s">
        <v>40</v>
      </c>
      <c r="N1458">
        <v>309</v>
      </c>
    </row>
    <row r="1459" spans="1:14" ht="15.75" thickBot="1">
      <c r="A1459" s="26">
        <f t="shared" si="136"/>
        <v>628</v>
      </c>
      <c r="B1459" s="67" t="s">
        <v>14</v>
      </c>
      <c r="C1459" s="68" t="s">
        <v>126</v>
      </c>
      <c r="D1459" s="68" t="s">
        <v>463</v>
      </c>
      <c r="E1459" s="23">
        <f t="shared" ca="1" si="137"/>
        <v>40951</v>
      </c>
      <c r="F1459" s="16">
        <f>DATE(84,10,13)</f>
        <v>30968</v>
      </c>
      <c r="G1459" s="17">
        <f t="shared" ca="1" si="138"/>
        <v>28</v>
      </c>
      <c r="H1459" s="17">
        <f t="shared" ca="1" si="139"/>
        <v>-8</v>
      </c>
      <c r="I1459" s="18">
        <f t="shared" ca="1" si="140"/>
        <v>-1</v>
      </c>
      <c r="J1459" s="19">
        <f t="shared" ca="1" si="141"/>
        <v>27</v>
      </c>
      <c r="K1459" s="17" t="s">
        <v>40</v>
      </c>
      <c r="L1459" s="20">
        <v>98</v>
      </c>
      <c r="M1459" s="26" t="s">
        <v>44</v>
      </c>
      <c r="N1459">
        <v>309</v>
      </c>
    </row>
    <row r="1460" spans="1:14">
      <c r="A1460" s="25">
        <f t="shared" si="136"/>
        <v>629</v>
      </c>
      <c r="B1460" s="67" t="s">
        <v>14</v>
      </c>
      <c r="C1460" s="67" t="s">
        <v>463</v>
      </c>
      <c r="D1460" s="67" t="s">
        <v>56</v>
      </c>
      <c r="E1460" s="22">
        <f t="shared" ca="1" si="137"/>
        <v>40951</v>
      </c>
      <c r="F1460" s="11">
        <f>DATE(40,1,14)</f>
        <v>14624</v>
      </c>
      <c r="G1460" s="12">
        <f t="shared" ca="1" si="138"/>
        <v>72</v>
      </c>
      <c r="H1460" s="12">
        <f t="shared" ca="1" si="139"/>
        <v>1</v>
      </c>
      <c r="I1460" s="13">
        <f t="shared" ca="1" si="140"/>
        <v>-2</v>
      </c>
      <c r="J1460" s="14">
        <f t="shared" ca="1" si="141"/>
        <v>72</v>
      </c>
      <c r="K1460" s="12" t="s">
        <v>40</v>
      </c>
      <c r="L1460" s="15">
        <v>99</v>
      </c>
      <c r="M1460" s="25" t="s">
        <v>40</v>
      </c>
      <c r="N1460">
        <v>310</v>
      </c>
    </row>
    <row r="1461" spans="1:14">
      <c r="A1461" s="25">
        <f t="shared" si="136"/>
        <v>630</v>
      </c>
      <c r="B1461" s="67" t="s">
        <v>14</v>
      </c>
      <c r="C1461" s="67" t="s">
        <v>879</v>
      </c>
      <c r="D1461" s="67" t="s">
        <v>56</v>
      </c>
      <c r="E1461" s="22">
        <f t="shared" ca="1" si="137"/>
        <v>40951</v>
      </c>
      <c r="F1461" s="11">
        <f>DATE(32,7,17)</f>
        <v>11887</v>
      </c>
      <c r="G1461" s="12">
        <f t="shared" ca="1" si="138"/>
        <v>80</v>
      </c>
      <c r="H1461" s="12">
        <f t="shared" ca="1" si="139"/>
        <v>-5</v>
      </c>
      <c r="I1461" s="13">
        <f t="shared" ca="1" si="140"/>
        <v>-5</v>
      </c>
      <c r="J1461" s="14">
        <f t="shared" ca="1" si="141"/>
        <v>79</v>
      </c>
      <c r="K1461" s="12" t="s">
        <v>40</v>
      </c>
      <c r="L1461" s="15">
        <v>99</v>
      </c>
      <c r="M1461" s="25" t="s">
        <v>40</v>
      </c>
      <c r="N1461">
        <v>310</v>
      </c>
    </row>
    <row r="1462" spans="1:14">
      <c r="A1462" s="25">
        <f t="shared" si="136"/>
        <v>631</v>
      </c>
      <c r="B1462" s="67" t="s">
        <v>14</v>
      </c>
      <c r="C1462" s="67" t="s">
        <v>208</v>
      </c>
      <c r="D1462" s="67" t="s">
        <v>879</v>
      </c>
      <c r="E1462" s="22">
        <f t="shared" ca="1" si="137"/>
        <v>40951</v>
      </c>
      <c r="F1462" s="32"/>
      <c r="G1462" s="12">
        <f t="shared" ca="1" si="138"/>
        <v>112</v>
      </c>
      <c r="H1462" s="12">
        <f t="shared" ca="1" si="139"/>
        <v>1</v>
      </c>
      <c r="I1462" s="13">
        <f t="shared" ca="1" si="140"/>
        <v>12</v>
      </c>
      <c r="J1462" s="14">
        <f t="shared" ca="1" si="141"/>
        <v>112</v>
      </c>
      <c r="K1462" s="12" t="s">
        <v>40</v>
      </c>
      <c r="L1462" s="15">
        <v>99</v>
      </c>
      <c r="M1462" s="25" t="s">
        <v>40</v>
      </c>
      <c r="N1462">
        <v>310</v>
      </c>
    </row>
    <row r="1463" spans="1:14" ht="15.75" thickBot="1">
      <c r="A1463" s="26">
        <f t="shared" si="136"/>
        <v>632</v>
      </c>
      <c r="B1463" s="67" t="s">
        <v>14</v>
      </c>
      <c r="C1463" s="68" t="s">
        <v>873</v>
      </c>
      <c r="D1463" s="68" t="s">
        <v>208</v>
      </c>
      <c r="E1463" s="23">
        <f t="shared" ca="1" si="137"/>
        <v>40951</v>
      </c>
      <c r="F1463" s="33"/>
      <c r="G1463" s="17">
        <f t="shared" ca="1" si="138"/>
        <v>112</v>
      </c>
      <c r="H1463" s="17">
        <f t="shared" ca="1" si="139"/>
        <v>1</v>
      </c>
      <c r="I1463" s="18">
        <f t="shared" ca="1" si="140"/>
        <v>12</v>
      </c>
      <c r="J1463" s="19">
        <f t="shared" ca="1" si="141"/>
        <v>112</v>
      </c>
      <c r="K1463" s="17" t="s">
        <v>40</v>
      </c>
      <c r="L1463" s="20">
        <v>99</v>
      </c>
      <c r="M1463" s="26" t="s">
        <v>44</v>
      </c>
      <c r="N1463">
        <v>310</v>
      </c>
    </row>
    <row r="1464" spans="1:14">
      <c r="A1464" s="25">
        <f t="shared" si="136"/>
        <v>633</v>
      </c>
      <c r="B1464" s="67" t="s">
        <v>14</v>
      </c>
      <c r="C1464" s="67" t="s">
        <v>881</v>
      </c>
      <c r="D1464" s="67" t="s">
        <v>208</v>
      </c>
      <c r="E1464" s="22">
        <f t="shared" ca="1" si="137"/>
        <v>40951</v>
      </c>
      <c r="F1464" s="32"/>
      <c r="G1464" s="12">
        <f t="shared" ca="1" si="138"/>
        <v>112</v>
      </c>
      <c r="H1464" s="12">
        <f t="shared" ca="1" si="139"/>
        <v>1</v>
      </c>
      <c r="I1464" s="13">
        <f t="shared" ca="1" si="140"/>
        <v>12</v>
      </c>
      <c r="J1464" s="14">
        <f t="shared" ca="1" si="141"/>
        <v>112</v>
      </c>
      <c r="K1464" s="12" t="s">
        <v>40</v>
      </c>
      <c r="L1464" s="15">
        <v>99</v>
      </c>
      <c r="M1464" s="25" t="s">
        <v>44</v>
      </c>
      <c r="N1464">
        <v>311</v>
      </c>
    </row>
    <row r="1465" spans="1:14">
      <c r="A1465" s="25">
        <f t="shared" si="136"/>
        <v>634</v>
      </c>
      <c r="B1465" s="67" t="s">
        <v>14</v>
      </c>
      <c r="C1465" s="67" t="s">
        <v>882</v>
      </c>
      <c r="D1465" s="67" t="s">
        <v>208</v>
      </c>
      <c r="E1465" s="22">
        <f t="shared" ca="1" si="137"/>
        <v>40951</v>
      </c>
      <c r="F1465" s="32"/>
      <c r="G1465" s="12">
        <f t="shared" ca="1" si="138"/>
        <v>112</v>
      </c>
      <c r="H1465" s="12">
        <f t="shared" ca="1" si="139"/>
        <v>1</v>
      </c>
      <c r="I1465" s="13">
        <f t="shared" ca="1" si="140"/>
        <v>12</v>
      </c>
      <c r="J1465" s="14">
        <f t="shared" ca="1" si="141"/>
        <v>112</v>
      </c>
      <c r="K1465" s="12" t="s">
        <v>40</v>
      </c>
      <c r="L1465" s="15">
        <v>99</v>
      </c>
      <c r="M1465" s="25" t="s">
        <v>44</v>
      </c>
      <c r="N1465">
        <v>311</v>
      </c>
    </row>
    <row r="1466" spans="1:14">
      <c r="A1466" s="25">
        <f t="shared" si="136"/>
        <v>635</v>
      </c>
      <c r="B1466" s="67" t="s">
        <v>14</v>
      </c>
      <c r="C1466" s="67" t="s">
        <v>623</v>
      </c>
      <c r="D1466" s="67" t="s">
        <v>56</v>
      </c>
      <c r="E1466" s="22">
        <f t="shared" ca="1" si="137"/>
        <v>40951</v>
      </c>
      <c r="F1466" s="32"/>
      <c r="G1466" s="12">
        <f t="shared" ca="1" si="138"/>
        <v>112</v>
      </c>
      <c r="H1466" s="12">
        <f t="shared" ca="1" si="139"/>
        <v>1</v>
      </c>
      <c r="I1466" s="13">
        <f t="shared" ca="1" si="140"/>
        <v>12</v>
      </c>
      <c r="J1466" s="14">
        <f t="shared" ca="1" si="141"/>
        <v>112</v>
      </c>
      <c r="K1466" s="12" t="s">
        <v>40</v>
      </c>
      <c r="L1466" s="15">
        <v>99</v>
      </c>
      <c r="M1466" s="25" t="s">
        <v>40</v>
      </c>
      <c r="N1466">
        <v>311</v>
      </c>
    </row>
    <row r="1467" spans="1:14">
      <c r="A1467" s="25">
        <f t="shared" si="136"/>
        <v>636</v>
      </c>
      <c r="B1467" s="67" t="s">
        <v>14</v>
      </c>
      <c r="C1467" s="67" t="s">
        <v>90</v>
      </c>
      <c r="D1467" s="67" t="s">
        <v>429</v>
      </c>
      <c r="E1467" s="22">
        <f t="shared" ca="1" si="137"/>
        <v>40951</v>
      </c>
      <c r="F1467" s="11">
        <f>DATE(54,3,15)</f>
        <v>19798</v>
      </c>
      <c r="G1467" s="12">
        <f t="shared" ca="1" si="138"/>
        <v>58</v>
      </c>
      <c r="H1467" s="12">
        <f t="shared" ca="1" si="139"/>
        <v>-1</v>
      </c>
      <c r="I1467" s="13">
        <f t="shared" ca="1" si="140"/>
        <v>-3</v>
      </c>
      <c r="J1467" s="14">
        <f t="shared" ca="1" si="141"/>
        <v>57</v>
      </c>
      <c r="K1467" s="12" t="s">
        <v>40</v>
      </c>
      <c r="L1467" s="15">
        <v>100</v>
      </c>
      <c r="M1467" s="25" t="s">
        <v>40</v>
      </c>
      <c r="N1467">
        <v>311</v>
      </c>
    </row>
    <row r="1468" spans="1:14">
      <c r="A1468" s="25">
        <f t="shared" si="136"/>
        <v>637</v>
      </c>
      <c r="B1468" s="67" t="s">
        <v>14</v>
      </c>
      <c r="C1468" s="67" t="s">
        <v>887</v>
      </c>
      <c r="D1468" s="67" t="s">
        <v>90</v>
      </c>
      <c r="E1468" s="22">
        <f t="shared" ca="1" si="137"/>
        <v>40951</v>
      </c>
      <c r="F1468" s="11">
        <f>DATE(90,12,30)</f>
        <v>33237</v>
      </c>
      <c r="G1468" s="12">
        <f t="shared" ca="1" si="138"/>
        <v>22</v>
      </c>
      <c r="H1468" s="12">
        <f t="shared" ca="1" si="139"/>
        <v>-10</v>
      </c>
      <c r="I1468" s="13">
        <f t="shared" ca="1" si="140"/>
        <v>-18</v>
      </c>
      <c r="J1468" s="14">
        <f t="shared" ca="1" si="141"/>
        <v>21</v>
      </c>
      <c r="K1468" s="12" t="s">
        <v>40</v>
      </c>
      <c r="L1468" s="15">
        <v>100</v>
      </c>
      <c r="M1468" s="25" t="s">
        <v>44</v>
      </c>
      <c r="N1468">
        <v>311</v>
      </c>
    </row>
    <row r="1469" spans="1:14">
      <c r="A1469" s="25">
        <f t="shared" si="136"/>
        <v>638</v>
      </c>
      <c r="B1469" s="67" t="s">
        <v>14</v>
      </c>
      <c r="C1469" s="67" t="s">
        <v>237</v>
      </c>
      <c r="D1469" s="67" t="s">
        <v>519</v>
      </c>
      <c r="E1469" s="22">
        <f t="shared" ca="1" si="137"/>
        <v>40951</v>
      </c>
      <c r="F1469" s="32"/>
      <c r="G1469" s="12">
        <f t="shared" ca="1" si="138"/>
        <v>112</v>
      </c>
      <c r="H1469" s="12">
        <f t="shared" ca="1" si="139"/>
        <v>1</v>
      </c>
      <c r="I1469" s="13">
        <f t="shared" ca="1" si="140"/>
        <v>12</v>
      </c>
      <c r="J1469" s="14">
        <f t="shared" ca="1" si="141"/>
        <v>112</v>
      </c>
      <c r="K1469" s="12" t="s">
        <v>40</v>
      </c>
      <c r="L1469" s="15">
        <v>100</v>
      </c>
      <c r="M1469" s="25" t="s">
        <v>40</v>
      </c>
      <c r="N1469">
        <v>311</v>
      </c>
    </row>
    <row r="1470" spans="1:14">
      <c r="A1470" s="25">
        <f t="shared" ref="A1470:A1533" si="142">A1469+1</f>
        <v>639</v>
      </c>
      <c r="B1470" s="67" t="s">
        <v>14</v>
      </c>
      <c r="C1470" s="67" t="s">
        <v>888</v>
      </c>
      <c r="D1470" s="67" t="s">
        <v>237</v>
      </c>
      <c r="E1470" s="22">
        <f t="shared" ca="1" si="137"/>
        <v>40951</v>
      </c>
      <c r="F1470" s="32"/>
      <c r="G1470" s="12">
        <f t="shared" ca="1" si="138"/>
        <v>112</v>
      </c>
      <c r="H1470" s="12">
        <f t="shared" ca="1" si="139"/>
        <v>1</v>
      </c>
      <c r="I1470" s="13">
        <f t="shared" ca="1" si="140"/>
        <v>12</v>
      </c>
      <c r="J1470" s="14">
        <f t="shared" ca="1" si="141"/>
        <v>112</v>
      </c>
      <c r="K1470" s="12" t="s">
        <v>40</v>
      </c>
      <c r="L1470" s="15">
        <v>100</v>
      </c>
      <c r="M1470" s="25" t="s">
        <v>44</v>
      </c>
      <c r="N1470">
        <v>311</v>
      </c>
    </row>
    <row r="1471" spans="1:14">
      <c r="A1471" s="25">
        <f t="shared" si="142"/>
        <v>640</v>
      </c>
      <c r="B1471" s="67" t="s">
        <v>14</v>
      </c>
      <c r="C1471" s="67" t="s">
        <v>339</v>
      </c>
      <c r="D1471" s="67" t="s">
        <v>237</v>
      </c>
      <c r="E1471" s="22">
        <f t="shared" ca="1" si="137"/>
        <v>40951</v>
      </c>
      <c r="F1471" s="32"/>
      <c r="G1471" s="12">
        <f t="shared" ca="1" si="138"/>
        <v>112</v>
      </c>
      <c r="H1471" s="12">
        <f t="shared" ca="1" si="139"/>
        <v>1</v>
      </c>
      <c r="I1471" s="13">
        <f t="shared" ca="1" si="140"/>
        <v>12</v>
      </c>
      <c r="J1471" s="14">
        <f t="shared" ca="1" si="141"/>
        <v>112</v>
      </c>
      <c r="K1471" s="12" t="s">
        <v>40</v>
      </c>
      <c r="L1471" s="15">
        <v>100</v>
      </c>
      <c r="M1471" s="25" t="s">
        <v>44</v>
      </c>
      <c r="N1471">
        <v>311</v>
      </c>
    </row>
    <row r="1472" spans="1:14" ht="15.75" thickBot="1">
      <c r="A1472" s="26">
        <f t="shared" si="142"/>
        <v>641</v>
      </c>
      <c r="B1472" s="67" t="s">
        <v>14</v>
      </c>
      <c r="C1472" s="68" t="s">
        <v>648</v>
      </c>
      <c r="D1472" s="68" t="s">
        <v>429</v>
      </c>
      <c r="E1472" s="23">
        <f t="shared" ca="1" si="137"/>
        <v>40951</v>
      </c>
      <c r="F1472" s="33"/>
      <c r="G1472" s="17">
        <f t="shared" ca="1" si="138"/>
        <v>112</v>
      </c>
      <c r="H1472" s="17">
        <f t="shared" ca="1" si="139"/>
        <v>1</v>
      </c>
      <c r="I1472" s="18">
        <f t="shared" ca="1" si="140"/>
        <v>12</v>
      </c>
      <c r="J1472" s="19">
        <f t="shared" ca="1" si="141"/>
        <v>112</v>
      </c>
      <c r="K1472" s="17" t="s">
        <v>40</v>
      </c>
      <c r="L1472" s="20">
        <v>100</v>
      </c>
      <c r="M1472" s="26" t="s">
        <v>40</v>
      </c>
      <c r="N1472">
        <v>311</v>
      </c>
    </row>
    <row r="1473" spans="1:14">
      <c r="A1473" s="25">
        <f t="shared" si="142"/>
        <v>642</v>
      </c>
      <c r="B1473" s="67" t="s">
        <v>16</v>
      </c>
      <c r="C1473" s="67" t="s">
        <v>889</v>
      </c>
      <c r="D1473" s="67" t="s">
        <v>890</v>
      </c>
      <c r="E1473" s="22">
        <f t="shared" ref="E1473:E1536" ca="1" si="143">TODAY()</f>
        <v>40951</v>
      </c>
      <c r="F1473" s="11">
        <f>DATE(26,4,16)</f>
        <v>9603</v>
      </c>
      <c r="G1473" s="12">
        <f t="shared" ref="G1473:G1536" ca="1" si="144">YEAR(E1473)-YEAR(F1473)</f>
        <v>86</v>
      </c>
      <c r="H1473" s="12">
        <f t="shared" ref="H1473:H1536" ca="1" si="145">MONTH(E1473)-MONTH(F1473)</f>
        <v>-2</v>
      </c>
      <c r="I1473" s="13">
        <f t="shared" ref="I1473:I1536" ca="1" si="146">DAY(E1473)-DAY(F1473)</f>
        <v>-4</v>
      </c>
      <c r="J1473" s="14">
        <f t="shared" ref="J1473:J1536" ca="1" si="147">IF(H1473&lt;0,G1473-1,IF(H1473&gt;0,G1473,IF(I1473&lt;0,G1473-1,G1473)))</f>
        <v>85</v>
      </c>
      <c r="K1473" s="12" t="s">
        <v>40</v>
      </c>
      <c r="L1473" s="15">
        <v>101</v>
      </c>
      <c r="M1473" s="25" t="s">
        <v>40</v>
      </c>
      <c r="N1473">
        <v>312</v>
      </c>
    </row>
    <row r="1474" spans="1:14">
      <c r="A1474" s="25">
        <f t="shared" si="142"/>
        <v>643</v>
      </c>
      <c r="B1474" s="67" t="s">
        <v>16</v>
      </c>
      <c r="C1474" s="67" t="s">
        <v>892</v>
      </c>
      <c r="D1474" s="67" t="s">
        <v>889</v>
      </c>
      <c r="E1474" s="22">
        <f t="shared" ca="1" si="143"/>
        <v>40951</v>
      </c>
      <c r="F1474" s="11">
        <f>DATE(55,2,25)</f>
        <v>20145</v>
      </c>
      <c r="G1474" s="12">
        <f t="shared" ca="1" si="144"/>
        <v>57</v>
      </c>
      <c r="H1474" s="12">
        <f t="shared" ca="1" si="145"/>
        <v>0</v>
      </c>
      <c r="I1474" s="13">
        <f t="shared" ca="1" si="146"/>
        <v>-13</v>
      </c>
      <c r="J1474" s="14">
        <f t="shared" ca="1" si="147"/>
        <v>56</v>
      </c>
      <c r="K1474" s="12" t="s">
        <v>40</v>
      </c>
      <c r="L1474" s="15">
        <v>101</v>
      </c>
      <c r="M1474" s="25" t="s">
        <v>40</v>
      </c>
      <c r="N1474">
        <v>312</v>
      </c>
    </row>
    <row r="1475" spans="1:14" ht="15.75" thickBot="1">
      <c r="A1475" s="26">
        <f t="shared" si="142"/>
        <v>644</v>
      </c>
      <c r="B1475" s="67" t="s">
        <v>16</v>
      </c>
      <c r="C1475" s="68" t="s">
        <v>183</v>
      </c>
      <c r="D1475" s="68" t="s">
        <v>892</v>
      </c>
      <c r="E1475" s="23">
        <f t="shared" ca="1" si="143"/>
        <v>40951</v>
      </c>
      <c r="F1475" s="16">
        <f>DATE(83,4,22)</f>
        <v>30428</v>
      </c>
      <c r="G1475" s="17">
        <f t="shared" ca="1" si="144"/>
        <v>29</v>
      </c>
      <c r="H1475" s="17">
        <f t="shared" ca="1" si="145"/>
        <v>-2</v>
      </c>
      <c r="I1475" s="18">
        <f t="shared" ca="1" si="146"/>
        <v>-10</v>
      </c>
      <c r="J1475" s="19">
        <f t="shared" ca="1" si="147"/>
        <v>28</v>
      </c>
      <c r="K1475" s="17" t="s">
        <v>40</v>
      </c>
      <c r="L1475" s="20">
        <v>101</v>
      </c>
      <c r="M1475" s="26" t="s">
        <v>44</v>
      </c>
      <c r="N1475">
        <v>312</v>
      </c>
    </row>
    <row r="1476" spans="1:14">
      <c r="A1476" s="25">
        <f t="shared" si="142"/>
        <v>645</v>
      </c>
      <c r="B1476" s="67" t="s">
        <v>17</v>
      </c>
      <c r="C1476" s="67" t="s">
        <v>893</v>
      </c>
      <c r="D1476" s="67" t="s">
        <v>665</v>
      </c>
      <c r="E1476" s="22">
        <f t="shared" ca="1" si="143"/>
        <v>40951</v>
      </c>
      <c r="F1476" s="11">
        <f>DATE(68,3,15)</f>
        <v>24912</v>
      </c>
      <c r="G1476" s="12">
        <f t="shared" ca="1" si="144"/>
        <v>44</v>
      </c>
      <c r="H1476" s="12">
        <f t="shared" ca="1" si="145"/>
        <v>-1</v>
      </c>
      <c r="I1476" s="13">
        <f t="shared" ca="1" si="146"/>
        <v>-3</v>
      </c>
      <c r="J1476" s="14">
        <f t="shared" ca="1" si="147"/>
        <v>43</v>
      </c>
      <c r="K1476" s="12" t="s">
        <v>40</v>
      </c>
      <c r="L1476" s="15">
        <v>102</v>
      </c>
      <c r="M1476" s="25" t="s">
        <v>40</v>
      </c>
      <c r="N1476">
        <v>313</v>
      </c>
    </row>
    <row r="1477" spans="1:14">
      <c r="A1477" s="25">
        <f t="shared" si="142"/>
        <v>646</v>
      </c>
      <c r="B1477" s="67" t="s">
        <v>17</v>
      </c>
      <c r="C1477" s="67" t="s">
        <v>895</v>
      </c>
      <c r="D1477" s="67" t="s">
        <v>894</v>
      </c>
      <c r="E1477" s="22">
        <f t="shared" ca="1" si="143"/>
        <v>40951</v>
      </c>
      <c r="F1477" s="11">
        <f>DATE(98,5,1)</f>
        <v>35916</v>
      </c>
      <c r="G1477" s="12">
        <f t="shared" ca="1" si="144"/>
        <v>14</v>
      </c>
      <c r="H1477" s="12">
        <f t="shared" ca="1" si="145"/>
        <v>-3</v>
      </c>
      <c r="I1477" s="13">
        <f t="shared" ca="1" si="146"/>
        <v>11</v>
      </c>
      <c r="J1477" s="14">
        <f t="shared" ca="1" si="147"/>
        <v>13</v>
      </c>
      <c r="K1477" s="12" t="s">
        <v>40</v>
      </c>
      <c r="L1477" s="15">
        <v>102</v>
      </c>
      <c r="M1477" s="25" t="s">
        <v>44</v>
      </c>
      <c r="N1477">
        <v>313</v>
      </c>
    </row>
    <row r="1478" spans="1:14">
      <c r="A1478" s="25">
        <f t="shared" si="142"/>
        <v>647</v>
      </c>
      <c r="B1478" s="67" t="s">
        <v>17</v>
      </c>
      <c r="C1478" s="67" t="s">
        <v>897</v>
      </c>
      <c r="D1478" s="67" t="s">
        <v>665</v>
      </c>
      <c r="E1478" s="22">
        <f t="shared" ca="1" si="143"/>
        <v>40951</v>
      </c>
      <c r="F1478" s="11">
        <f>DATE(69,1,2)</f>
        <v>25205</v>
      </c>
      <c r="G1478" s="12">
        <f t="shared" ca="1" si="144"/>
        <v>43</v>
      </c>
      <c r="H1478" s="12">
        <f t="shared" ca="1" si="145"/>
        <v>1</v>
      </c>
      <c r="I1478" s="13">
        <f t="shared" ca="1" si="146"/>
        <v>10</v>
      </c>
      <c r="J1478" s="14">
        <f t="shared" ca="1" si="147"/>
        <v>43</v>
      </c>
      <c r="K1478" s="12" t="s">
        <v>40</v>
      </c>
      <c r="L1478" s="15">
        <v>102</v>
      </c>
      <c r="M1478" s="25" t="s">
        <v>40</v>
      </c>
      <c r="N1478">
        <v>313</v>
      </c>
    </row>
    <row r="1479" spans="1:14">
      <c r="A1479" s="25">
        <f t="shared" si="142"/>
        <v>648</v>
      </c>
      <c r="B1479" s="67" t="s">
        <v>17</v>
      </c>
      <c r="C1479" s="67" t="s">
        <v>331</v>
      </c>
      <c r="D1479" s="67" t="s">
        <v>624</v>
      </c>
      <c r="E1479" s="22">
        <f t="shared" ca="1" si="143"/>
        <v>40951</v>
      </c>
      <c r="F1479" s="11">
        <f>DATE(18,5,9)</f>
        <v>6704</v>
      </c>
      <c r="G1479" s="12">
        <f t="shared" ca="1" si="144"/>
        <v>94</v>
      </c>
      <c r="H1479" s="12">
        <f t="shared" ca="1" si="145"/>
        <v>-3</v>
      </c>
      <c r="I1479" s="13">
        <f t="shared" ca="1" si="146"/>
        <v>3</v>
      </c>
      <c r="J1479" s="14">
        <f t="shared" ca="1" si="147"/>
        <v>93</v>
      </c>
      <c r="K1479" s="12" t="s">
        <v>40</v>
      </c>
      <c r="L1479" s="15">
        <v>102</v>
      </c>
      <c r="M1479" s="25" t="s">
        <v>40</v>
      </c>
      <c r="N1479">
        <v>313</v>
      </c>
    </row>
    <row r="1480" spans="1:14">
      <c r="A1480" s="25">
        <f t="shared" si="142"/>
        <v>649</v>
      </c>
      <c r="B1480" s="67" t="s">
        <v>17</v>
      </c>
      <c r="C1480" s="67" t="s">
        <v>892</v>
      </c>
      <c r="D1480" s="67" t="s">
        <v>899</v>
      </c>
      <c r="E1480" s="22">
        <f t="shared" ca="1" si="143"/>
        <v>40951</v>
      </c>
      <c r="F1480" s="11">
        <f>DATE(72,7,3)</f>
        <v>26483</v>
      </c>
      <c r="G1480" s="12">
        <f t="shared" ca="1" si="144"/>
        <v>40</v>
      </c>
      <c r="H1480" s="12">
        <f t="shared" ca="1" si="145"/>
        <v>-5</v>
      </c>
      <c r="I1480" s="13">
        <f t="shared" ca="1" si="146"/>
        <v>9</v>
      </c>
      <c r="J1480" s="14">
        <f t="shared" ca="1" si="147"/>
        <v>39</v>
      </c>
      <c r="K1480" s="12" t="s">
        <v>40</v>
      </c>
      <c r="L1480" s="15">
        <v>102</v>
      </c>
      <c r="M1480" s="25" t="s">
        <v>40</v>
      </c>
      <c r="N1480">
        <v>313</v>
      </c>
    </row>
    <row r="1481" spans="1:14">
      <c r="A1481" s="25">
        <f t="shared" si="142"/>
        <v>650</v>
      </c>
      <c r="B1481" s="67" t="s">
        <v>17</v>
      </c>
      <c r="C1481" s="67" t="s">
        <v>486</v>
      </c>
      <c r="D1481" s="67" t="s">
        <v>892</v>
      </c>
      <c r="E1481" s="22">
        <f t="shared" ca="1" si="143"/>
        <v>40951</v>
      </c>
      <c r="F1481" s="11">
        <f>DATE(2000,3,25)</f>
        <v>36610</v>
      </c>
      <c r="G1481" s="12">
        <f t="shared" ca="1" si="144"/>
        <v>12</v>
      </c>
      <c r="H1481" s="12">
        <f t="shared" ca="1" si="145"/>
        <v>-1</v>
      </c>
      <c r="I1481" s="13">
        <f t="shared" ca="1" si="146"/>
        <v>-13</v>
      </c>
      <c r="J1481" s="14">
        <f t="shared" ca="1" si="147"/>
        <v>11</v>
      </c>
      <c r="K1481" s="12" t="s">
        <v>40</v>
      </c>
      <c r="L1481" s="15">
        <v>102</v>
      </c>
      <c r="M1481" s="25" t="s">
        <v>44</v>
      </c>
      <c r="N1481">
        <v>313</v>
      </c>
    </row>
    <row r="1482" spans="1:14">
      <c r="A1482" s="25">
        <f t="shared" si="142"/>
        <v>651</v>
      </c>
      <c r="B1482" s="67" t="s">
        <v>17</v>
      </c>
      <c r="C1482" s="67" t="s">
        <v>483</v>
      </c>
      <c r="D1482" s="67" t="s">
        <v>435</v>
      </c>
      <c r="E1482" s="22">
        <f t="shared" ca="1" si="143"/>
        <v>40951</v>
      </c>
      <c r="F1482" s="11">
        <f>DATE(53,8,8)</f>
        <v>19579</v>
      </c>
      <c r="G1482" s="12">
        <f t="shared" ca="1" si="144"/>
        <v>59</v>
      </c>
      <c r="H1482" s="12">
        <f t="shared" ca="1" si="145"/>
        <v>-6</v>
      </c>
      <c r="I1482" s="13">
        <f t="shared" ca="1" si="146"/>
        <v>4</v>
      </c>
      <c r="J1482" s="14">
        <f t="shared" ca="1" si="147"/>
        <v>58</v>
      </c>
      <c r="K1482" s="12" t="s">
        <v>40</v>
      </c>
      <c r="L1482" s="15">
        <v>103</v>
      </c>
      <c r="M1482" s="25" t="s">
        <v>40</v>
      </c>
      <c r="N1482">
        <v>313</v>
      </c>
    </row>
    <row r="1483" spans="1:14">
      <c r="A1483" s="25">
        <f t="shared" si="142"/>
        <v>652</v>
      </c>
      <c r="B1483" s="67" t="s">
        <v>17</v>
      </c>
      <c r="C1483" s="67" t="s">
        <v>208</v>
      </c>
      <c r="D1483" s="67" t="s">
        <v>425</v>
      </c>
      <c r="E1483" s="22">
        <f t="shared" ca="1" si="143"/>
        <v>40951</v>
      </c>
      <c r="F1483" s="11">
        <f>DATE(46,2,1)</f>
        <v>16834</v>
      </c>
      <c r="G1483" s="12">
        <f t="shared" ca="1" si="144"/>
        <v>66</v>
      </c>
      <c r="H1483" s="12">
        <f t="shared" ca="1" si="145"/>
        <v>0</v>
      </c>
      <c r="I1483" s="13">
        <f t="shared" ca="1" si="146"/>
        <v>11</v>
      </c>
      <c r="J1483" s="14">
        <f t="shared" ca="1" si="147"/>
        <v>66</v>
      </c>
      <c r="K1483" s="12" t="s">
        <v>40</v>
      </c>
      <c r="L1483" s="15">
        <v>103</v>
      </c>
      <c r="M1483" s="25" t="s">
        <v>40</v>
      </c>
      <c r="N1483">
        <v>313</v>
      </c>
    </row>
    <row r="1484" spans="1:14">
      <c r="A1484" s="25">
        <f t="shared" si="142"/>
        <v>653</v>
      </c>
      <c r="B1484" s="67" t="s">
        <v>17</v>
      </c>
      <c r="C1484" s="67" t="s">
        <v>591</v>
      </c>
      <c r="D1484" s="67" t="s">
        <v>425</v>
      </c>
      <c r="E1484" s="22">
        <f t="shared" ca="1" si="143"/>
        <v>40951</v>
      </c>
      <c r="F1484" s="11">
        <f>DATE(41,7,18)</f>
        <v>15175</v>
      </c>
      <c r="G1484" s="12">
        <f t="shared" ca="1" si="144"/>
        <v>71</v>
      </c>
      <c r="H1484" s="12">
        <f t="shared" ca="1" si="145"/>
        <v>-5</v>
      </c>
      <c r="I1484" s="13">
        <f t="shared" ca="1" si="146"/>
        <v>-6</v>
      </c>
      <c r="J1484" s="14">
        <f t="shared" ca="1" si="147"/>
        <v>70</v>
      </c>
      <c r="K1484" s="12" t="s">
        <v>40</v>
      </c>
      <c r="L1484" s="15">
        <v>104</v>
      </c>
      <c r="M1484" s="25" t="s">
        <v>40</v>
      </c>
      <c r="N1484">
        <v>313</v>
      </c>
    </row>
    <row r="1485" spans="1:14">
      <c r="A1485" s="25">
        <f t="shared" si="142"/>
        <v>654</v>
      </c>
      <c r="B1485" s="67" t="s">
        <v>17</v>
      </c>
      <c r="C1485" s="67" t="s">
        <v>114</v>
      </c>
      <c r="D1485" s="67" t="s">
        <v>423</v>
      </c>
      <c r="E1485" s="22">
        <f t="shared" ca="1" si="143"/>
        <v>40951</v>
      </c>
      <c r="F1485" s="11">
        <f>DATE(67,9,30)</f>
        <v>24745</v>
      </c>
      <c r="G1485" s="12">
        <f t="shared" ca="1" si="144"/>
        <v>45</v>
      </c>
      <c r="H1485" s="12">
        <f t="shared" ca="1" si="145"/>
        <v>-7</v>
      </c>
      <c r="I1485" s="13">
        <f t="shared" ca="1" si="146"/>
        <v>-18</v>
      </c>
      <c r="J1485" s="14">
        <f t="shared" ca="1" si="147"/>
        <v>44</v>
      </c>
      <c r="K1485" s="12" t="s">
        <v>40</v>
      </c>
      <c r="L1485" s="15">
        <v>104</v>
      </c>
      <c r="M1485" s="25" t="s">
        <v>40</v>
      </c>
      <c r="N1485">
        <v>313</v>
      </c>
    </row>
    <row r="1486" spans="1:14">
      <c r="A1486" s="25">
        <f t="shared" si="142"/>
        <v>655</v>
      </c>
      <c r="B1486" s="67" t="s">
        <v>17</v>
      </c>
      <c r="C1486" s="67" t="s">
        <v>571</v>
      </c>
      <c r="D1486" s="67" t="s">
        <v>114</v>
      </c>
      <c r="E1486" s="22">
        <f t="shared" ca="1" si="143"/>
        <v>40951</v>
      </c>
      <c r="F1486" s="11">
        <f>DATE(94,10,10)</f>
        <v>34617</v>
      </c>
      <c r="G1486" s="12">
        <f t="shared" ca="1" si="144"/>
        <v>18</v>
      </c>
      <c r="H1486" s="12">
        <f t="shared" ca="1" si="145"/>
        <v>-8</v>
      </c>
      <c r="I1486" s="13">
        <f t="shared" ca="1" si="146"/>
        <v>2</v>
      </c>
      <c r="J1486" s="14">
        <f t="shared" ca="1" si="147"/>
        <v>17</v>
      </c>
      <c r="K1486" s="12" t="s">
        <v>40</v>
      </c>
      <c r="L1486" s="15">
        <v>104</v>
      </c>
      <c r="M1486" s="25" t="s">
        <v>44</v>
      </c>
      <c r="N1486">
        <v>313</v>
      </c>
    </row>
    <row r="1487" spans="1:14">
      <c r="A1487" s="25">
        <f t="shared" si="142"/>
        <v>656</v>
      </c>
      <c r="B1487" s="67" t="s">
        <v>17</v>
      </c>
      <c r="C1487" s="67" t="s">
        <v>903</v>
      </c>
      <c r="D1487" s="67" t="s">
        <v>423</v>
      </c>
      <c r="E1487" s="22">
        <f t="shared" ca="1" si="143"/>
        <v>40951</v>
      </c>
      <c r="F1487" s="11">
        <f>DATE(71,7,26)</f>
        <v>26140</v>
      </c>
      <c r="G1487" s="12">
        <f t="shared" ca="1" si="144"/>
        <v>41</v>
      </c>
      <c r="H1487" s="12">
        <f t="shared" ca="1" si="145"/>
        <v>-5</v>
      </c>
      <c r="I1487" s="13">
        <f t="shared" ca="1" si="146"/>
        <v>-14</v>
      </c>
      <c r="J1487" s="14">
        <f t="shared" ca="1" si="147"/>
        <v>40</v>
      </c>
      <c r="K1487" s="12" t="s">
        <v>40</v>
      </c>
      <c r="L1487" s="15">
        <v>104</v>
      </c>
      <c r="M1487" s="25" t="s">
        <v>40</v>
      </c>
      <c r="N1487">
        <v>313</v>
      </c>
    </row>
    <row r="1488" spans="1:14">
      <c r="A1488" s="25">
        <f t="shared" si="142"/>
        <v>657</v>
      </c>
      <c r="B1488" s="67" t="s">
        <v>17</v>
      </c>
      <c r="C1488" s="67" t="s">
        <v>905</v>
      </c>
      <c r="D1488" s="67" t="s">
        <v>903</v>
      </c>
      <c r="E1488" s="22">
        <f t="shared" ca="1" si="143"/>
        <v>40951</v>
      </c>
      <c r="F1488" s="11">
        <f>DATE(2004,2,2)</f>
        <v>38019</v>
      </c>
      <c r="G1488" s="12">
        <f t="shared" ca="1" si="144"/>
        <v>8</v>
      </c>
      <c r="H1488" s="12">
        <f t="shared" ca="1" si="145"/>
        <v>0</v>
      </c>
      <c r="I1488" s="13">
        <f t="shared" ca="1" si="146"/>
        <v>10</v>
      </c>
      <c r="J1488" s="14">
        <f t="shared" ca="1" si="147"/>
        <v>8</v>
      </c>
      <c r="K1488" s="12" t="s">
        <v>40</v>
      </c>
      <c r="L1488" s="15">
        <v>104</v>
      </c>
      <c r="M1488" s="25" t="s">
        <v>44</v>
      </c>
      <c r="N1488">
        <v>313</v>
      </c>
    </row>
    <row r="1489" spans="1:14">
      <c r="A1489" s="25">
        <f t="shared" si="142"/>
        <v>658</v>
      </c>
      <c r="B1489" s="67" t="s">
        <v>17</v>
      </c>
      <c r="C1489" s="67" t="s">
        <v>305</v>
      </c>
      <c r="D1489" s="67" t="s">
        <v>423</v>
      </c>
      <c r="E1489" s="22">
        <f t="shared" ca="1" si="143"/>
        <v>40951</v>
      </c>
      <c r="F1489" s="11">
        <f>DATE(74,5,20)</f>
        <v>27169</v>
      </c>
      <c r="G1489" s="12">
        <f t="shared" ca="1" si="144"/>
        <v>38</v>
      </c>
      <c r="H1489" s="12">
        <f t="shared" ca="1" si="145"/>
        <v>-3</v>
      </c>
      <c r="I1489" s="13">
        <f t="shared" ca="1" si="146"/>
        <v>-8</v>
      </c>
      <c r="J1489" s="14">
        <f t="shared" ca="1" si="147"/>
        <v>37</v>
      </c>
      <c r="K1489" s="12" t="s">
        <v>40</v>
      </c>
      <c r="L1489" s="15">
        <v>104</v>
      </c>
      <c r="M1489" s="25" t="s">
        <v>40</v>
      </c>
      <c r="N1489">
        <v>313</v>
      </c>
    </row>
    <row r="1490" spans="1:14" ht="15.75" thickBot="1">
      <c r="A1490" s="26">
        <f t="shared" si="142"/>
        <v>659</v>
      </c>
      <c r="B1490" s="67" t="s">
        <v>17</v>
      </c>
      <c r="C1490" s="68" t="s">
        <v>907</v>
      </c>
      <c r="D1490" s="68" t="s">
        <v>305</v>
      </c>
      <c r="E1490" s="23">
        <f t="shared" ca="1" si="143"/>
        <v>40951</v>
      </c>
      <c r="F1490" s="16">
        <f>DATE(2005,2,11)</f>
        <v>38394</v>
      </c>
      <c r="G1490" s="17">
        <f t="shared" ca="1" si="144"/>
        <v>7</v>
      </c>
      <c r="H1490" s="17">
        <f t="shared" ca="1" si="145"/>
        <v>0</v>
      </c>
      <c r="I1490" s="18">
        <f t="shared" ca="1" si="146"/>
        <v>1</v>
      </c>
      <c r="J1490" s="19">
        <f t="shared" ca="1" si="147"/>
        <v>7</v>
      </c>
      <c r="K1490" s="17" t="s">
        <v>40</v>
      </c>
      <c r="L1490" s="20">
        <v>104</v>
      </c>
      <c r="M1490" s="26" t="s">
        <v>44</v>
      </c>
      <c r="N1490">
        <v>313</v>
      </c>
    </row>
    <row r="1491" spans="1:14">
      <c r="A1491" s="25">
        <f t="shared" si="142"/>
        <v>660</v>
      </c>
      <c r="B1491" s="67" t="s">
        <v>17</v>
      </c>
      <c r="C1491" s="67" t="s">
        <v>452</v>
      </c>
      <c r="D1491" s="67" t="s">
        <v>423</v>
      </c>
      <c r="E1491" s="22">
        <f t="shared" ca="1" si="143"/>
        <v>40951</v>
      </c>
      <c r="F1491" s="11">
        <f>DATE(75,9,19)</f>
        <v>27656</v>
      </c>
      <c r="G1491" s="12">
        <f t="shared" ca="1" si="144"/>
        <v>37</v>
      </c>
      <c r="H1491" s="12">
        <f t="shared" ca="1" si="145"/>
        <v>-7</v>
      </c>
      <c r="I1491" s="13">
        <f t="shared" ca="1" si="146"/>
        <v>-7</v>
      </c>
      <c r="J1491" s="14">
        <f t="shared" ca="1" si="147"/>
        <v>36</v>
      </c>
      <c r="K1491" s="12" t="s">
        <v>40</v>
      </c>
      <c r="L1491" s="15">
        <v>104</v>
      </c>
      <c r="M1491" s="25" t="s">
        <v>40</v>
      </c>
      <c r="N1491">
        <v>314</v>
      </c>
    </row>
    <row r="1492" spans="1:14">
      <c r="A1492" s="25">
        <f t="shared" si="142"/>
        <v>661</v>
      </c>
      <c r="B1492" s="67" t="s">
        <v>17</v>
      </c>
      <c r="C1492" s="67" t="s">
        <v>909</v>
      </c>
      <c r="D1492" s="67" t="s">
        <v>452</v>
      </c>
      <c r="E1492" s="22">
        <f t="shared" ca="1" si="143"/>
        <v>40951</v>
      </c>
      <c r="F1492" s="11">
        <f>DATE(2003,10,25)</f>
        <v>37919</v>
      </c>
      <c r="G1492" s="12">
        <f t="shared" ca="1" si="144"/>
        <v>9</v>
      </c>
      <c r="H1492" s="12">
        <f t="shared" ca="1" si="145"/>
        <v>-8</v>
      </c>
      <c r="I1492" s="13">
        <f t="shared" ca="1" si="146"/>
        <v>-13</v>
      </c>
      <c r="J1492" s="14">
        <f t="shared" ca="1" si="147"/>
        <v>8</v>
      </c>
      <c r="K1492" s="12" t="s">
        <v>40</v>
      </c>
      <c r="L1492" s="15">
        <v>104</v>
      </c>
      <c r="M1492" s="25" t="s">
        <v>44</v>
      </c>
      <c r="N1492">
        <v>314</v>
      </c>
    </row>
    <row r="1493" spans="1:14">
      <c r="A1493" s="25">
        <f t="shared" si="142"/>
        <v>662</v>
      </c>
      <c r="B1493" s="67" t="s">
        <v>17</v>
      </c>
      <c r="C1493" s="67" t="s">
        <v>910</v>
      </c>
      <c r="D1493" s="67" t="s">
        <v>435</v>
      </c>
      <c r="E1493" s="22">
        <f t="shared" ca="1" si="143"/>
        <v>40951</v>
      </c>
      <c r="F1493" s="11">
        <f>DATE(55,6,17)</f>
        <v>20257</v>
      </c>
      <c r="G1493" s="12">
        <f t="shared" ca="1" si="144"/>
        <v>57</v>
      </c>
      <c r="H1493" s="12">
        <f t="shared" ca="1" si="145"/>
        <v>-4</v>
      </c>
      <c r="I1493" s="13">
        <f t="shared" ca="1" si="146"/>
        <v>-5</v>
      </c>
      <c r="J1493" s="14">
        <f t="shared" ca="1" si="147"/>
        <v>56</v>
      </c>
      <c r="K1493" s="12" t="s">
        <v>40</v>
      </c>
      <c r="L1493" s="15">
        <v>105</v>
      </c>
      <c r="M1493" s="25" t="s">
        <v>40</v>
      </c>
      <c r="N1493">
        <v>314</v>
      </c>
    </row>
    <row r="1494" spans="1:14" ht="15.75" thickBot="1">
      <c r="A1494" s="26">
        <f t="shared" si="142"/>
        <v>663</v>
      </c>
      <c r="B1494" s="67" t="s">
        <v>17</v>
      </c>
      <c r="C1494" s="68" t="s">
        <v>432</v>
      </c>
      <c r="D1494" s="68" t="s">
        <v>910</v>
      </c>
      <c r="E1494" s="23">
        <f t="shared" ca="1" si="143"/>
        <v>40951</v>
      </c>
      <c r="F1494" s="16">
        <f>DATE(90,1,14)</f>
        <v>32887</v>
      </c>
      <c r="G1494" s="17">
        <f t="shared" ca="1" si="144"/>
        <v>22</v>
      </c>
      <c r="H1494" s="17">
        <f t="shared" ca="1" si="145"/>
        <v>1</v>
      </c>
      <c r="I1494" s="18">
        <f t="shared" ca="1" si="146"/>
        <v>-2</v>
      </c>
      <c r="J1494" s="19">
        <f t="shared" ca="1" si="147"/>
        <v>22</v>
      </c>
      <c r="K1494" s="17" t="s">
        <v>40</v>
      </c>
      <c r="L1494" s="20">
        <v>105</v>
      </c>
      <c r="M1494" s="26" t="s">
        <v>44</v>
      </c>
      <c r="N1494">
        <v>314</v>
      </c>
    </row>
    <row r="1495" spans="1:14">
      <c r="A1495" s="25">
        <f t="shared" si="142"/>
        <v>664</v>
      </c>
      <c r="B1495" s="67" t="s">
        <v>17</v>
      </c>
      <c r="C1495" s="67" t="s">
        <v>911</v>
      </c>
      <c r="D1495" s="67" t="s">
        <v>910</v>
      </c>
      <c r="E1495" s="22">
        <f t="shared" ca="1" si="143"/>
        <v>40951</v>
      </c>
      <c r="F1495" s="11">
        <f>DATE(95,3,8)</f>
        <v>34766</v>
      </c>
      <c r="G1495" s="12">
        <f t="shared" ca="1" si="144"/>
        <v>17</v>
      </c>
      <c r="H1495" s="12">
        <f t="shared" ca="1" si="145"/>
        <v>-1</v>
      </c>
      <c r="I1495" s="13">
        <f t="shared" ca="1" si="146"/>
        <v>4</v>
      </c>
      <c r="J1495" s="14">
        <f t="shared" ca="1" si="147"/>
        <v>16</v>
      </c>
      <c r="K1495" s="12" t="s">
        <v>40</v>
      </c>
      <c r="L1495" s="15">
        <v>105</v>
      </c>
      <c r="M1495" s="25" t="s">
        <v>44</v>
      </c>
      <c r="N1495">
        <v>315</v>
      </c>
    </row>
    <row r="1496" spans="1:14">
      <c r="A1496" s="25">
        <f t="shared" si="142"/>
        <v>665</v>
      </c>
      <c r="B1496" s="67" t="s">
        <v>17</v>
      </c>
      <c r="C1496" s="67" t="s">
        <v>912</v>
      </c>
      <c r="D1496" s="67" t="s">
        <v>623</v>
      </c>
      <c r="E1496" s="22">
        <f t="shared" ca="1" si="143"/>
        <v>40951</v>
      </c>
      <c r="F1496" s="11">
        <f>DATE(69,11,14)</f>
        <v>25521</v>
      </c>
      <c r="G1496" s="12">
        <f t="shared" ca="1" si="144"/>
        <v>43</v>
      </c>
      <c r="H1496" s="12">
        <f t="shared" ca="1" si="145"/>
        <v>-9</v>
      </c>
      <c r="I1496" s="13">
        <f t="shared" ca="1" si="146"/>
        <v>-2</v>
      </c>
      <c r="J1496" s="14">
        <f t="shared" ca="1" si="147"/>
        <v>42</v>
      </c>
      <c r="K1496" s="12" t="s">
        <v>40</v>
      </c>
      <c r="L1496" s="15">
        <v>105</v>
      </c>
      <c r="M1496" s="25" t="s">
        <v>44</v>
      </c>
      <c r="N1496">
        <v>315</v>
      </c>
    </row>
    <row r="1497" spans="1:14">
      <c r="A1497" s="25">
        <f t="shared" si="142"/>
        <v>666</v>
      </c>
      <c r="B1497" s="67" t="s">
        <v>17</v>
      </c>
      <c r="C1497" s="67" t="s">
        <v>913</v>
      </c>
      <c r="D1497" s="67" t="s">
        <v>623</v>
      </c>
      <c r="E1497" s="22">
        <f t="shared" ca="1" si="143"/>
        <v>40951</v>
      </c>
      <c r="F1497" s="11">
        <f>DATE(71,9,21)</f>
        <v>26197</v>
      </c>
      <c r="G1497" s="12">
        <f t="shared" ca="1" si="144"/>
        <v>41</v>
      </c>
      <c r="H1497" s="12">
        <f t="shared" ca="1" si="145"/>
        <v>-7</v>
      </c>
      <c r="I1497" s="13">
        <f t="shared" ca="1" si="146"/>
        <v>-9</v>
      </c>
      <c r="J1497" s="14">
        <f t="shared" ca="1" si="147"/>
        <v>40</v>
      </c>
      <c r="K1497" s="12" t="s">
        <v>40</v>
      </c>
      <c r="L1497" s="15">
        <v>105</v>
      </c>
      <c r="M1497" s="25" t="s">
        <v>40</v>
      </c>
      <c r="N1497">
        <v>315</v>
      </c>
    </row>
    <row r="1498" spans="1:14" ht="15.75" thickBot="1">
      <c r="A1498" s="26">
        <f t="shared" si="142"/>
        <v>667</v>
      </c>
      <c r="B1498" s="67" t="s">
        <v>17</v>
      </c>
      <c r="C1498" s="68" t="s">
        <v>914</v>
      </c>
      <c r="D1498" s="68" t="s">
        <v>573</v>
      </c>
      <c r="E1498" s="23">
        <f t="shared" ca="1" si="143"/>
        <v>40951</v>
      </c>
      <c r="F1498" s="16">
        <f>DATE(43,7,21)</f>
        <v>15908</v>
      </c>
      <c r="G1498" s="17">
        <f t="shared" ca="1" si="144"/>
        <v>69</v>
      </c>
      <c r="H1498" s="17">
        <f t="shared" ca="1" si="145"/>
        <v>-5</v>
      </c>
      <c r="I1498" s="18">
        <f t="shared" ca="1" si="146"/>
        <v>-9</v>
      </c>
      <c r="J1498" s="19">
        <f t="shared" ca="1" si="147"/>
        <v>68</v>
      </c>
      <c r="K1498" s="17" t="s">
        <v>40</v>
      </c>
      <c r="L1498" s="20">
        <v>105</v>
      </c>
      <c r="M1498" s="26" t="s">
        <v>40</v>
      </c>
      <c r="N1498">
        <v>315</v>
      </c>
    </row>
    <row r="1499" spans="1:14">
      <c r="A1499" s="25">
        <f t="shared" si="142"/>
        <v>668</v>
      </c>
      <c r="B1499" s="67" t="s">
        <v>17</v>
      </c>
      <c r="C1499" s="67" t="s">
        <v>748</v>
      </c>
      <c r="D1499" s="67" t="s">
        <v>914</v>
      </c>
      <c r="E1499" s="22">
        <f t="shared" ca="1" si="143"/>
        <v>40951</v>
      </c>
      <c r="F1499" s="11">
        <f>DATE(69,9,14)</f>
        <v>25460</v>
      </c>
      <c r="G1499" s="12">
        <f t="shared" ca="1" si="144"/>
        <v>43</v>
      </c>
      <c r="H1499" s="12">
        <f t="shared" ca="1" si="145"/>
        <v>-7</v>
      </c>
      <c r="I1499" s="13">
        <f t="shared" ca="1" si="146"/>
        <v>-2</v>
      </c>
      <c r="J1499" s="14">
        <f t="shared" ca="1" si="147"/>
        <v>42</v>
      </c>
      <c r="K1499" s="12" t="s">
        <v>40</v>
      </c>
      <c r="L1499" s="15">
        <v>105</v>
      </c>
      <c r="M1499" s="25" t="s">
        <v>40</v>
      </c>
      <c r="N1499">
        <v>316</v>
      </c>
    </row>
    <row r="1500" spans="1:14" ht="15.75" thickBot="1">
      <c r="A1500" s="26">
        <f t="shared" si="142"/>
        <v>669</v>
      </c>
      <c r="B1500" s="67" t="s">
        <v>17</v>
      </c>
      <c r="C1500" s="68" t="s">
        <v>827</v>
      </c>
      <c r="D1500" s="68" t="s">
        <v>748</v>
      </c>
      <c r="E1500" s="23">
        <f t="shared" ca="1" si="143"/>
        <v>40951</v>
      </c>
      <c r="F1500" s="16">
        <f>DATE(2006,9,8)</f>
        <v>38968</v>
      </c>
      <c r="G1500" s="17">
        <f t="shared" ca="1" si="144"/>
        <v>6</v>
      </c>
      <c r="H1500" s="17">
        <f t="shared" ca="1" si="145"/>
        <v>-7</v>
      </c>
      <c r="I1500" s="18">
        <f t="shared" ca="1" si="146"/>
        <v>4</v>
      </c>
      <c r="J1500" s="19">
        <f t="shared" ca="1" si="147"/>
        <v>5</v>
      </c>
      <c r="K1500" s="17" t="s">
        <v>40</v>
      </c>
      <c r="L1500" s="20">
        <v>105</v>
      </c>
      <c r="M1500" s="26" t="s">
        <v>44</v>
      </c>
      <c r="N1500">
        <v>316</v>
      </c>
    </row>
    <row r="1501" spans="1:14">
      <c r="A1501" s="25">
        <f t="shared" si="142"/>
        <v>670</v>
      </c>
      <c r="B1501" s="67" t="s">
        <v>17</v>
      </c>
      <c r="C1501" s="67" t="s">
        <v>610</v>
      </c>
      <c r="D1501" s="67" t="s">
        <v>916</v>
      </c>
      <c r="E1501" s="22">
        <f t="shared" ca="1" si="143"/>
        <v>40951</v>
      </c>
      <c r="F1501" s="11">
        <f>DATE(63,2,12)</f>
        <v>23054</v>
      </c>
      <c r="G1501" s="12">
        <f t="shared" ca="1" si="144"/>
        <v>49</v>
      </c>
      <c r="H1501" s="12">
        <f t="shared" ca="1" si="145"/>
        <v>0</v>
      </c>
      <c r="I1501" s="13">
        <f t="shared" ca="1" si="146"/>
        <v>0</v>
      </c>
      <c r="J1501" s="14">
        <f t="shared" ca="1" si="147"/>
        <v>49</v>
      </c>
      <c r="K1501" s="12" t="s">
        <v>40</v>
      </c>
      <c r="L1501" s="15">
        <v>106</v>
      </c>
      <c r="M1501" s="25" t="s">
        <v>40</v>
      </c>
      <c r="N1501">
        <v>317</v>
      </c>
    </row>
    <row r="1502" spans="1:14">
      <c r="A1502" s="25">
        <f t="shared" si="142"/>
        <v>671</v>
      </c>
      <c r="B1502" s="67" t="s">
        <v>17</v>
      </c>
      <c r="C1502" s="67" t="s">
        <v>918</v>
      </c>
      <c r="D1502" s="67" t="s">
        <v>435</v>
      </c>
      <c r="E1502" s="22">
        <f t="shared" ca="1" si="143"/>
        <v>40951</v>
      </c>
      <c r="F1502" s="11">
        <f>DATE(40,3,18)</f>
        <v>14688</v>
      </c>
      <c r="G1502" s="12">
        <f t="shared" ca="1" si="144"/>
        <v>72</v>
      </c>
      <c r="H1502" s="12">
        <f t="shared" ca="1" si="145"/>
        <v>-1</v>
      </c>
      <c r="I1502" s="13">
        <f t="shared" ca="1" si="146"/>
        <v>-6</v>
      </c>
      <c r="J1502" s="14">
        <f t="shared" ca="1" si="147"/>
        <v>71</v>
      </c>
      <c r="K1502" s="12" t="s">
        <v>40</v>
      </c>
      <c r="L1502" s="15">
        <v>106</v>
      </c>
      <c r="M1502" s="25" t="s">
        <v>40</v>
      </c>
      <c r="N1502">
        <v>317</v>
      </c>
    </row>
    <row r="1503" spans="1:14">
      <c r="A1503" s="25">
        <f t="shared" si="142"/>
        <v>672</v>
      </c>
      <c r="B1503" s="67" t="s">
        <v>17</v>
      </c>
      <c r="C1503" s="67" t="s">
        <v>157</v>
      </c>
      <c r="D1503" s="67" t="s">
        <v>425</v>
      </c>
      <c r="E1503" s="22">
        <f t="shared" ca="1" si="143"/>
        <v>40951</v>
      </c>
      <c r="F1503" s="11">
        <f>DATE(36,7,3)</f>
        <v>13334</v>
      </c>
      <c r="G1503" s="12">
        <f t="shared" ca="1" si="144"/>
        <v>76</v>
      </c>
      <c r="H1503" s="12">
        <f t="shared" ca="1" si="145"/>
        <v>-5</v>
      </c>
      <c r="I1503" s="13">
        <f t="shared" ca="1" si="146"/>
        <v>9</v>
      </c>
      <c r="J1503" s="14">
        <f t="shared" ca="1" si="147"/>
        <v>75</v>
      </c>
      <c r="K1503" s="12" t="s">
        <v>40</v>
      </c>
      <c r="L1503" s="15">
        <v>106</v>
      </c>
      <c r="M1503" s="25" t="s">
        <v>40</v>
      </c>
      <c r="N1503">
        <v>317</v>
      </c>
    </row>
    <row r="1504" spans="1:14" ht="15.75" thickBot="1">
      <c r="A1504" s="26">
        <f t="shared" si="142"/>
        <v>673</v>
      </c>
      <c r="B1504" s="67" t="s">
        <v>17</v>
      </c>
      <c r="C1504" s="68" t="s">
        <v>181</v>
      </c>
      <c r="D1504" s="68" t="s">
        <v>899</v>
      </c>
      <c r="E1504" s="23">
        <f t="shared" ca="1" si="143"/>
        <v>40951</v>
      </c>
      <c r="F1504" s="16">
        <f>DATE(67,12,11)</f>
        <v>24817</v>
      </c>
      <c r="G1504" s="17">
        <f t="shared" ca="1" si="144"/>
        <v>45</v>
      </c>
      <c r="H1504" s="17">
        <f t="shared" ca="1" si="145"/>
        <v>-10</v>
      </c>
      <c r="I1504" s="18">
        <f t="shared" ca="1" si="146"/>
        <v>1</v>
      </c>
      <c r="J1504" s="19">
        <f t="shared" ca="1" si="147"/>
        <v>44</v>
      </c>
      <c r="K1504" s="17" t="s">
        <v>40</v>
      </c>
      <c r="L1504" s="20">
        <v>106</v>
      </c>
      <c r="M1504" s="26" t="s">
        <v>40</v>
      </c>
      <c r="N1504">
        <v>317</v>
      </c>
    </row>
    <row r="1505" spans="1:14">
      <c r="A1505" s="25">
        <f t="shared" si="142"/>
        <v>674</v>
      </c>
      <c r="B1505" s="67" t="s">
        <v>17</v>
      </c>
      <c r="C1505" s="67" t="s">
        <v>583</v>
      </c>
      <c r="D1505" s="67" t="s">
        <v>181</v>
      </c>
      <c r="E1505" s="22">
        <f t="shared" ca="1" si="143"/>
        <v>40951</v>
      </c>
      <c r="F1505" s="11">
        <f>DATE(92,10,22)</f>
        <v>33899</v>
      </c>
      <c r="G1505" s="12">
        <f t="shared" ca="1" si="144"/>
        <v>20</v>
      </c>
      <c r="H1505" s="12">
        <f t="shared" ca="1" si="145"/>
        <v>-8</v>
      </c>
      <c r="I1505" s="13">
        <f t="shared" ca="1" si="146"/>
        <v>-10</v>
      </c>
      <c r="J1505" s="14">
        <f t="shared" ca="1" si="147"/>
        <v>19</v>
      </c>
      <c r="K1505" s="12" t="s">
        <v>40</v>
      </c>
      <c r="L1505" s="15">
        <v>106</v>
      </c>
      <c r="M1505" s="25" t="s">
        <v>44</v>
      </c>
      <c r="N1505">
        <v>318</v>
      </c>
    </row>
    <row r="1506" spans="1:14">
      <c r="A1506" s="25">
        <f t="shared" si="142"/>
        <v>675</v>
      </c>
      <c r="B1506" s="67" t="s">
        <v>17</v>
      </c>
      <c r="C1506" s="67" t="s">
        <v>922</v>
      </c>
      <c r="D1506" s="67" t="s">
        <v>923</v>
      </c>
      <c r="E1506" s="22">
        <f t="shared" ca="1" si="143"/>
        <v>40951</v>
      </c>
      <c r="F1506" s="11">
        <f>DATE(61,10,9)</f>
        <v>22563</v>
      </c>
      <c r="G1506" s="12">
        <f t="shared" ca="1" si="144"/>
        <v>51</v>
      </c>
      <c r="H1506" s="12">
        <f t="shared" ca="1" si="145"/>
        <v>-8</v>
      </c>
      <c r="I1506" s="13">
        <f t="shared" ca="1" si="146"/>
        <v>3</v>
      </c>
      <c r="J1506" s="14">
        <f t="shared" ca="1" si="147"/>
        <v>50</v>
      </c>
      <c r="K1506" s="12" t="s">
        <v>40</v>
      </c>
      <c r="L1506" s="15">
        <v>107</v>
      </c>
      <c r="M1506" s="25" t="s">
        <v>40</v>
      </c>
      <c r="N1506">
        <v>318</v>
      </c>
    </row>
    <row r="1507" spans="1:14">
      <c r="A1507" s="25">
        <f t="shared" si="142"/>
        <v>676</v>
      </c>
      <c r="B1507" s="67" t="s">
        <v>17</v>
      </c>
      <c r="C1507" s="67" t="s">
        <v>432</v>
      </c>
      <c r="D1507" s="67" t="s">
        <v>922</v>
      </c>
      <c r="E1507" s="22">
        <f t="shared" ca="1" si="143"/>
        <v>40951</v>
      </c>
      <c r="F1507" s="11">
        <f>DATE(91,1,12)</f>
        <v>33250</v>
      </c>
      <c r="G1507" s="12">
        <f t="shared" ca="1" si="144"/>
        <v>21</v>
      </c>
      <c r="H1507" s="12">
        <f t="shared" ca="1" si="145"/>
        <v>1</v>
      </c>
      <c r="I1507" s="13">
        <f t="shared" ca="1" si="146"/>
        <v>0</v>
      </c>
      <c r="J1507" s="14">
        <f t="shared" ca="1" si="147"/>
        <v>21</v>
      </c>
      <c r="K1507" s="12" t="s">
        <v>40</v>
      </c>
      <c r="L1507" s="15">
        <v>107</v>
      </c>
      <c r="M1507" s="25" t="s">
        <v>44</v>
      </c>
      <c r="N1507">
        <v>318</v>
      </c>
    </row>
    <row r="1508" spans="1:14">
      <c r="A1508" s="25">
        <f t="shared" si="142"/>
        <v>677</v>
      </c>
      <c r="B1508" s="67" t="s">
        <v>17</v>
      </c>
      <c r="C1508" s="67" t="s">
        <v>571</v>
      </c>
      <c r="D1508" s="67" t="s">
        <v>922</v>
      </c>
      <c r="E1508" s="22">
        <f t="shared" ca="1" si="143"/>
        <v>40951</v>
      </c>
      <c r="F1508" s="11">
        <f>DATE(94,12,7)</f>
        <v>34675</v>
      </c>
      <c r="G1508" s="12">
        <f t="shared" ca="1" si="144"/>
        <v>18</v>
      </c>
      <c r="H1508" s="12">
        <f t="shared" ca="1" si="145"/>
        <v>-10</v>
      </c>
      <c r="I1508" s="13">
        <f t="shared" ca="1" si="146"/>
        <v>5</v>
      </c>
      <c r="J1508" s="14">
        <f t="shared" ca="1" si="147"/>
        <v>17</v>
      </c>
      <c r="K1508" s="12" t="s">
        <v>40</v>
      </c>
      <c r="L1508" s="15">
        <v>107</v>
      </c>
      <c r="M1508" s="25" t="s">
        <v>44</v>
      </c>
      <c r="N1508">
        <v>318</v>
      </c>
    </row>
    <row r="1509" spans="1:14">
      <c r="A1509" s="25">
        <f t="shared" si="142"/>
        <v>678</v>
      </c>
      <c r="B1509" s="67" t="s">
        <v>17</v>
      </c>
      <c r="C1509" s="67" t="s">
        <v>106</v>
      </c>
      <c r="D1509" s="67" t="s">
        <v>922</v>
      </c>
      <c r="E1509" s="22">
        <f t="shared" ca="1" si="143"/>
        <v>40951</v>
      </c>
      <c r="F1509" s="11">
        <f>DATE(91,10,20)</f>
        <v>33531</v>
      </c>
      <c r="G1509" s="12">
        <f t="shared" ca="1" si="144"/>
        <v>21</v>
      </c>
      <c r="H1509" s="12">
        <f t="shared" ca="1" si="145"/>
        <v>-8</v>
      </c>
      <c r="I1509" s="13">
        <f t="shared" ca="1" si="146"/>
        <v>-8</v>
      </c>
      <c r="J1509" s="14">
        <f t="shared" ca="1" si="147"/>
        <v>20</v>
      </c>
      <c r="K1509" s="12" t="s">
        <v>40</v>
      </c>
      <c r="L1509" s="15">
        <v>107</v>
      </c>
      <c r="M1509" s="25" t="s">
        <v>44</v>
      </c>
      <c r="N1509">
        <v>318</v>
      </c>
    </row>
    <row r="1510" spans="1:14">
      <c r="A1510" s="25">
        <f t="shared" si="142"/>
        <v>679</v>
      </c>
      <c r="B1510" s="67" t="s">
        <v>17</v>
      </c>
      <c r="C1510" s="67" t="s">
        <v>109</v>
      </c>
      <c r="D1510" s="67" t="s">
        <v>923</v>
      </c>
      <c r="E1510" s="22">
        <f t="shared" ca="1" si="143"/>
        <v>40951</v>
      </c>
      <c r="F1510" s="11">
        <f>DATE(53,9,21)</f>
        <v>19623</v>
      </c>
      <c r="G1510" s="12">
        <f t="shared" ca="1" si="144"/>
        <v>59</v>
      </c>
      <c r="H1510" s="12">
        <f t="shared" ca="1" si="145"/>
        <v>-7</v>
      </c>
      <c r="I1510" s="13">
        <f t="shared" ca="1" si="146"/>
        <v>-9</v>
      </c>
      <c r="J1510" s="14">
        <f t="shared" ca="1" si="147"/>
        <v>58</v>
      </c>
      <c r="K1510" s="12" t="s">
        <v>40</v>
      </c>
      <c r="L1510" s="15">
        <v>107</v>
      </c>
      <c r="M1510" s="25" t="s">
        <v>40</v>
      </c>
      <c r="N1510">
        <v>318</v>
      </c>
    </row>
    <row r="1511" spans="1:14">
      <c r="A1511" s="25">
        <f t="shared" si="142"/>
        <v>680</v>
      </c>
      <c r="B1511" s="67" t="s">
        <v>17</v>
      </c>
      <c r="C1511" s="67" t="s">
        <v>839</v>
      </c>
      <c r="D1511" s="67" t="s">
        <v>109</v>
      </c>
      <c r="E1511" s="22">
        <f t="shared" ca="1" si="143"/>
        <v>40951</v>
      </c>
      <c r="F1511" s="11">
        <f>DATE(93,11,27)</f>
        <v>34300</v>
      </c>
      <c r="G1511" s="12">
        <f t="shared" ca="1" si="144"/>
        <v>19</v>
      </c>
      <c r="H1511" s="12">
        <f t="shared" ca="1" si="145"/>
        <v>-9</v>
      </c>
      <c r="I1511" s="13">
        <f t="shared" ca="1" si="146"/>
        <v>-15</v>
      </c>
      <c r="J1511" s="14">
        <f t="shared" ca="1" si="147"/>
        <v>18</v>
      </c>
      <c r="K1511" s="12" t="s">
        <v>40</v>
      </c>
      <c r="L1511" s="15">
        <v>107</v>
      </c>
      <c r="M1511" s="25" t="s">
        <v>44</v>
      </c>
      <c r="N1511">
        <v>318</v>
      </c>
    </row>
    <row r="1512" spans="1:14" ht="15.75" thickBot="1">
      <c r="A1512" s="26">
        <f t="shared" si="142"/>
        <v>681</v>
      </c>
      <c r="B1512" s="67" t="s">
        <v>17</v>
      </c>
      <c r="C1512" s="68" t="s">
        <v>266</v>
      </c>
      <c r="D1512" s="68" t="s">
        <v>573</v>
      </c>
      <c r="E1512" s="23">
        <f t="shared" ca="1" si="143"/>
        <v>40951</v>
      </c>
      <c r="F1512" s="16">
        <f>DATE(51,11,9)</f>
        <v>18941</v>
      </c>
      <c r="G1512" s="17">
        <f t="shared" ca="1" si="144"/>
        <v>61</v>
      </c>
      <c r="H1512" s="17">
        <f t="shared" ca="1" si="145"/>
        <v>-9</v>
      </c>
      <c r="I1512" s="18">
        <f t="shared" ca="1" si="146"/>
        <v>3</v>
      </c>
      <c r="J1512" s="19">
        <f t="shared" ca="1" si="147"/>
        <v>60</v>
      </c>
      <c r="K1512" s="17" t="s">
        <v>40</v>
      </c>
      <c r="L1512" s="20">
        <v>107</v>
      </c>
      <c r="M1512" s="26" t="s">
        <v>40</v>
      </c>
      <c r="N1512">
        <v>318</v>
      </c>
    </row>
    <row r="1513" spans="1:14">
      <c r="A1513" s="25">
        <f t="shared" si="142"/>
        <v>682</v>
      </c>
      <c r="B1513" s="67" t="s">
        <v>17</v>
      </c>
      <c r="C1513" s="67" t="s">
        <v>305</v>
      </c>
      <c r="D1513" s="67" t="s">
        <v>266</v>
      </c>
      <c r="E1513" s="22">
        <f t="shared" ca="1" si="143"/>
        <v>40951</v>
      </c>
      <c r="F1513" s="11">
        <f>DATE(78,10,11)</f>
        <v>28774</v>
      </c>
      <c r="G1513" s="12">
        <f t="shared" ca="1" si="144"/>
        <v>34</v>
      </c>
      <c r="H1513" s="12">
        <f t="shared" ca="1" si="145"/>
        <v>-8</v>
      </c>
      <c r="I1513" s="13">
        <f t="shared" ca="1" si="146"/>
        <v>1</v>
      </c>
      <c r="J1513" s="14">
        <f t="shared" ca="1" si="147"/>
        <v>33</v>
      </c>
      <c r="K1513" s="12" t="s">
        <v>40</v>
      </c>
      <c r="L1513" s="15">
        <v>107</v>
      </c>
      <c r="M1513" s="25" t="s">
        <v>40</v>
      </c>
      <c r="N1513">
        <v>319</v>
      </c>
    </row>
    <row r="1514" spans="1:14">
      <c r="A1514" s="25">
        <f t="shared" si="142"/>
        <v>683</v>
      </c>
      <c r="B1514" s="67" t="s">
        <v>17</v>
      </c>
      <c r="C1514" s="67" t="s">
        <v>531</v>
      </c>
      <c r="D1514" s="67" t="s">
        <v>305</v>
      </c>
      <c r="E1514" s="22">
        <f t="shared" ca="1" si="143"/>
        <v>40951</v>
      </c>
      <c r="F1514" s="11">
        <f>DATE(2006,8,1)</f>
        <v>38930</v>
      </c>
      <c r="G1514" s="12">
        <f t="shared" ca="1" si="144"/>
        <v>6</v>
      </c>
      <c r="H1514" s="12">
        <f t="shared" ca="1" si="145"/>
        <v>-6</v>
      </c>
      <c r="I1514" s="13">
        <f t="shared" ca="1" si="146"/>
        <v>11</v>
      </c>
      <c r="J1514" s="14">
        <f t="shared" ca="1" si="147"/>
        <v>5</v>
      </c>
      <c r="K1514" s="12" t="s">
        <v>40</v>
      </c>
      <c r="L1514" s="15">
        <v>107</v>
      </c>
      <c r="M1514" s="25" t="s">
        <v>44</v>
      </c>
      <c r="N1514">
        <v>319</v>
      </c>
    </row>
    <row r="1515" spans="1:14">
      <c r="A1515" s="25">
        <f t="shared" si="142"/>
        <v>684</v>
      </c>
      <c r="B1515" s="67" t="s">
        <v>18</v>
      </c>
      <c r="C1515" s="67" t="s">
        <v>315</v>
      </c>
      <c r="D1515" s="67" t="s">
        <v>435</v>
      </c>
      <c r="E1515" s="22">
        <f t="shared" ca="1" si="143"/>
        <v>40951</v>
      </c>
      <c r="F1515" s="11">
        <f>DATE(55,12,5)</f>
        <v>20428</v>
      </c>
      <c r="G1515" s="12">
        <f t="shared" ca="1" si="144"/>
        <v>57</v>
      </c>
      <c r="H1515" s="12">
        <f t="shared" ca="1" si="145"/>
        <v>-10</v>
      </c>
      <c r="I1515" s="13">
        <f t="shared" ca="1" si="146"/>
        <v>7</v>
      </c>
      <c r="J1515" s="14">
        <f t="shared" ca="1" si="147"/>
        <v>56</v>
      </c>
      <c r="K1515" s="12" t="s">
        <v>40</v>
      </c>
      <c r="L1515" s="15">
        <v>108</v>
      </c>
      <c r="M1515" s="25" t="s">
        <v>40</v>
      </c>
      <c r="N1515">
        <v>319</v>
      </c>
    </row>
    <row r="1516" spans="1:14">
      <c r="A1516" s="25">
        <f t="shared" si="142"/>
        <v>685</v>
      </c>
      <c r="B1516" s="67" t="s">
        <v>18</v>
      </c>
      <c r="C1516" s="67" t="s">
        <v>927</v>
      </c>
      <c r="D1516" s="67" t="s">
        <v>315</v>
      </c>
      <c r="E1516" s="22">
        <f t="shared" ca="1" si="143"/>
        <v>40951</v>
      </c>
      <c r="F1516" s="11">
        <f>DATE(79,8,18)</f>
        <v>29085</v>
      </c>
      <c r="G1516" s="12">
        <f t="shared" ca="1" si="144"/>
        <v>33</v>
      </c>
      <c r="H1516" s="12">
        <f t="shared" ca="1" si="145"/>
        <v>-6</v>
      </c>
      <c r="I1516" s="13">
        <f t="shared" ca="1" si="146"/>
        <v>-6</v>
      </c>
      <c r="J1516" s="14">
        <f t="shared" ca="1" si="147"/>
        <v>32</v>
      </c>
      <c r="K1516" s="12" t="s">
        <v>40</v>
      </c>
      <c r="L1516" s="15">
        <v>108</v>
      </c>
      <c r="M1516" s="25" t="s">
        <v>40</v>
      </c>
      <c r="N1516">
        <v>319</v>
      </c>
    </row>
    <row r="1517" spans="1:14" ht="15.75" thickBot="1">
      <c r="A1517" s="26">
        <f t="shared" si="142"/>
        <v>686</v>
      </c>
      <c r="B1517" s="67" t="s">
        <v>18</v>
      </c>
      <c r="C1517" s="68" t="s">
        <v>928</v>
      </c>
      <c r="D1517" s="68" t="s">
        <v>315</v>
      </c>
      <c r="E1517" s="23">
        <f t="shared" ca="1" si="143"/>
        <v>40951</v>
      </c>
      <c r="F1517" s="16">
        <f>DATE(81,9,16)</f>
        <v>29845</v>
      </c>
      <c r="G1517" s="17">
        <f t="shared" ca="1" si="144"/>
        <v>31</v>
      </c>
      <c r="H1517" s="17">
        <f t="shared" ca="1" si="145"/>
        <v>-7</v>
      </c>
      <c r="I1517" s="18">
        <f t="shared" ca="1" si="146"/>
        <v>-4</v>
      </c>
      <c r="J1517" s="19">
        <f t="shared" ca="1" si="147"/>
        <v>30</v>
      </c>
      <c r="K1517" s="17" t="s">
        <v>40</v>
      </c>
      <c r="L1517" s="20">
        <v>108</v>
      </c>
      <c r="M1517" s="26" t="s">
        <v>44</v>
      </c>
      <c r="N1517">
        <v>319</v>
      </c>
    </row>
    <row r="1518" spans="1:14">
      <c r="A1518" s="25">
        <f t="shared" si="142"/>
        <v>687</v>
      </c>
      <c r="B1518" s="67" t="s">
        <v>18</v>
      </c>
      <c r="C1518" s="67" t="s">
        <v>930</v>
      </c>
      <c r="D1518" s="67" t="s">
        <v>358</v>
      </c>
      <c r="E1518" s="22">
        <f t="shared" ca="1" si="143"/>
        <v>40951</v>
      </c>
      <c r="F1518" s="11">
        <f>DATE(60,6,26)</f>
        <v>22093</v>
      </c>
      <c r="G1518" s="12">
        <f t="shared" ca="1" si="144"/>
        <v>52</v>
      </c>
      <c r="H1518" s="12">
        <f t="shared" ca="1" si="145"/>
        <v>-4</v>
      </c>
      <c r="I1518" s="13">
        <f t="shared" ca="1" si="146"/>
        <v>-14</v>
      </c>
      <c r="J1518" s="14">
        <f t="shared" ca="1" si="147"/>
        <v>51</v>
      </c>
      <c r="K1518" s="12" t="s">
        <v>40</v>
      </c>
      <c r="L1518" s="15">
        <v>108</v>
      </c>
      <c r="M1518" s="25" t="s">
        <v>40</v>
      </c>
      <c r="N1518">
        <v>320</v>
      </c>
    </row>
    <row r="1519" spans="1:14">
      <c r="A1519" s="25">
        <f t="shared" si="142"/>
        <v>688</v>
      </c>
      <c r="B1519" s="67" t="s">
        <v>18</v>
      </c>
      <c r="C1519" s="67" t="s">
        <v>931</v>
      </c>
      <c r="D1519" s="67" t="s">
        <v>930</v>
      </c>
      <c r="E1519" s="22">
        <f t="shared" ca="1" si="143"/>
        <v>40951</v>
      </c>
      <c r="F1519" s="11">
        <f>DATE(91,11,28)</f>
        <v>33570</v>
      </c>
      <c r="G1519" s="12">
        <f t="shared" ca="1" si="144"/>
        <v>21</v>
      </c>
      <c r="H1519" s="12">
        <f t="shared" ca="1" si="145"/>
        <v>-9</v>
      </c>
      <c r="I1519" s="13">
        <f t="shared" ca="1" si="146"/>
        <v>-16</v>
      </c>
      <c r="J1519" s="14">
        <f t="shared" ca="1" si="147"/>
        <v>20</v>
      </c>
      <c r="K1519" s="12" t="s">
        <v>40</v>
      </c>
      <c r="L1519" s="15">
        <v>108</v>
      </c>
      <c r="M1519" s="25" t="s">
        <v>44</v>
      </c>
      <c r="N1519">
        <v>320</v>
      </c>
    </row>
    <row r="1520" spans="1:14">
      <c r="A1520" s="25">
        <f t="shared" si="142"/>
        <v>689</v>
      </c>
      <c r="B1520" s="67" t="s">
        <v>18</v>
      </c>
      <c r="C1520" s="67" t="s">
        <v>932</v>
      </c>
      <c r="D1520" s="67" t="s">
        <v>358</v>
      </c>
      <c r="E1520" s="22">
        <f t="shared" ca="1" si="143"/>
        <v>40951</v>
      </c>
      <c r="F1520" s="65"/>
      <c r="G1520" s="12">
        <f t="shared" ca="1" si="144"/>
        <v>112</v>
      </c>
      <c r="H1520" s="12">
        <f t="shared" ca="1" si="145"/>
        <v>1</v>
      </c>
      <c r="I1520" s="13">
        <f t="shared" ca="1" si="146"/>
        <v>12</v>
      </c>
      <c r="J1520" s="14">
        <f t="shared" ca="1" si="147"/>
        <v>112</v>
      </c>
      <c r="K1520" s="12" t="s">
        <v>40</v>
      </c>
      <c r="L1520" s="15">
        <v>108</v>
      </c>
      <c r="M1520" s="25" t="s">
        <v>40</v>
      </c>
      <c r="N1520">
        <v>320</v>
      </c>
    </row>
    <row r="1521" spans="1:14" ht="15.75" thickBot="1">
      <c r="A1521" s="26">
        <f t="shared" si="142"/>
        <v>690</v>
      </c>
      <c r="B1521" s="67" t="s">
        <v>18</v>
      </c>
      <c r="C1521" s="68" t="s">
        <v>927</v>
      </c>
      <c r="D1521" s="68" t="s">
        <v>358</v>
      </c>
      <c r="E1521" s="23">
        <f t="shared" ca="1" si="143"/>
        <v>40951</v>
      </c>
      <c r="F1521" s="16">
        <f>DATE(65,5,31)</f>
        <v>23893</v>
      </c>
      <c r="G1521" s="17">
        <f t="shared" ca="1" si="144"/>
        <v>47</v>
      </c>
      <c r="H1521" s="17">
        <f t="shared" ca="1" si="145"/>
        <v>-3</v>
      </c>
      <c r="I1521" s="18">
        <f t="shared" ca="1" si="146"/>
        <v>-19</v>
      </c>
      <c r="J1521" s="19">
        <f t="shared" ca="1" si="147"/>
        <v>46</v>
      </c>
      <c r="K1521" s="17" t="s">
        <v>40</v>
      </c>
      <c r="L1521" s="20">
        <v>108</v>
      </c>
      <c r="M1521" s="26" t="s">
        <v>40</v>
      </c>
      <c r="N1521">
        <v>320</v>
      </c>
    </row>
    <row r="1522" spans="1:14">
      <c r="A1522" s="25">
        <f t="shared" si="142"/>
        <v>691</v>
      </c>
      <c r="B1522" s="67" t="s">
        <v>18</v>
      </c>
      <c r="C1522" s="67" t="s">
        <v>933</v>
      </c>
      <c r="D1522" s="67" t="s">
        <v>435</v>
      </c>
      <c r="E1522" s="22">
        <f t="shared" ca="1" si="143"/>
        <v>40951</v>
      </c>
      <c r="F1522" s="32"/>
      <c r="G1522" s="12">
        <f t="shared" ca="1" si="144"/>
        <v>112</v>
      </c>
      <c r="H1522" s="12">
        <f t="shared" ca="1" si="145"/>
        <v>1</v>
      </c>
      <c r="I1522" s="13">
        <f t="shared" ca="1" si="146"/>
        <v>12</v>
      </c>
      <c r="J1522" s="14">
        <f t="shared" ca="1" si="147"/>
        <v>112</v>
      </c>
      <c r="K1522" s="12" t="s">
        <v>40</v>
      </c>
      <c r="L1522" s="15">
        <v>109</v>
      </c>
      <c r="M1522" s="25" t="s">
        <v>40</v>
      </c>
      <c r="N1522">
        <v>321</v>
      </c>
    </row>
    <row r="1523" spans="1:14">
      <c r="A1523" s="25">
        <f t="shared" si="142"/>
        <v>692</v>
      </c>
      <c r="B1523" s="67" t="s">
        <v>18</v>
      </c>
      <c r="C1523" s="67" t="s">
        <v>169</v>
      </c>
      <c r="D1523" s="67" t="s">
        <v>933</v>
      </c>
      <c r="E1523" s="22">
        <f t="shared" ca="1" si="143"/>
        <v>40951</v>
      </c>
      <c r="F1523" s="32"/>
      <c r="G1523" s="12">
        <f t="shared" ca="1" si="144"/>
        <v>112</v>
      </c>
      <c r="H1523" s="12">
        <f t="shared" ca="1" si="145"/>
        <v>1</v>
      </c>
      <c r="I1523" s="13">
        <f t="shared" ca="1" si="146"/>
        <v>12</v>
      </c>
      <c r="J1523" s="14">
        <f t="shared" ca="1" si="147"/>
        <v>112</v>
      </c>
      <c r="K1523" s="12" t="s">
        <v>40</v>
      </c>
      <c r="L1523" s="15">
        <v>109</v>
      </c>
      <c r="M1523" s="25" t="s">
        <v>44</v>
      </c>
      <c r="N1523">
        <v>321</v>
      </c>
    </row>
    <row r="1524" spans="1:14">
      <c r="A1524" s="25">
        <f t="shared" si="142"/>
        <v>693</v>
      </c>
      <c r="B1524" s="67" t="s">
        <v>18</v>
      </c>
      <c r="C1524" s="67" t="s">
        <v>93</v>
      </c>
      <c r="D1524" s="67" t="s">
        <v>358</v>
      </c>
      <c r="E1524" s="22">
        <f t="shared" ca="1" si="143"/>
        <v>40951</v>
      </c>
      <c r="F1524" s="11">
        <f>DATE(86,10,23)</f>
        <v>31708</v>
      </c>
      <c r="G1524" s="12">
        <f t="shared" ca="1" si="144"/>
        <v>26</v>
      </c>
      <c r="H1524" s="12">
        <f t="shared" ca="1" si="145"/>
        <v>-8</v>
      </c>
      <c r="I1524" s="13">
        <f t="shared" ca="1" si="146"/>
        <v>-11</v>
      </c>
      <c r="J1524" s="14">
        <f t="shared" ca="1" si="147"/>
        <v>25</v>
      </c>
      <c r="K1524" s="12" t="s">
        <v>40</v>
      </c>
      <c r="L1524" s="15">
        <v>109</v>
      </c>
      <c r="M1524" s="25" t="s">
        <v>40</v>
      </c>
      <c r="N1524">
        <v>321</v>
      </c>
    </row>
    <row r="1525" spans="1:14">
      <c r="A1525" s="25">
        <f t="shared" si="142"/>
        <v>694</v>
      </c>
      <c r="B1525" s="67" t="s">
        <v>18</v>
      </c>
      <c r="C1525" s="67" t="s">
        <v>934</v>
      </c>
      <c r="D1525" s="67" t="s">
        <v>93</v>
      </c>
      <c r="E1525" s="22">
        <f t="shared" ca="1" si="143"/>
        <v>40951</v>
      </c>
      <c r="F1525" s="11">
        <f>DATE(95,11,15)</f>
        <v>35018</v>
      </c>
      <c r="G1525" s="12">
        <f t="shared" ca="1" si="144"/>
        <v>17</v>
      </c>
      <c r="H1525" s="12">
        <f t="shared" ca="1" si="145"/>
        <v>-9</v>
      </c>
      <c r="I1525" s="13">
        <f t="shared" ca="1" si="146"/>
        <v>-3</v>
      </c>
      <c r="J1525" s="14">
        <f t="shared" ca="1" si="147"/>
        <v>16</v>
      </c>
      <c r="K1525" s="12" t="s">
        <v>40</v>
      </c>
      <c r="L1525" s="15">
        <v>109</v>
      </c>
      <c r="M1525" s="25" t="s">
        <v>44</v>
      </c>
      <c r="N1525">
        <v>321</v>
      </c>
    </row>
    <row r="1526" spans="1:14">
      <c r="A1526" s="25">
        <f t="shared" si="142"/>
        <v>695</v>
      </c>
      <c r="B1526" s="67" t="s">
        <v>18</v>
      </c>
      <c r="C1526" s="67" t="s">
        <v>935</v>
      </c>
      <c r="D1526" s="67" t="s">
        <v>93</v>
      </c>
      <c r="E1526" s="22">
        <f t="shared" ca="1" si="143"/>
        <v>40951</v>
      </c>
      <c r="F1526" s="11">
        <f>DATE(98,11,8)</f>
        <v>36107</v>
      </c>
      <c r="G1526" s="12">
        <f t="shared" ca="1" si="144"/>
        <v>14</v>
      </c>
      <c r="H1526" s="12">
        <f t="shared" ca="1" si="145"/>
        <v>-9</v>
      </c>
      <c r="I1526" s="13">
        <f t="shared" ca="1" si="146"/>
        <v>4</v>
      </c>
      <c r="J1526" s="14">
        <f t="shared" ca="1" si="147"/>
        <v>13</v>
      </c>
      <c r="K1526" s="12" t="s">
        <v>40</v>
      </c>
      <c r="L1526" s="15">
        <v>109</v>
      </c>
      <c r="M1526" s="25" t="s">
        <v>44</v>
      </c>
      <c r="N1526">
        <v>321</v>
      </c>
    </row>
    <row r="1527" spans="1:14" ht="15.75" thickBot="1">
      <c r="A1527" s="26">
        <f t="shared" si="142"/>
        <v>696</v>
      </c>
      <c r="B1527" s="67" t="s">
        <v>18</v>
      </c>
      <c r="C1527" s="68" t="s">
        <v>414</v>
      </c>
      <c r="D1527" s="68" t="s">
        <v>358</v>
      </c>
      <c r="E1527" s="23">
        <f t="shared" ca="1" si="143"/>
        <v>40951</v>
      </c>
      <c r="F1527" s="16">
        <f>DATE(57,1,25)</f>
        <v>20845</v>
      </c>
      <c r="G1527" s="17">
        <f t="shared" ca="1" si="144"/>
        <v>55</v>
      </c>
      <c r="H1527" s="17">
        <f t="shared" ca="1" si="145"/>
        <v>1</v>
      </c>
      <c r="I1527" s="18">
        <f t="shared" ca="1" si="146"/>
        <v>-13</v>
      </c>
      <c r="J1527" s="19">
        <f t="shared" ca="1" si="147"/>
        <v>55</v>
      </c>
      <c r="K1527" s="17" t="s">
        <v>40</v>
      </c>
      <c r="L1527" s="20">
        <v>109</v>
      </c>
      <c r="M1527" s="26" t="s">
        <v>40</v>
      </c>
      <c r="N1527">
        <v>321</v>
      </c>
    </row>
    <row r="1528" spans="1:14">
      <c r="A1528" s="25">
        <f t="shared" si="142"/>
        <v>697</v>
      </c>
      <c r="B1528" s="67" t="s">
        <v>18</v>
      </c>
      <c r="C1528" s="67" t="s">
        <v>688</v>
      </c>
      <c r="D1528" s="67" t="s">
        <v>414</v>
      </c>
      <c r="E1528" s="22">
        <f t="shared" ca="1" si="143"/>
        <v>40951</v>
      </c>
      <c r="F1528" s="11">
        <f>DATE(92,1,17)</f>
        <v>33620</v>
      </c>
      <c r="G1528" s="12">
        <f t="shared" ca="1" si="144"/>
        <v>20</v>
      </c>
      <c r="H1528" s="12">
        <f t="shared" ca="1" si="145"/>
        <v>1</v>
      </c>
      <c r="I1528" s="13">
        <f t="shared" ca="1" si="146"/>
        <v>-5</v>
      </c>
      <c r="J1528" s="14">
        <f t="shared" ca="1" si="147"/>
        <v>20</v>
      </c>
      <c r="K1528" s="12" t="s">
        <v>40</v>
      </c>
      <c r="L1528" s="15">
        <v>109</v>
      </c>
      <c r="M1528" s="25" t="s">
        <v>44</v>
      </c>
      <c r="N1528">
        <v>322</v>
      </c>
    </row>
    <row r="1529" spans="1:14">
      <c r="A1529" s="25">
        <f t="shared" si="142"/>
        <v>698</v>
      </c>
      <c r="B1529" s="67" t="s">
        <v>18</v>
      </c>
      <c r="C1529" s="67" t="s">
        <v>794</v>
      </c>
      <c r="D1529" s="67" t="s">
        <v>414</v>
      </c>
      <c r="E1529" s="22">
        <f t="shared" ca="1" si="143"/>
        <v>40951</v>
      </c>
      <c r="F1529" s="11">
        <f>DATE(97,9,5)</f>
        <v>35678</v>
      </c>
      <c r="G1529" s="12">
        <f t="shared" ca="1" si="144"/>
        <v>15</v>
      </c>
      <c r="H1529" s="12">
        <f t="shared" ca="1" si="145"/>
        <v>-7</v>
      </c>
      <c r="I1529" s="13">
        <f t="shared" ca="1" si="146"/>
        <v>7</v>
      </c>
      <c r="J1529" s="14">
        <f t="shared" ca="1" si="147"/>
        <v>14</v>
      </c>
      <c r="K1529" s="12" t="s">
        <v>40</v>
      </c>
      <c r="L1529" s="15">
        <v>109</v>
      </c>
      <c r="M1529" s="25" t="s">
        <v>44</v>
      </c>
      <c r="N1529">
        <v>322</v>
      </c>
    </row>
    <row r="1530" spans="1:14">
      <c r="A1530" s="25">
        <f t="shared" si="142"/>
        <v>699</v>
      </c>
      <c r="B1530" s="67" t="s">
        <v>19</v>
      </c>
      <c r="C1530" s="67" t="s">
        <v>938</v>
      </c>
      <c r="D1530" s="67" t="s">
        <v>411</v>
      </c>
      <c r="E1530" s="22">
        <f t="shared" ca="1" si="143"/>
        <v>40951</v>
      </c>
      <c r="F1530" s="11">
        <f>DATE(42,3,12)</f>
        <v>15412</v>
      </c>
      <c r="G1530" s="12">
        <f t="shared" ca="1" si="144"/>
        <v>70</v>
      </c>
      <c r="H1530" s="12">
        <f t="shared" ca="1" si="145"/>
        <v>-1</v>
      </c>
      <c r="I1530" s="13">
        <f t="shared" ca="1" si="146"/>
        <v>0</v>
      </c>
      <c r="J1530" s="14">
        <f t="shared" ca="1" si="147"/>
        <v>69</v>
      </c>
      <c r="K1530" s="12" t="s">
        <v>40</v>
      </c>
      <c r="L1530" s="15">
        <v>110</v>
      </c>
      <c r="M1530" s="25" t="s">
        <v>40</v>
      </c>
      <c r="N1530">
        <v>322</v>
      </c>
    </row>
    <row r="1531" spans="1:14" ht="15.75" thickBot="1">
      <c r="A1531" s="26">
        <f t="shared" si="142"/>
        <v>700</v>
      </c>
      <c r="B1531" s="67" t="s">
        <v>19</v>
      </c>
      <c r="C1531" s="68" t="s">
        <v>829</v>
      </c>
      <c r="D1531" s="68" t="s">
        <v>602</v>
      </c>
      <c r="E1531" s="23">
        <f t="shared" ca="1" si="143"/>
        <v>40951</v>
      </c>
      <c r="F1531" s="33"/>
      <c r="G1531" s="17">
        <f t="shared" ca="1" si="144"/>
        <v>112</v>
      </c>
      <c r="H1531" s="17">
        <f t="shared" ca="1" si="145"/>
        <v>1</v>
      </c>
      <c r="I1531" s="18">
        <f t="shared" ca="1" si="146"/>
        <v>12</v>
      </c>
      <c r="J1531" s="19">
        <f t="shared" ca="1" si="147"/>
        <v>112</v>
      </c>
      <c r="K1531" s="17" t="s">
        <v>40</v>
      </c>
      <c r="L1531" s="20">
        <v>110</v>
      </c>
      <c r="M1531" s="26" t="s">
        <v>40</v>
      </c>
      <c r="N1531">
        <v>322</v>
      </c>
    </row>
    <row r="1532" spans="1:14">
      <c r="A1532" s="25">
        <f t="shared" si="142"/>
        <v>701</v>
      </c>
      <c r="B1532" s="67" t="s">
        <v>19</v>
      </c>
      <c r="C1532" s="67" t="s">
        <v>623</v>
      </c>
      <c r="D1532" s="67" t="s">
        <v>829</v>
      </c>
      <c r="E1532" s="22">
        <f t="shared" ca="1" si="143"/>
        <v>40951</v>
      </c>
      <c r="F1532" s="11">
        <f>DATE(69,1,7)</f>
        <v>25210</v>
      </c>
      <c r="G1532" s="12">
        <f t="shared" ca="1" si="144"/>
        <v>43</v>
      </c>
      <c r="H1532" s="12">
        <f t="shared" ca="1" si="145"/>
        <v>1</v>
      </c>
      <c r="I1532" s="13">
        <f t="shared" ca="1" si="146"/>
        <v>5</v>
      </c>
      <c r="J1532" s="14">
        <f t="shared" ca="1" si="147"/>
        <v>43</v>
      </c>
      <c r="K1532" s="12" t="s">
        <v>40</v>
      </c>
      <c r="L1532" s="15">
        <v>110</v>
      </c>
      <c r="M1532" s="25" t="s">
        <v>40</v>
      </c>
      <c r="N1532">
        <v>323</v>
      </c>
    </row>
    <row r="1533" spans="1:14">
      <c r="A1533" s="25">
        <f t="shared" si="142"/>
        <v>702</v>
      </c>
      <c r="B1533" s="67" t="s">
        <v>19</v>
      </c>
      <c r="C1533" s="67" t="s">
        <v>904</v>
      </c>
      <c r="D1533" s="67" t="s">
        <v>623</v>
      </c>
      <c r="E1533" s="22">
        <f t="shared" ca="1" si="143"/>
        <v>40951</v>
      </c>
      <c r="F1533" s="11">
        <f>DATE(96,6,17)</f>
        <v>35233</v>
      </c>
      <c r="G1533" s="12">
        <f t="shared" ca="1" si="144"/>
        <v>16</v>
      </c>
      <c r="H1533" s="12">
        <f t="shared" ca="1" si="145"/>
        <v>-4</v>
      </c>
      <c r="I1533" s="13">
        <f t="shared" ca="1" si="146"/>
        <v>-5</v>
      </c>
      <c r="J1533" s="14">
        <f t="shared" ca="1" si="147"/>
        <v>15</v>
      </c>
      <c r="K1533" s="12" t="s">
        <v>40</v>
      </c>
      <c r="L1533" s="15">
        <v>110</v>
      </c>
      <c r="M1533" s="25" t="s">
        <v>44</v>
      </c>
      <c r="N1533">
        <v>323</v>
      </c>
    </row>
    <row r="1534" spans="1:14">
      <c r="A1534" s="25">
        <f t="shared" ref="A1534:A1597" si="148">A1533+1</f>
        <v>703</v>
      </c>
      <c r="B1534" s="67" t="s">
        <v>19</v>
      </c>
      <c r="C1534" s="67" t="s">
        <v>437</v>
      </c>
      <c r="D1534" s="67" t="s">
        <v>435</v>
      </c>
      <c r="E1534" s="22">
        <f t="shared" ca="1" si="143"/>
        <v>40951</v>
      </c>
      <c r="F1534" s="11">
        <f>DATE(71,9,28)</f>
        <v>26204</v>
      </c>
      <c r="G1534" s="12">
        <f t="shared" ca="1" si="144"/>
        <v>41</v>
      </c>
      <c r="H1534" s="12">
        <f t="shared" ca="1" si="145"/>
        <v>-7</v>
      </c>
      <c r="I1534" s="13">
        <f t="shared" ca="1" si="146"/>
        <v>-16</v>
      </c>
      <c r="J1534" s="14">
        <f t="shared" ca="1" si="147"/>
        <v>40</v>
      </c>
      <c r="K1534" s="12" t="s">
        <v>40</v>
      </c>
      <c r="L1534" s="15">
        <v>110</v>
      </c>
      <c r="M1534" s="25" t="s">
        <v>40</v>
      </c>
      <c r="N1534">
        <v>323</v>
      </c>
    </row>
    <row r="1535" spans="1:14" ht="15.75" thickBot="1">
      <c r="A1535" s="26">
        <f t="shared" si="148"/>
        <v>704</v>
      </c>
      <c r="B1535" s="67" t="s">
        <v>19</v>
      </c>
      <c r="C1535" s="68" t="s">
        <v>942</v>
      </c>
      <c r="D1535" s="68" t="s">
        <v>940</v>
      </c>
      <c r="E1535" s="23">
        <f t="shared" ca="1" si="143"/>
        <v>40951</v>
      </c>
      <c r="F1535" s="16">
        <f>DATE(2003,11,8)</f>
        <v>37933</v>
      </c>
      <c r="G1535" s="17">
        <f t="shared" ca="1" si="144"/>
        <v>9</v>
      </c>
      <c r="H1535" s="17">
        <f t="shared" ca="1" si="145"/>
        <v>-9</v>
      </c>
      <c r="I1535" s="18">
        <f t="shared" ca="1" si="146"/>
        <v>4</v>
      </c>
      <c r="J1535" s="19">
        <f t="shared" ca="1" si="147"/>
        <v>8</v>
      </c>
      <c r="K1535" s="17" t="s">
        <v>40</v>
      </c>
      <c r="L1535" s="20">
        <v>110</v>
      </c>
      <c r="M1535" s="26" t="s">
        <v>44</v>
      </c>
      <c r="N1535">
        <v>323</v>
      </c>
    </row>
    <row r="1536" spans="1:14">
      <c r="A1536" s="25">
        <f t="shared" si="148"/>
        <v>705</v>
      </c>
      <c r="B1536" s="67" t="s">
        <v>19</v>
      </c>
      <c r="C1536" s="67" t="s">
        <v>943</v>
      </c>
      <c r="D1536" s="67" t="s">
        <v>411</v>
      </c>
      <c r="E1536" s="22">
        <f t="shared" ca="1" si="143"/>
        <v>40951</v>
      </c>
      <c r="F1536" s="11">
        <f>DATE(36,3,24)</f>
        <v>13233</v>
      </c>
      <c r="G1536" s="12">
        <f t="shared" ca="1" si="144"/>
        <v>76</v>
      </c>
      <c r="H1536" s="12">
        <f t="shared" ca="1" si="145"/>
        <v>-1</v>
      </c>
      <c r="I1536" s="13">
        <f t="shared" ca="1" si="146"/>
        <v>-12</v>
      </c>
      <c r="J1536" s="14">
        <f t="shared" ca="1" si="147"/>
        <v>75</v>
      </c>
      <c r="K1536" s="12" t="s">
        <v>40</v>
      </c>
      <c r="L1536" s="15">
        <v>111</v>
      </c>
      <c r="M1536" s="25" t="s">
        <v>40</v>
      </c>
      <c r="N1536">
        <v>324</v>
      </c>
    </row>
    <row r="1537" spans="1:14">
      <c r="A1537" s="25">
        <f t="shared" si="148"/>
        <v>706</v>
      </c>
      <c r="B1537" s="67" t="s">
        <v>19</v>
      </c>
      <c r="C1537" s="67" t="s">
        <v>721</v>
      </c>
      <c r="D1537" s="67" t="s">
        <v>411</v>
      </c>
      <c r="E1537" s="22">
        <f t="shared" ref="E1537:E1600" ca="1" si="149">TODAY()</f>
        <v>40951</v>
      </c>
      <c r="F1537" s="32"/>
      <c r="G1537" s="12">
        <f t="shared" ref="G1537:G1600" ca="1" si="150">YEAR(E1537)-YEAR(F1537)</f>
        <v>112</v>
      </c>
      <c r="H1537" s="12">
        <f t="shared" ref="H1537:H1600" ca="1" si="151">MONTH(E1537)-MONTH(F1537)</f>
        <v>1</v>
      </c>
      <c r="I1537" s="13">
        <f t="shared" ref="I1537:I1600" ca="1" si="152">DAY(E1537)-DAY(F1537)</f>
        <v>12</v>
      </c>
      <c r="J1537" s="14">
        <f t="shared" ref="J1537:J1600" ca="1" si="153">IF(H1537&lt;0,G1537-1,IF(H1537&gt;0,G1537,IF(I1537&lt;0,G1537-1,G1537)))</f>
        <v>112</v>
      </c>
      <c r="K1537" s="12" t="s">
        <v>40</v>
      </c>
      <c r="L1537" s="15">
        <v>111</v>
      </c>
      <c r="M1537" s="25" t="s">
        <v>44</v>
      </c>
      <c r="N1537">
        <v>324</v>
      </c>
    </row>
    <row r="1538" spans="1:14">
      <c r="A1538" s="25">
        <f t="shared" si="148"/>
        <v>707</v>
      </c>
      <c r="B1538" s="67" t="s">
        <v>19</v>
      </c>
      <c r="C1538" s="67" t="s">
        <v>944</v>
      </c>
      <c r="D1538" s="67" t="s">
        <v>943</v>
      </c>
      <c r="E1538" s="22">
        <f t="shared" ca="1" si="149"/>
        <v>40951</v>
      </c>
      <c r="F1538" s="11">
        <f>DATE(65,7,29)</f>
        <v>23952</v>
      </c>
      <c r="G1538" s="12">
        <f t="shared" ca="1" si="150"/>
        <v>47</v>
      </c>
      <c r="H1538" s="12">
        <f t="shared" ca="1" si="151"/>
        <v>-5</v>
      </c>
      <c r="I1538" s="13">
        <f t="shared" ca="1" si="152"/>
        <v>-17</v>
      </c>
      <c r="J1538" s="14">
        <f t="shared" ca="1" si="153"/>
        <v>46</v>
      </c>
      <c r="K1538" s="12" t="s">
        <v>40</v>
      </c>
      <c r="L1538" s="15">
        <v>111</v>
      </c>
      <c r="M1538" s="25" t="s">
        <v>40</v>
      </c>
      <c r="N1538">
        <v>324</v>
      </c>
    </row>
    <row r="1539" spans="1:14">
      <c r="A1539" s="25">
        <f t="shared" si="148"/>
        <v>708</v>
      </c>
      <c r="B1539" s="67" t="s">
        <v>19</v>
      </c>
      <c r="C1539" s="67" t="s">
        <v>63</v>
      </c>
      <c r="D1539" s="67" t="s">
        <v>944</v>
      </c>
      <c r="E1539" s="22">
        <f t="shared" ca="1" si="149"/>
        <v>40951</v>
      </c>
      <c r="F1539" s="11">
        <f>DATE(99,1,26)</f>
        <v>36186</v>
      </c>
      <c r="G1539" s="12">
        <f t="shared" ca="1" si="150"/>
        <v>13</v>
      </c>
      <c r="H1539" s="12">
        <f t="shared" ca="1" si="151"/>
        <v>1</v>
      </c>
      <c r="I1539" s="13">
        <f t="shared" ca="1" si="152"/>
        <v>-14</v>
      </c>
      <c r="J1539" s="14">
        <f t="shared" ca="1" si="153"/>
        <v>13</v>
      </c>
      <c r="K1539" s="12" t="s">
        <v>40</v>
      </c>
      <c r="L1539" s="15">
        <v>111</v>
      </c>
      <c r="M1539" s="25" t="s">
        <v>44</v>
      </c>
      <c r="N1539">
        <v>324</v>
      </c>
    </row>
    <row r="1540" spans="1:14">
      <c r="A1540" s="25">
        <f t="shared" si="148"/>
        <v>709</v>
      </c>
      <c r="B1540" s="67" t="s">
        <v>19</v>
      </c>
      <c r="C1540" s="67" t="s">
        <v>743</v>
      </c>
      <c r="D1540" s="67" t="s">
        <v>546</v>
      </c>
      <c r="E1540" s="22">
        <f t="shared" ca="1" si="149"/>
        <v>40951</v>
      </c>
      <c r="F1540" s="11">
        <f>DATE(53,4,3)</f>
        <v>19452</v>
      </c>
      <c r="G1540" s="12">
        <f t="shared" ca="1" si="150"/>
        <v>59</v>
      </c>
      <c r="H1540" s="12">
        <f t="shared" ca="1" si="151"/>
        <v>-2</v>
      </c>
      <c r="I1540" s="13">
        <f t="shared" ca="1" si="152"/>
        <v>9</v>
      </c>
      <c r="J1540" s="14">
        <f t="shared" ca="1" si="153"/>
        <v>58</v>
      </c>
      <c r="K1540" s="12" t="s">
        <v>40</v>
      </c>
      <c r="L1540" s="15">
        <v>111</v>
      </c>
      <c r="M1540" s="25" t="s">
        <v>40</v>
      </c>
      <c r="N1540">
        <v>324</v>
      </c>
    </row>
    <row r="1541" spans="1:14" ht="15.75" thickBot="1">
      <c r="A1541" s="26">
        <f t="shared" si="148"/>
        <v>710</v>
      </c>
      <c r="B1541" s="67" t="s">
        <v>19</v>
      </c>
      <c r="C1541" s="68" t="s">
        <v>946</v>
      </c>
      <c r="D1541" s="68" t="s">
        <v>743</v>
      </c>
      <c r="E1541" s="23">
        <f t="shared" ca="1" si="149"/>
        <v>40951</v>
      </c>
      <c r="F1541" s="16">
        <f>DATE(82,8,19)</f>
        <v>30182</v>
      </c>
      <c r="G1541" s="17">
        <f t="shared" ca="1" si="150"/>
        <v>30</v>
      </c>
      <c r="H1541" s="17">
        <f t="shared" ca="1" si="151"/>
        <v>-6</v>
      </c>
      <c r="I1541" s="18">
        <f t="shared" ca="1" si="152"/>
        <v>-7</v>
      </c>
      <c r="J1541" s="19">
        <f t="shared" ca="1" si="153"/>
        <v>29</v>
      </c>
      <c r="K1541" s="17" t="s">
        <v>40</v>
      </c>
      <c r="L1541" s="20">
        <v>111</v>
      </c>
      <c r="M1541" s="26" t="s">
        <v>44</v>
      </c>
      <c r="N1541">
        <v>324</v>
      </c>
    </row>
    <row r="1542" spans="1:14">
      <c r="A1542" s="25">
        <f t="shared" si="148"/>
        <v>711</v>
      </c>
      <c r="B1542" s="67" t="s">
        <v>19</v>
      </c>
      <c r="C1542" s="67" t="s">
        <v>947</v>
      </c>
      <c r="D1542" s="67" t="s">
        <v>546</v>
      </c>
      <c r="E1542" s="22">
        <f t="shared" ca="1" si="149"/>
        <v>40951</v>
      </c>
      <c r="F1542" s="11">
        <f>DATE(58,7,1)</f>
        <v>21367</v>
      </c>
      <c r="G1542" s="12">
        <f t="shared" ca="1" si="150"/>
        <v>54</v>
      </c>
      <c r="H1542" s="12">
        <f t="shared" ca="1" si="151"/>
        <v>-5</v>
      </c>
      <c r="I1542" s="13">
        <f t="shared" ca="1" si="152"/>
        <v>11</v>
      </c>
      <c r="J1542" s="14">
        <f t="shared" ca="1" si="153"/>
        <v>53</v>
      </c>
      <c r="K1542" s="12" t="s">
        <v>40</v>
      </c>
      <c r="L1542" s="15">
        <v>111</v>
      </c>
      <c r="M1542" s="25" t="s">
        <v>40</v>
      </c>
      <c r="N1542">
        <v>325</v>
      </c>
    </row>
    <row r="1543" spans="1:14">
      <c r="A1543" s="25">
        <f t="shared" si="148"/>
        <v>712</v>
      </c>
      <c r="B1543" s="67" t="s">
        <v>19</v>
      </c>
      <c r="C1543" s="67" t="s">
        <v>950</v>
      </c>
      <c r="D1543" s="67" t="s">
        <v>947</v>
      </c>
      <c r="E1543" s="22">
        <f t="shared" ca="1" si="149"/>
        <v>40951</v>
      </c>
      <c r="F1543" s="11">
        <f>DATE(97,3,23)</f>
        <v>35512</v>
      </c>
      <c r="G1543" s="12">
        <f t="shared" ca="1" si="150"/>
        <v>15</v>
      </c>
      <c r="H1543" s="12">
        <f t="shared" ca="1" si="151"/>
        <v>-1</v>
      </c>
      <c r="I1543" s="13">
        <f t="shared" ca="1" si="152"/>
        <v>-11</v>
      </c>
      <c r="J1543" s="14">
        <f t="shared" ca="1" si="153"/>
        <v>14</v>
      </c>
      <c r="K1543" s="12" t="s">
        <v>40</v>
      </c>
      <c r="L1543" s="15">
        <v>111</v>
      </c>
      <c r="M1543" s="25" t="s">
        <v>44</v>
      </c>
      <c r="N1543">
        <v>325</v>
      </c>
    </row>
    <row r="1544" spans="1:14">
      <c r="A1544" s="25">
        <f t="shared" si="148"/>
        <v>713</v>
      </c>
      <c r="B1544" s="67" t="s">
        <v>19</v>
      </c>
      <c r="C1544" s="67" t="s">
        <v>93</v>
      </c>
      <c r="D1544" s="67" t="s">
        <v>951</v>
      </c>
      <c r="E1544" s="22">
        <f t="shared" ca="1" si="149"/>
        <v>40951</v>
      </c>
      <c r="F1544" s="11">
        <f>DATE(66,2,12)</f>
        <v>24150</v>
      </c>
      <c r="G1544" s="12">
        <f t="shared" ca="1" si="150"/>
        <v>46</v>
      </c>
      <c r="H1544" s="12">
        <f t="shared" ca="1" si="151"/>
        <v>0</v>
      </c>
      <c r="I1544" s="13">
        <f t="shared" ca="1" si="152"/>
        <v>0</v>
      </c>
      <c r="J1544" s="14">
        <f t="shared" ca="1" si="153"/>
        <v>46</v>
      </c>
      <c r="K1544" s="12" t="s">
        <v>40</v>
      </c>
      <c r="L1544" s="15">
        <v>112</v>
      </c>
      <c r="M1544" s="25" t="s">
        <v>40</v>
      </c>
      <c r="N1544">
        <v>325</v>
      </c>
    </row>
    <row r="1545" spans="1:14">
      <c r="A1545" s="25">
        <f t="shared" si="148"/>
        <v>714</v>
      </c>
      <c r="B1545" s="67" t="s">
        <v>19</v>
      </c>
      <c r="C1545" s="67" t="s">
        <v>953</v>
      </c>
      <c r="D1545" s="67" t="s">
        <v>954</v>
      </c>
      <c r="E1545" s="22">
        <f t="shared" ca="1" si="149"/>
        <v>40951</v>
      </c>
      <c r="F1545" s="11">
        <f>DATE(43,6,26)</f>
        <v>15883</v>
      </c>
      <c r="G1545" s="12">
        <f t="shared" ca="1" si="150"/>
        <v>69</v>
      </c>
      <c r="H1545" s="12">
        <f t="shared" ca="1" si="151"/>
        <v>-4</v>
      </c>
      <c r="I1545" s="13">
        <f t="shared" ca="1" si="152"/>
        <v>-14</v>
      </c>
      <c r="J1545" s="14">
        <f t="shared" ca="1" si="153"/>
        <v>68</v>
      </c>
      <c r="K1545" s="12" t="s">
        <v>40</v>
      </c>
      <c r="L1545" s="15">
        <v>112</v>
      </c>
      <c r="M1545" s="25" t="s">
        <v>40</v>
      </c>
      <c r="N1545">
        <v>325</v>
      </c>
    </row>
    <row r="1546" spans="1:14">
      <c r="A1546" s="25">
        <f t="shared" si="148"/>
        <v>715</v>
      </c>
      <c r="B1546" s="67" t="s">
        <v>19</v>
      </c>
      <c r="C1546" s="67" t="s">
        <v>956</v>
      </c>
      <c r="D1546" s="67" t="s">
        <v>546</v>
      </c>
      <c r="E1546" s="22">
        <f t="shared" ca="1" si="149"/>
        <v>40951</v>
      </c>
      <c r="F1546" s="11">
        <f>DATE(39,12,25)</f>
        <v>14604</v>
      </c>
      <c r="G1546" s="12">
        <f t="shared" ca="1" si="150"/>
        <v>73</v>
      </c>
      <c r="H1546" s="12">
        <f t="shared" ca="1" si="151"/>
        <v>-10</v>
      </c>
      <c r="I1546" s="13">
        <f t="shared" ca="1" si="152"/>
        <v>-13</v>
      </c>
      <c r="J1546" s="14">
        <f t="shared" ca="1" si="153"/>
        <v>72</v>
      </c>
      <c r="K1546" s="12" t="s">
        <v>40</v>
      </c>
      <c r="L1546" s="15">
        <v>112</v>
      </c>
      <c r="M1546" s="25" t="s">
        <v>40</v>
      </c>
      <c r="N1546">
        <v>325</v>
      </c>
    </row>
    <row r="1547" spans="1:14" ht="15.75" thickBot="1">
      <c r="A1547" s="26">
        <f t="shared" si="148"/>
        <v>716</v>
      </c>
      <c r="B1547" s="67" t="s">
        <v>19</v>
      </c>
      <c r="C1547" s="68" t="s">
        <v>807</v>
      </c>
      <c r="D1547" s="68" t="s">
        <v>956</v>
      </c>
      <c r="E1547" s="23">
        <f t="shared" ca="1" si="149"/>
        <v>40951</v>
      </c>
      <c r="F1547" s="16">
        <f>DATE(71,12,31)</f>
        <v>26298</v>
      </c>
      <c r="G1547" s="17">
        <f t="shared" ca="1" si="150"/>
        <v>41</v>
      </c>
      <c r="H1547" s="17">
        <f t="shared" ca="1" si="151"/>
        <v>-10</v>
      </c>
      <c r="I1547" s="18">
        <f t="shared" ca="1" si="152"/>
        <v>-19</v>
      </c>
      <c r="J1547" s="19">
        <f t="shared" ca="1" si="153"/>
        <v>40</v>
      </c>
      <c r="K1547" s="17" t="s">
        <v>40</v>
      </c>
      <c r="L1547" s="20">
        <v>112</v>
      </c>
      <c r="M1547" s="26" t="s">
        <v>40</v>
      </c>
      <c r="N1547">
        <v>325</v>
      </c>
    </row>
    <row r="1548" spans="1:14">
      <c r="A1548" s="25">
        <f t="shared" si="148"/>
        <v>717</v>
      </c>
      <c r="B1548" s="67" t="s">
        <v>19</v>
      </c>
      <c r="C1548" s="67" t="s">
        <v>346</v>
      </c>
      <c r="D1548" s="67" t="s">
        <v>208</v>
      </c>
      <c r="E1548" s="22">
        <f t="shared" ca="1" si="149"/>
        <v>40951</v>
      </c>
      <c r="F1548" s="11">
        <f>DATE(99,2,12)</f>
        <v>36203</v>
      </c>
      <c r="G1548" s="12">
        <f t="shared" ca="1" si="150"/>
        <v>13</v>
      </c>
      <c r="H1548" s="12">
        <f t="shared" ca="1" si="151"/>
        <v>0</v>
      </c>
      <c r="I1548" s="13">
        <f t="shared" ca="1" si="152"/>
        <v>0</v>
      </c>
      <c r="J1548" s="14">
        <f t="shared" ca="1" si="153"/>
        <v>13</v>
      </c>
      <c r="K1548" s="12" t="s">
        <v>40</v>
      </c>
      <c r="L1548" s="15">
        <v>112</v>
      </c>
      <c r="M1548" s="25" t="s">
        <v>44</v>
      </c>
      <c r="N1548">
        <v>326</v>
      </c>
    </row>
    <row r="1549" spans="1:14">
      <c r="A1549" s="25">
        <f t="shared" si="148"/>
        <v>718</v>
      </c>
      <c r="B1549" s="67" t="s">
        <v>20</v>
      </c>
      <c r="C1549" s="67" t="s">
        <v>521</v>
      </c>
      <c r="D1549" s="67" t="s">
        <v>285</v>
      </c>
      <c r="E1549" s="22">
        <f t="shared" ca="1" si="149"/>
        <v>40951</v>
      </c>
      <c r="F1549" s="11">
        <f>DATE(73,1,30)</f>
        <v>26694</v>
      </c>
      <c r="G1549" s="12">
        <f t="shared" ca="1" si="150"/>
        <v>39</v>
      </c>
      <c r="H1549" s="12">
        <f t="shared" ca="1" si="151"/>
        <v>1</v>
      </c>
      <c r="I1549" s="13">
        <f t="shared" ca="1" si="152"/>
        <v>-18</v>
      </c>
      <c r="J1549" s="14">
        <f t="shared" ca="1" si="153"/>
        <v>39</v>
      </c>
      <c r="K1549" s="12" t="s">
        <v>40</v>
      </c>
      <c r="L1549" s="15">
        <v>113</v>
      </c>
      <c r="M1549" s="25" t="s">
        <v>40</v>
      </c>
      <c r="N1549">
        <v>326</v>
      </c>
    </row>
    <row r="1550" spans="1:14">
      <c r="A1550" s="25">
        <f t="shared" si="148"/>
        <v>719</v>
      </c>
      <c r="B1550" s="67" t="s">
        <v>20</v>
      </c>
      <c r="C1550" s="67" t="s">
        <v>959</v>
      </c>
      <c r="D1550" s="67" t="s">
        <v>521</v>
      </c>
      <c r="E1550" s="22">
        <f t="shared" ca="1" si="149"/>
        <v>40951</v>
      </c>
      <c r="F1550" s="11">
        <f>DATE(2003,11,4)</f>
        <v>37929</v>
      </c>
      <c r="G1550" s="12">
        <f t="shared" ca="1" si="150"/>
        <v>9</v>
      </c>
      <c r="H1550" s="12">
        <f t="shared" ca="1" si="151"/>
        <v>-9</v>
      </c>
      <c r="I1550" s="13">
        <f t="shared" ca="1" si="152"/>
        <v>8</v>
      </c>
      <c r="J1550" s="14">
        <f t="shared" ca="1" si="153"/>
        <v>8</v>
      </c>
      <c r="K1550" s="12" t="s">
        <v>40</v>
      </c>
      <c r="L1550" s="15">
        <v>113</v>
      </c>
      <c r="M1550" s="25" t="s">
        <v>44</v>
      </c>
      <c r="N1550">
        <v>326</v>
      </c>
    </row>
    <row r="1551" spans="1:14">
      <c r="A1551" s="25">
        <f t="shared" si="148"/>
        <v>720</v>
      </c>
      <c r="B1551" s="67" t="s">
        <v>20</v>
      </c>
      <c r="C1551" s="67" t="s">
        <v>960</v>
      </c>
      <c r="D1551" s="67" t="s">
        <v>134</v>
      </c>
      <c r="E1551" s="22">
        <f t="shared" ca="1" si="149"/>
        <v>40951</v>
      </c>
      <c r="F1551" s="11">
        <f>DATE(71,10,1)</f>
        <v>26207</v>
      </c>
      <c r="G1551" s="12">
        <f t="shared" ca="1" si="150"/>
        <v>41</v>
      </c>
      <c r="H1551" s="12">
        <f t="shared" ca="1" si="151"/>
        <v>-8</v>
      </c>
      <c r="I1551" s="13">
        <f t="shared" ca="1" si="152"/>
        <v>11</v>
      </c>
      <c r="J1551" s="14">
        <f t="shared" ca="1" si="153"/>
        <v>40</v>
      </c>
      <c r="K1551" s="12" t="s">
        <v>40</v>
      </c>
      <c r="L1551" s="15">
        <v>113</v>
      </c>
      <c r="M1551" s="25" t="s">
        <v>40</v>
      </c>
      <c r="N1551">
        <v>326</v>
      </c>
    </row>
    <row r="1552" spans="1:14">
      <c r="A1552" s="25">
        <f t="shared" si="148"/>
        <v>721</v>
      </c>
      <c r="B1552" s="67" t="s">
        <v>20</v>
      </c>
      <c r="C1552" s="67" t="s">
        <v>962</v>
      </c>
      <c r="D1552" s="67" t="s">
        <v>60</v>
      </c>
      <c r="E1552" s="22">
        <f t="shared" ca="1" si="149"/>
        <v>40951</v>
      </c>
      <c r="F1552" s="11">
        <f>DATE(53,7,13)</f>
        <v>19553</v>
      </c>
      <c r="G1552" s="12">
        <f t="shared" ca="1" si="150"/>
        <v>59</v>
      </c>
      <c r="H1552" s="12">
        <f t="shared" ca="1" si="151"/>
        <v>-5</v>
      </c>
      <c r="I1552" s="13">
        <f t="shared" ca="1" si="152"/>
        <v>-1</v>
      </c>
      <c r="J1552" s="14">
        <f t="shared" ca="1" si="153"/>
        <v>58</v>
      </c>
      <c r="K1552" s="12" t="s">
        <v>40</v>
      </c>
      <c r="L1552" s="15">
        <v>113</v>
      </c>
      <c r="M1552" s="25" t="s">
        <v>40</v>
      </c>
      <c r="N1552">
        <v>326</v>
      </c>
    </row>
    <row r="1553" spans="1:14" ht="15.75" thickBot="1">
      <c r="A1553" s="26">
        <f t="shared" si="148"/>
        <v>722</v>
      </c>
      <c r="B1553" s="67" t="s">
        <v>20</v>
      </c>
      <c r="C1553" s="68" t="s">
        <v>964</v>
      </c>
      <c r="D1553" s="68" t="s">
        <v>962</v>
      </c>
      <c r="E1553" s="23">
        <f t="shared" ca="1" si="149"/>
        <v>40951</v>
      </c>
      <c r="F1553" s="16">
        <f>DATE(79,6,17)</f>
        <v>29023</v>
      </c>
      <c r="G1553" s="17">
        <f t="shared" ca="1" si="150"/>
        <v>33</v>
      </c>
      <c r="H1553" s="17">
        <f t="shared" ca="1" si="151"/>
        <v>-4</v>
      </c>
      <c r="I1553" s="18">
        <f t="shared" ca="1" si="152"/>
        <v>-5</v>
      </c>
      <c r="J1553" s="19">
        <f t="shared" ca="1" si="153"/>
        <v>32</v>
      </c>
      <c r="K1553" s="17" t="s">
        <v>40</v>
      </c>
      <c r="L1553" s="20">
        <v>113</v>
      </c>
      <c r="M1553" s="26" t="s">
        <v>40</v>
      </c>
      <c r="N1553">
        <v>326</v>
      </c>
    </row>
    <row r="1554" spans="1:14">
      <c r="A1554" s="25">
        <f t="shared" si="148"/>
        <v>723</v>
      </c>
      <c r="B1554" s="67" t="s">
        <v>20</v>
      </c>
      <c r="C1554" s="67" t="s">
        <v>965</v>
      </c>
      <c r="D1554" s="67" t="s">
        <v>964</v>
      </c>
      <c r="E1554" s="22">
        <f t="shared" ca="1" si="149"/>
        <v>40951</v>
      </c>
      <c r="F1554" s="11">
        <f>DATE(2005,11,23)</f>
        <v>38679</v>
      </c>
      <c r="G1554" s="12">
        <f t="shared" ca="1" si="150"/>
        <v>7</v>
      </c>
      <c r="H1554" s="12">
        <f t="shared" ca="1" si="151"/>
        <v>-9</v>
      </c>
      <c r="I1554" s="13">
        <f t="shared" ca="1" si="152"/>
        <v>-11</v>
      </c>
      <c r="J1554" s="14">
        <f t="shared" ca="1" si="153"/>
        <v>6</v>
      </c>
      <c r="K1554" s="12" t="s">
        <v>40</v>
      </c>
      <c r="L1554" s="15">
        <v>113</v>
      </c>
      <c r="M1554" s="25" t="s">
        <v>44</v>
      </c>
      <c r="N1554">
        <v>327</v>
      </c>
    </row>
    <row r="1555" spans="1:14">
      <c r="A1555" s="25">
        <f t="shared" si="148"/>
        <v>724</v>
      </c>
      <c r="B1555" s="67" t="s">
        <v>20</v>
      </c>
      <c r="C1555" s="67" t="s">
        <v>315</v>
      </c>
      <c r="D1555" s="67" t="s">
        <v>77</v>
      </c>
      <c r="E1555" s="22">
        <f t="shared" ca="1" si="149"/>
        <v>40951</v>
      </c>
      <c r="F1555" s="11">
        <f>DATE(55,10,1)</f>
        <v>20363</v>
      </c>
      <c r="G1555" s="12">
        <f t="shared" ca="1" si="150"/>
        <v>57</v>
      </c>
      <c r="H1555" s="12">
        <f t="shared" ca="1" si="151"/>
        <v>-8</v>
      </c>
      <c r="I1555" s="13">
        <f t="shared" ca="1" si="152"/>
        <v>11</v>
      </c>
      <c r="J1555" s="14">
        <f t="shared" ca="1" si="153"/>
        <v>56</v>
      </c>
      <c r="K1555" s="12" t="s">
        <v>40</v>
      </c>
      <c r="L1555" s="15">
        <v>114</v>
      </c>
      <c r="M1555" s="25" t="s">
        <v>40</v>
      </c>
      <c r="N1555">
        <v>327</v>
      </c>
    </row>
    <row r="1556" spans="1:14">
      <c r="A1556" s="25">
        <f t="shared" si="148"/>
        <v>725</v>
      </c>
      <c r="B1556" s="67" t="s">
        <v>20</v>
      </c>
      <c r="C1556" s="67" t="s">
        <v>966</v>
      </c>
      <c r="D1556" s="67" t="s">
        <v>315</v>
      </c>
      <c r="E1556" s="22">
        <f t="shared" ca="1" si="149"/>
        <v>40951</v>
      </c>
      <c r="F1556" s="11">
        <f>DATE(93,9,1)</f>
        <v>34213</v>
      </c>
      <c r="G1556" s="12">
        <f t="shared" ca="1" si="150"/>
        <v>19</v>
      </c>
      <c r="H1556" s="12">
        <f t="shared" ca="1" si="151"/>
        <v>-7</v>
      </c>
      <c r="I1556" s="13">
        <f t="shared" ca="1" si="152"/>
        <v>11</v>
      </c>
      <c r="J1556" s="14">
        <f t="shared" ca="1" si="153"/>
        <v>18</v>
      </c>
      <c r="K1556" s="12" t="s">
        <v>40</v>
      </c>
      <c r="L1556" s="15">
        <v>114</v>
      </c>
      <c r="M1556" s="25" t="s">
        <v>44</v>
      </c>
      <c r="N1556">
        <v>327</v>
      </c>
    </row>
    <row r="1557" spans="1:14" ht="15.75" thickBot="1">
      <c r="A1557" s="26">
        <f t="shared" si="148"/>
        <v>726</v>
      </c>
      <c r="B1557" s="67" t="s">
        <v>20</v>
      </c>
      <c r="C1557" s="68" t="s">
        <v>967</v>
      </c>
      <c r="D1557" s="68" t="s">
        <v>969</v>
      </c>
      <c r="E1557" s="23">
        <f t="shared" ca="1" si="149"/>
        <v>40951</v>
      </c>
      <c r="F1557" s="16">
        <f>DATE(42,5,12)</f>
        <v>15473</v>
      </c>
      <c r="G1557" s="17">
        <f t="shared" ca="1" si="150"/>
        <v>70</v>
      </c>
      <c r="H1557" s="17">
        <f t="shared" ca="1" si="151"/>
        <v>-3</v>
      </c>
      <c r="I1557" s="18">
        <f t="shared" ca="1" si="152"/>
        <v>0</v>
      </c>
      <c r="J1557" s="19">
        <f t="shared" ca="1" si="153"/>
        <v>69</v>
      </c>
      <c r="K1557" s="17" t="s">
        <v>40</v>
      </c>
      <c r="L1557" s="20">
        <v>114</v>
      </c>
      <c r="M1557" s="26" t="s">
        <v>40</v>
      </c>
      <c r="N1557">
        <v>327</v>
      </c>
    </row>
    <row r="1558" spans="1:14">
      <c r="A1558" s="25">
        <f t="shared" si="148"/>
        <v>727</v>
      </c>
      <c r="B1558" s="67" t="s">
        <v>20</v>
      </c>
      <c r="C1558" s="67" t="s">
        <v>970</v>
      </c>
      <c r="D1558" s="67" t="s">
        <v>967</v>
      </c>
      <c r="E1558" s="22">
        <f t="shared" ca="1" si="149"/>
        <v>40951</v>
      </c>
      <c r="F1558" s="11">
        <f>DATE(71,2,22)</f>
        <v>25986</v>
      </c>
      <c r="G1558" s="12">
        <f t="shared" ca="1" si="150"/>
        <v>41</v>
      </c>
      <c r="H1558" s="12">
        <f t="shared" ca="1" si="151"/>
        <v>0</v>
      </c>
      <c r="I1558" s="13">
        <f t="shared" ca="1" si="152"/>
        <v>-10</v>
      </c>
      <c r="J1558" s="14">
        <f t="shared" ca="1" si="153"/>
        <v>40</v>
      </c>
      <c r="K1558" s="12" t="s">
        <v>40</v>
      </c>
      <c r="L1558" s="15">
        <v>114</v>
      </c>
      <c r="M1558" s="25" t="s">
        <v>40</v>
      </c>
      <c r="N1558">
        <v>328</v>
      </c>
    </row>
    <row r="1559" spans="1:14">
      <c r="A1559" s="25">
        <f t="shared" si="148"/>
        <v>728</v>
      </c>
      <c r="B1559" s="67" t="s">
        <v>20</v>
      </c>
      <c r="C1559" s="67" t="s">
        <v>971</v>
      </c>
      <c r="D1559" s="67" t="s">
        <v>970</v>
      </c>
      <c r="E1559" s="22">
        <f t="shared" ca="1" si="149"/>
        <v>40951</v>
      </c>
      <c r="F1559" s="11">
        <f>DATE(2001,2,22)</f>
        <v>36944</v>
      </c>
      <c r="G1559" s="12">
        <f t="shared" ca="1" si="150"/>
        <v>11</v>
      </c>
      <c r="H1559" s="12">
        <f t="shared" ca="1" si="151"/>
        <v>0</v>
      </c>
      <c r="I1559" s="13">
        <f t="shared" ca="1" si="152"/>
        <v>-10</v>
      </c>
      <c r="J1559" s="14">
        <f t="shared" ca="1" si="153"/>
        <v>10</v>
      </c>
      <c r="K1559" s="12" t="s">
        <v>40</v>
      </c>
      <c r="L1559" s="15">
        <v>114</v>
      </c>
      <c r="M1559" s="25" t="s">
        <v>44</v>
      </c>
      <c r="N1559">
        <v>328</v>
      </c>
    </row>
    <row r="1560" spans="1:14" ht="15.75" thickBot="1">
      <c r="A1560" s="26">
        <f t="shared" si="148"/>
        <v>729</v>
      </c>
      <c r="B1560" s="67" t="s">
        <v>20</v>
      </c>
      <c r="C1560" s="68" t="s">
        <v>972</v>
      </c>
      <c r="D1560" s="68" t="s">
        <v>973</v>
      </c>
      <c r="E1560" s="23">
        <f t="shared" ca="1" si="149"/>
        <v>40951</v>
      </c>
      <c r="F1560" s="16">
        <f>DATE(59,12,28)</f>
        <v>21912</v>
      </c>
      <c r="G1560" s="17">
        <f t="shared" ca="1" si="150"/>
        <v>53</v>
      </c>
      <c r="H1560" s="17">
        <f t="shared" ca="1" si="151"/>
        <v>-10</v>
      </c>
      <c r="I1560" s="18">
        <f t="shared" ca="1" si="152"/>
        <v>-16</v>
      </c>
      <c r="J1560" s="19">
        <f t="shared" ca="1" si="153"/>
        <v>52</v>
      </c>
      <c r="K1560" s="17" t="s">
        <v>40</v>
      </c>
      <c r="L1560" s="20">
        <v>114</v>
      </c>
      <c r="M1560" s="26" t="s">
        <v>40</v>
      </c>
      <c r="N1560">
        <v>328</v>
      </c>
    </row>
    <row r="1561" spans="1:14">
      <c r="A1561" s="25">
        <f t="shared" si="148"/>
        <v>730</v>
      </c>
      <c r="B1561" s="67" t="s">
        <v>20</v>
      </c>
      <c r="C1561" s="67" t="s">
        <v>305</v>
      </c>
      <c r="D1561" s="67" t="s">
        <v>973</v>
      </c>
      <c r="E1561" s="22">
        <f t="shared" ca="1" si="149"/>
        <v>40951</v>
      </c>
      <c r="F1561" s="11">
        <f>DATE(82,6,280)</f>
        <v>30382</v>
      </c>
      <c r="G1561" s="12">
        <f t="shared" ca="1" si="150"/>
        <v>29</v>
      </c>
      <c r="H1561" s="12">
        <f t="shared" ca="1" si="151"/>
        <v>-1</v>
      </c>
      <c r="I1561" s="13">
        <f t="shared" ca="1" si="152"/>
        <v>5</v>
      </c>
      <c r="J1561" s="14">
        <f t="shared" ca="1" si="153"/>
        <v>28</v>
      </c>
      <c r="K1561" s="12" t="s">
        <v>40</v>
      </c>
      <c r="L1561" s="15">
        <v>114</v>
      </c>
      <c r="M1561" s="25" t="s">
        <v>44</v>
      </c>
      <c r="N1561">
        <v>329</v>
      </c>
    </row>
    <row r="1562" spans="1:14">
      <c r="A1562" s="25">
        <f t="shared" si="148"/>
        <v>731</v>
      </c>
      <c r="B1562" s="67" t="s">
        <v>20</v>
      </c>
      <c r="C1562" s="67" t="s">
        <v>974</v>
      </c>
      <c r="D1562" s="67" t="s">
        <v>973</v>
      </c>
      <c r="E1562" s="22">
        <f t="shared" ca="1" si="149"/>
        <v>40951</v>
      </c>
      <c r="F1562" s="11">
        <f>DATE(84,11,6)</f>
        <v>30992</v>
      </c>
      <c r="G1562" s="12">
        <f t="shared" ca="1" si="150"/>
        <v>28</v>
      </c>
      <c r="H1562" s="12">
        <f t="shared" ca="1" si="151"/>
        <v>-9</v>
      </c>
      <c r="I1562" s="13">
        <f t="shared" ca="1" si="152"/>
        <v>6</v>
      </c>
      <c r="J1562" s="14">
        <f t="shared" ca="1" si="153"/>
        <v>27</v>
      </c>
      <c r="K1562" s="12" t="s">
        <v>40</v>
      </c>
      <c r="L1562" s="15">
        <v>114</v>
      </c>
      <c r="M1562" s="25" t="s">
        <v>44</v>
      </c>
      <c r="N1562">
        <v>329</v>
      </c>
    </row>
    <row r="1563" spans="1:14">
      <c r="A1563" s="25">
        <f t="shared" si="148"/>
        <v>732</v>
      </c>
      <c r="B1563" s="67" t="s">
        <v>20</v>
      </c>
      <c r="C1563" s="67" t="s">
        <v>234</v>
      </c>
      <c r="D1563" s="67" t="s">
        <v>973</v>
      </c>
      <c r="E1563" s="22">
        <f t="shared" ca="1" si="149"/>
        <v>40951</v>
      </c>
      <c r="F1563" s="11">
        <f>DATE(92,12,8)</f>
        <v>33946</v>
      </c>
      <c r="G1563" s="12">
        <f t="shared" ca="1" si="150"/>
        <v>20</v>
      </c>
      <c r="H1563" s="12">
        <f t="shared" ca="1" si="151"/>
        <v>-10</v>
      </c>
      <c r="I1563" s="13">
        <f t="shared" ca="1" si="152"/>
        <v>4</v>
      </c>
      <c r="J1563" s="14">
        <f t="shared" ca="1" si="153"/>
        <v>19</v>
      </c>
      <c r="K1563" s="12" t="s">
        <v>40</v>
      </c>
      <c r="L1563" s="15">
        <v>114</v>
      </c>
      <c r="M1563" s="25" t="s">
        <v>44</v>
      </c>
      <c r="N1563">
        <v>329</v>
      </c>
    </row>
    <row r="1564" spans="1:14">
      <c r="A1564" s="25">
        <f t="shared" si="148"/>
        <v>733</v>
      </c>
      <c r="B1564" s="67" t="s">
        <v>20</v>
      </c>
      <c r="C1564" s="67" t="s">
        <v>788</v>
      </c>
      <c r="D1564" s="67" t="s">
        <v>70</v>
      </c>
      <c r="E1564" s="22">
        <f t="shared" ca="1" si="149"/>
        <v>40951</v>
      </c>
      <c r="F1564" s="11">
        <f>DATE(61,1,20)</f>
        <v>22301</v>
      </c>
      <c r="G1564" s="12">
        <f t="shared" ca="1" si="150"/>
        <v>51</v>
      </c>
      <c r="H1564" s="12">
        <f t="shared" ca="1" si="151"/>
        <v>1</v>
      </c>
      <c r="I1564" s="13">
        <f t="shared" ca="1" si="152"/>
        <v>-8</v>
      </c>
      <c r="J1564" s="14">
        <f t="shared" ca="1" si="153"/>
        <v>51</v>
      </c>
      <c r="K1564" s="12" t="s">
        <v>40</v>
      </c>
      <c r="L1564" s="15">
        <v>115</v>
      </c>
      <c r="M1564" s="25" t="s">
        <v>40</v>
      </c>
      <c r="N1564">
        <v>329</v>
      </c>
    </row>
    <row r="1565" spans="1:14">
      <c r="A1565" s="25">
        <f t="shared" si="148"/>
        <v>734</v>
      </c>
      <c r="B1565" s="67" t="s">
        <v>20</v>
      </c>
      <c r="C1565" s="67" t="s">
        <v>392</v>
      </c>
      <c r="D1565" s="67" t="s">
        <v>892</v>
      </c>
      <c r="E1565" s="22">
        <f t="shared" ca="1" si="149"/>
        <v>40951</v>
      </c>
      <c r="F1565" s="11">
        <f>DATE(2004,12,210)</f>
        <v>38531</v>
      </c>
      <c r="G1565" s="12">
        <f t="shared" ca="1" si="150"/>
        <v>7</v>
      </c>
      <c r="H1565" s="12">
        <f t="shared" ca="1" si="151"/>
        <v>-4</v>
      </c>
      <c r="I1565" s="13">
        <f t="shared" ca="1" si="152"/>
        <v>-16</v>
      </c>
      <c r="J1565" s="14">
        <f t="shared" ca="1" si="153"/>
        <v>6</v>
      </c>
      <c r="K1565" s="12" t="s">
        <v>40</v>
      </c>
      <c r="L1565" s="15">
        <v>115</v>
      </c>
      <c r="M1565" s="25" t="s">
        <v>44</v>
      </c>
      <c r="N1565">
        <v>329</v>
      </c>
    </row>
    <row r="1566" spans="1:14">
      <c r="A1566" s="25">
        <f t="shared" si="148"/>
        <v>735</v>
      </c>
      <c r="B1566" s="67" t="s">
        <v>20</v>
      </c>
      <c r="C1566" s="67" t="s">
        <v>975</v>
      </c>
      <c r="D1566" s="67" t="s">
        <v>892</v>
      </c>
      <c r="E1566" s="22">
        <f t="shared" ca="1" si="149"/>
        <v>40951</v>
      </c>
      <c r="F1566" s="11">
        <f>DATE(63,6,12)</f>
        <v>23174</v>
      </c>
      <c r="G1566" s="12">
        <f t="shared" ca="1" si="150"/>
        <v>49</v>
      </c>
      <c r="H1566" s="12">
        <f t="shared" ca="1" si="151"/>
        <v>-4</v>
      </c>
      <c r="I1566" s="13">
        <f t="shared" ca="1" si="152"/>
        <v>0</v>
      </c>
      <c r="J1566" s="14">
        <f t="shared" ca="1" si="153"/>
        <v>48</v>
      </c>
      <c r="K1566" s="12" t="s">
        <v>40</v>
      </c>
      <c r="L1566" s="15">
        <v>115</v>
      </c>
      <c r="M1566" s="25" t="s">
        <v>40</v>
      </c>
      <c r="N1566">
        <v>329</v>
      </c>
    </row>
    <row r="1567" spans="1:14" ht="15.75" thickBot="1">
      <c r="A1567" s="26">
        <f t="shared" si="148"/>
        <v>736</v>
      </c>
      <c r="B1567" s="67" t="s">
        <v>20</v>
      </c>
      <c r="C1567" s="68" t="s">
        <v>977</v>
      </c>
      <c r="D1567" s="68" t="s">
        <v>975</v>
      </c>
      <c r="E1567" s="23">
        <f t="shared" ca="1" si="149"/>
        <v>40951</v>
      </c>
      <c r="F1567" s="16">
        <f>DATE(90,8,4)</f>
        <v>33089</v>
      </c>
      <c r="G1567" s="17">
        <f t="shared" ca="1" si="150"/>
        <v>22</v>
      </c>
      <c r="H1567" s="17">
        <f t="shared" ca="1" si="151"/>
        <v>-6</v>
      </c>
      <c r="I1567" s="18">
        <f t="shared" ca="1" si="152"/>
        <v>8</v>
      </c>
      <c r="J1567" s="19">
        <f t="shared" ca="1" si="153"/>
        <v>21</v>
      </c>
      <c r="K1567" s="17" t="s">
        <v>40</v>
      </c>
      <c r="L1567" s="20">
        <v>115</v>
      </c>
      <c r="M1567" s="26" t="s">
        <v>44</v>
      </c>
      <c r="N1567">
        <v>329</v>
      </c>
    </row>
    <row r="1568" spans="1:14">
      <c r="A1568" s="25">
        <f t="shared" si="148"/>
        <v>737</v>
      </c>
      <c r="B1568" s="67" t="s">
        <v>20</v>
      </c>
      <c r="C1568" s="67" t="s">
        <v>978</v>
      </c>
      <c r="D1568" s="67" t="s">
        <v>975</v>
      </c>
      <c r="E1568" s="22">
        <f t="shared" ca="1" si="149"/>
        <v>40951</v>
      </c>
      <c r="F1568" s="11">
        <f>DATE(93,2,27)</f>
        <v>34027</v>
      </c>
      <c r="G1568" s="12">
        <f t="shared" ca="1" si="150"/>
        <v>19</v>
      </c>
      <c r="H1568" s="12">
        <f t="shared" ca="1" si="151"/>
        <v>0</v>
      </c>
      <c r="I1568" s="13">
        <f t="shared" ca="1" si="152"/>
        <v>-15</v>
      </c>
      <c r="J1568" s="14">
        <f t="shared" ca="1" si="153"/>
        <v>18</v>
      </c>
      <c r="K1568" s="12" t="s">
        <v>40</v>
      </c>
      <c r="L1568" s="15">
        <v>115</v>
      </c>
      <c r="M1568" s="25" t="s">
        <v>44</v>
      </c>
      <c r="N1568">
        <v>330</v>
      </c>
    </row>
    <row r="1569" spans="1:14">
      <c r="A1569" s="25">
        <f t="shared" si="148"/>
        <v>738</v>
      </c>
      <c r="B1569" s="67" t="s">
        <v>20</v>
      </c>
      <c r="C1569" s="67" t="s">
        <v>193</v>
      </c>
      <c r="D1569" s="67" t="s">
        <v>316</v>
      </c>
      <c r="E1569" s="22">
        <f t="shared" ca="1" si="149"/>
        <v>40951</v>
      </c>
      <c r="F1569" s="11">
        <f>DATE(48,7,24)</f>
        <v>17738</v>
      </c>
      <c r="G1569" s="12">
        <f t="shared" ca="1" si="150"/>
        <v>64</v>
      </c>
      <c r="H1569" s="12">
        <f t="shared" ca="1" si="151"/>
        <v>-5</v>
      </c>
      <c r="I1569" s="13">
        <f t="shared" ca="1" si="152"/>
        <v>-12</v>
      </c>
      <c r="J1569" s="14">
        <f t="shared" ca="1" si="153"/>
        <v>63</v>
      </c>
      <c r="K1569" s="12" t="s">
        <v>40</v>
      </c>
      <c r="L1569" s="15">
        <v>115</v>
      </c>
      <c r="M1569" s="25" t="s">
        <v>40</v>
      </c>
      <c r="N1569">
        <v>330</v>
      </c>
    </row>
    <row r="1570" spans="1:14">
      <c r="A1570" s="25">
        <f t="shared" si="148"/>
        <v>739</v>
      </c>
      <c r="B1570" s="67" t="s">
        <v>20</v>
      </c>
      <c r="C1570" s="67" t="s">
        <v>885</v>
      </c>
      <c r="D1570" s="67" t="s">
        <v>417</v>
      </c>
      <c r="E1570" s="22">
        <f t="shared" ca="1" si="149"/>
        <v>40951</v>
      </c>
      <c r="F1570" s="32"/>
      <c r="G1570" s="12">
        <f t="shared" ca="1" si="150"/>
        <v>112</v>
      </c>
      <c r="H1570" s="12">
        <f t="shared" ca="1" si="151"/>
        <v>1</v>
      </c>
      <c r="I1570" s="13">
        <f t="shared" ca="1" si="152"/>
        <v>12</v>
      </c>
      <c r="J1570" s="14">
        <f t="shared" ca="1" si="153"/>
        <v>112</v>
      </c>
      <c r="K1570" s="12" t="s">
        <v>40</v>
      </c>
      <c r="L1570" s="15">
        <v>116</v>
      </c>
      <c r="M1570" s="25" t="s">
        <v>40</v>
      </c>
      <c r="N1570">
        <v>330</v>
      </c>
    </row>
    <row r="1571" spans="1:14" ht="15.75" thickBot="1">
      <c r="A1571" s="26">
        <f t="shared" si="148"/>
        <v>740</v>
      </c>
      <c r="B1571" s="67" t="s">
        <v>20</v>
      </c>
      <c r="C1571" s="68" t="s">
        <v>439</v>
      </c>
      <c r="D1571" s="68" t="s">
        <v>885</v>
      </c>
      <c r="E1571" s="23">
        <f t="shared" ca="1" si="149"/>
        <v>40951</v>
      </c>
      <c r="F1571" s="16">
        <f>DATE(60,10,30)</f>
        <v>22219</v>
      </c>
      <c r="G1571" s="17">
        <f t="shared" ca="1" si="150"/>
        <v>52</v>
      </c>
      <c r="H1571" s="17">
        <f t="shared" ca="1" si="151"/>
        <v>-8</v>
      </c>
      <c r="I1571" s="18">
        <f t="shared" ca="1" si="152"/>
        <v>-18</v>
      </c>
      <c r="J1571" s="19">
        <f t="shared" ca="1" si="153"/>
        <v>51</v>
      </c>
      <c r="K1571" s="17" t="s">
        <v>40</v>
      </c>
      <c r="L1571" s="20">
        <v>116</v>
      </c>
      <c r="M1571" s="26" t="s">
        <v>40</v>
      </c>
      <c r="N1571">
        <v>330</v>
      </c>
    </row>
    <row r="1572" spans="1:14">
      <c r="A1572" s="25">
        <f t="shared" si="148"/>
        <v>741</v>
      </c>
      <c r="B1572" s="67" t="s">
        <v>20</v>
      </c>
      <c r="C1572" s="67" t="s">
        <v>125</v>
      </c>
      <c r="D1572" s="67" t="s">
        <v>439</v>
      </c>
      <c r="E1572" s="22">
        <f t="shared" ca="1" si="149"/>
        <v>40951</v>
      </c>
      <c r="F1572" s="11">
        <f>DATE(2001,11,16)</f>
        <v>37211</v>
      </c>
      <c r="G1572" s="12">
        <f t="shared" ca="1" si="150"/>
        <v>11</v>
      </c>
      <c r="H1572" s="12">
        <f t="shared" ca="1" si="151"/>
        <v>-9</v>
      </c>
      <c r="I1572" s="13">
        <f t="shared" ca="1" si="152"/>
        <v>-4</v>
      </c>
      <c r="J1572" s="14">
        <f t="shared" ca="1" si="153"/>
        <v>10</v>
      </c>
      <c r="K1572" s="12" t="s">
        <v>40</v>
      </c>
      <c r="L1572" s="15">
        <v>116</v>
      </c>
      <c r="M1572" s="25" t="s">
        <v>44</v>
      </c>
      <c r="N1572">
        <v>331</v>
      </c>
    </row>
    <row r="1573" spans="1:14">
      <c r="A1573" s="25">
        <f t="shared" si="148"/>
        <v>742</v>
      </c>
      <c r="B1573" s="67" t="s">
        <v>20</v>
      </c>
      <c r="C1573" s="67" t="s">
        <v>142</v>
      </c>
      <c r="D1573" s="67" t="s">
        <v>885</v>
      </c>
      <c r="E1573" s="22">
        <f t="shared" ca="1" si="149"/>
        <v>40951</v>
      </c>
      <c r="F1573" s="11">
        <f>DATE(64,11,9)</f>
        <v>23690</v>
      </c>
      <c r="G1573" s="12">
        <f t="shared" ca="1" si="150"/>
        <v>48</v>
      </c>
      <c r="H1573" s="12">
        <f t="shared" ca="1" si="151"/>
        <v>-9</v>
      </c>
      <c r="I1573" s="13">
        <f t="shared" ca="1" si="152"/>
        <v>3</v>
      </c>
      <c r="J1573" s="14">
        <f t="shared" ca="1" si="153"/>
        <v>47</v>
      </c>
      <c r="K1573" s="12" t="s">
        <v>40</v>
      </c>
      <c r="L1573" s="15">
        <v>116</v>
      </c>
      <c r="M1573" s="25" t="s">
        <v>40</v>
      </c>
      <c r="N1573">
        <v>331</v>
      </c>
    </row>
    <row r="1574" spans="1:14">
      <c r="A1574" s="25">
        <f t="shared" si="148"/>
        <v>743</v>
      </c>
      <c r="B1574" s="67" t="s">
        <v>20</v>
      </c>
      <c r="C1574" s="67" t="s">
        <v>770</v>
      </c>
      <c r="D1574" s="67" t="s">
        <v>142</v>
      </c>
      <c r="E1574" s="22">
        <f t="shared" ca="1" si="149"/>
        <v>40951</v>
      </c>
      <c r="F1574" s="11">
        <f>DATE(99,9,26)</f>
        <v>36429</v>
      </c>
      <c r="G1574" s="12">
        <f t="shared" ca="1" si="150"/>
        <v>13</v>
      </c>
      <c r="H1574" s="12">
        <f t="shared" ca="1" si="151"/>
        <v>-7</v>
      </c>
      <c r="I1574" s="13">
        <f t="shared" ca="1" si="152"/>
        <v>-14</v>
      </c>
      <c r="J1574" s="14">
        <f t="shared" ca="1" si="153"/>
        <v>12</v>
      </c>
      <c r="K1574" s="12" t="s">
        <v>40</v>
      </c>
      <c r="L1574" s="15">
        <v>116</v>
      </c>
      <c r="M1574" s="25" t="s">
        <v>44</v>
      </c>
      <c r="N1574">
        <v>331</v>
      </c>
    </row>
    <row r="1575" spans="1:14">
      <c r="A1575" s="25">
        <f t="shared" si="148"/>
        <v>744</v>
      </c>
      <c r="B1575" s="67" t="s">
        <v>20</v>
      </c>
      <c r="C1575" s="67" t="s">
        <v>367</v>
      </c>
      <c r="D1575" s="67" t="s">
        <v>367</v>
      </c>
      <c r="E1575" s="22">
        <f t="shared" ca="1" si="149"/>
        <v>40951</v>
      </c>
      <c r="F1575" s="11">
        <f>DATE(67,4,24)</f>
        <v>24586</v>
      </c>
      <c r="G1575" s="12">
        <f t="shared" ca="1" si="150"/>
        <v>45</v>
      </c>
      <c r="H1575" s="12">
        <f t="shared" ca="1" si="151"/>
        <v>-2</v>
      </c>
      <c r="I1575" s="13">
        <f t="shared" ca="1" si="152"/>
        <v>-12</v>
      </c>
      <c r="J1575" s="14">
        <f t="shared" ca="1" si="153"/>
        <v>44</v>
      </c>
      <c r="K1575" s="12" t="s">
        <v>40</v>
      </c>
      <c r="L1575" s="15">
        <v>116</v>
      </c>
      <c r="M1575" s="25" t="s">
        <v>40</v>
      </c>
      <c r="N1575">
        <v>331</v>
      </c>
    </row>
    <row r="1576" spans="1:14">
      <c r="A1576" s="25">
        <f t="shared" si="148"/>
        <v>745</v>
      </c>
      <c r="B1576" s="67" t="s">
        <v>20</v>
      </c>
      <c r="C1576" s="67" t="s">
        <v>263</v>
      </c>
      <c r="D1576" s="67" t="s">
        <v>367</v>
      </c>
      <c r="E1576" s="22">
        <f t="shared" ca="1" si="149"/>
        <v>40951</v>
      </c>
      <c r="F1576" s="11">
        <f>DATE(2002,3,27)</f>
        <v>37342</v>
      </c>
      <c r="G1576" s="12">
        <f t="shared" ca="1" si="150"/>
        <v>10</v>
      </c>
      <c r="H1576" s="12">
        <f t="shared" ca="1" si="151"/>
        <v>-1</v>
      </c>
      <c r="I1576" s="13">
        <f t="shared" ca="1" si="152"/>
        <v>-15</v>
      </c>
      <c r="J1576" s="14">
        <f t="shared" ca="1" si="153"/>
        <v>9</v>
      </c>
      <c r="K1576" s="12" t="s">
        <v>40</v>
      </c>
      <c r="L1576" s="15">
        <v>116</v>
      </c>
      <c r="M1576" s="25" t="s">
        <v>44</v>
      </c>
      <c r="N1576">
        <v>331</v>
      </c>
    </row>
    <row r="1577" spans="1:14" ht="15.75" thickBot="1">
      <c r="A1577" s="26">
        <f t="shared" si="148"/>
        <v>746</v>
      </c>
      <c r="B1577" s="67" t="s">
        <v>20</v>
      </c>
      <c r="C1577" s="68" t="s">
        <v>341</v>
      </c>
      <c r="D1577" s="68" t="s">
        <v>885</v>
      </c>
      <c r="E1577" s="23">
        <f t="shared" ca="1" si="149"/>
        <v>40951</v>
      </c>
      <c r="F1577" s="16">
        <f>DATE(68,8,9)</f>
        <v>25059</v>
      </c>
      <c r="G1577" s="17">
        <f t="shared" ca="1" si="150"/>
        <v>44</v>
      </c>
      <c r="H1577" s="17">
        <f t="shared" ca="1" si="151"/>
        <v>-6</v>
      </c>
      <c r="I1577" s="18">
        <f t="shared" ca="1" si="152"/>
        <v>3</v>
      </c>
      <c r="J1577" s="19">
        <f t="shared" ca="1" si="153"/>
        <v>43</v>
      </c>
      <c r="K1577" s="17" t="s">
        <v>40</v>
      </c>
      <c r="L1577" s="20">
        <v>116</v>
      </c>
      <c r="M1577" s="26" t="s">
        <v>40</v>
      </c>
      <c r="N1577">
        <v>331</v>
      </c>
    </row>
    <row r="1578" spans="1:14">
      <c r="A1578" s="25">
        <f t="shared" si="148"/>
        <v>747</v>
      </c>
      <c r="B1578" s="67" t="s">
        <v>20</v>
      </c>
      <c r="C1578" s="67" t="s">
        <v>277</v>
      </c>
      <c r="D1578" s="67" t="s">
        <v>60</v>
      </c>
      <c r="E1578" s="22">
        <f t="shared" ca="1" si="149"/>
        <v>40951</v>
      </c>
      <c r="F1578" s="11">
        <f>DATE(60,6,22)</f>
        <v>22089</v>
      </c>
      <c r="G1578" s="12">
        <f t="shared" ca="1" si="150"/>
        <v>52</v>
      </c>
      <c r="H1578" s="12">
        <f t="shared" ca="1" si="151"/>
        <v>-4</v>
      </c>
      <c r="I1578" s="13">
        <f t="shared" ca="1" si="152"/>
        <v>-10</v>
      </c>
      <c r="J1578" s="14">
        <f t="shared" ca="1" si="153"/>
        <v>51</v>
      </c>
      <c r="K1578" s="12" t="s">
        <v>40</v>
      </c>
      <c r="L1578" s="15">
        <v>116</v>
      </c>
      <c r="M1578" s="25" t="s">
        <v>40</v>
      </c>
      <c r="N1578">
        <v>332</v>
      </c>
    </row>
    <row r="1579" spans="1:14">
      <c r="A1579" s="25">
        <f t="shared" si="148"/>
        <v>748</v>
      </c>
      <c r="B1579" s="67" t="s">
        <v>20</v>
      </c>
      <c r="C1579" s="67" t="s">
        <v>376</v>
      </c>
      <c r="D1579" s="67" t="s">
        <v>277</v>
      </c>
      <c r="E1579" s="22">
        <f t="shared" ca="1" si="149"/>
        <v>40951</v>
      </c>
      <c r="F1579" s="11">
        <f>DATE(86,4,24)</f>
        <v>31526</v>
      </c>
      <c r="G1579" s="12">
        <f t="shared" ca="1" si="150"/>
        <v>26</v>
      </c>
      <c r="H1579" s="12">
        <f t="shared" ca="1" si="151"/>
        <v>-2</v>
      </c>
      <c r="I1579" s="13">
        <f t="shared" ca="1" si="152"/>
        <v>-12</v>
      </c>
      <c r="J1579" s="14">
        <f t="shared" ca="1" si="153"/>
        <v>25</v>
      </c>
      <c r="K1579" s="12" t="s">
        <v>40</v>
      </c>
      <c r="L1579" s="15">
        <v>116</v>
      </c>
      <c r="M1579" s="25" t="s">
        <v>44</v>
      </c>
      <c r="N1579">
        <v>332</v>
      </c>
    </row>
    <row r="1580" spans="1:14">
      <c r="A1580" s="25">
        <f t="shared" si="148"/>
        <v>749</v>
      </c>
      <c r="B1580" s="67" t="s">
        <v>20</v>
      </c>
      <c r="C1580" s="67" t="s">
        <v>824</v>
      </c>
      <c r="D1580" s="67" t="s">
        <v>277</v>
      </c>
      <c r="E1580" s="22">
        <f t="shared" ca="1" si="149"/>
        <v>40951</v>
      </c>
      <c r="F1580" s="11">
        <f>DATE(93,4,15)</f>
        <v>34074</v>
      </c>
      <c r="G1580" s="12">
        <f t="shared" ca="1" si="150"/>
        <v>19</v>
      </c>
      <c r="H1580" s="12">
        <f t="shared" ca="1" si="151"/>
        <v>-2</v>
      </c>
      <c r="I1580" s="13">
        <f t="shared" ca="1" si="152"/>
        <v>-3</v>
      </c>
      <c r="J1580" s="14">
        <f t="shared" ca="1" si="153"/>
        <v>18</v>
      </c>
      <c r="K1580" s="12" t="s">
        <v>40</v>
      </c>
      <c r="L1580" s="15">
        <v>116</v>
      </c>
      <c r="M1580" s="25" t="s">
        <v>44</v>
      </c>
      <c r="N1580">
        <v>332</v>
      </c>
    </row>
    <row r="1581" spans="1:14" ht="15.75" thickBot="1">
      <c r="A1581" s="26">
        <f t="shared" si="148"/>
        <v>750</v>
      </c>
      <c r="B1581" s="67" t="s">
        <v>20</v>
      </c>
      <c r="C1581" s="68" t="s">
        <v>208</v>
      </c>
      <c r="D1581" s="68" t="s">
        <v>60</v>
      </c>
      <c r="E1581" s="23">
        <f t="shared" ca="1" si="149"/>
        <v>40951</v>
      </c>
      <c r="F1581" s="16">
        <f>DATE(47,5,15)</f>
        <v>17302</v>
      </c>
      <c r="G1581" s="17">
        <f t="shared" ca="1" si="150"/>
        <v>65</v>
      </c>
      <c r="H1581" s="17">
        <f t="shared" ca="1" si="151"/>
        <v>-3</v>
      </c>
      <c r="I1581" s="18">
        <f t="shared" ca="1" si="152"/>
        <v>-3</v>
      </c>
      <c r="J1581" s="19">
        <f t="shared" ca="1" si="153"/>
        <v>64</v>
      </c>
      <c r="K1581" s="17" t="s">
        <v>40</v>
      </c>
      <c r="L1581" s="20">
        <v>117</v>
      </c>
      <c r="M1581" s="26" t="s">
        <v>40</v>
      </c>
      <c r="N1581">
        <v>332</v>
      </c>
    </row>
    <row r="1582" spans="1:14">
      <c r="A1582" s="25">
        <f t="shared" si="148"/>
        <v>751</v>
      </c>
      <c r="B1582" s="67" t="s">
        <v>20</v>
      </c>
      <c r="C1582" s="67" t="s">
        <v>982</v>
      </c>
      <c r="D1582" s="67" t="s">
        <v>208</v>
      </c>
      <c r="E1582" s="22">
        <f t="shared" ca="1" si="149"/>
        <v>40951</v>
      </c>
      <c r="F1582" s="11">
        <f>DATE(80,10,12)</f>
        <v>29506</v>
      </c>
      <c r="G1582" s="12">
        <f t="shared" ca="1" si="150"/>
        <v>32</v>
      </c>
      <c r="H1582" s="12">
        <f t="shared" ca="1" si="151"/>
        <v>-8</v>
      </c>
      <c r="I1582" s="13">
        <f t="shared" ca="1" si="152"/>
        <v>0</v>
      </c>
      <c r="J1582" s="14">
        <f t="shared" ca="1" si="153"/>
        <v>31</v>
      </c>
      <c r="K1582" s="12" t="s">
        <v>40</v>
      </c>
      <c r="L1582" s="15">
        <v>117</v>
      </c>
      <c r="M1582" s="25" t="s">
        <v>44</v>
      </c>
      <c r="N1582">
        <v>333</v>
      </c>
    </row>
    <row r="1583" spans="1:14">
      <c r="A1583" s="25">
        <f t="shared" si="148"/>
        <v>752</v>
      </c>
      <c r="B1583" s="67" t="s">
        <v>20</v>
      </c>
      <c r="C1583" s="67" t="s">
        <v>591</v>
      </c>
      <c r="D1583" s="67" t="s">
        <v>985</v>
      </c>
      <c r="E1583" s="22">
        <f t="shared" ca="1" si="149"/>
        <v>40951</v>
      </c>
      <c r="F1583" s="11">
        <f>DATE(52,7,20)</f>
        <v>19195</v>
      </c>
      <c r="G1583" s="12">
        <f t="shared" ca="1" si="150"/>
        <v>60</v>
      </c>
      <c r="H1583" s="12">
        <f t="shared" ca="1" si="151"/>
        <v>-5</v>
      </c>
      <c r="I1583" s="13">
        <f t="shared" ca="1" si="152"/>
        <v>-8</v>
      </c>
      <c r="J1583" s="14">
        <f t="shared" ca="1" si="153"/>
        <v>59</v>
      </c>
      <c r="K1583" s="12" t="s">
        <v>40</v>
      </c>
      <c r="L1583" s="15">
        <v>117</v>
      </c>
      <c r="M1583" s="25" t="s">
        <v>40</v>
      </c>
      <c r="N1583">
        <v>333</v>
      </c>
    </row>
    <row r="1584" spans="1:14">
      <c r="A1584" s="25">
        <f t="shared" si="148"/>
        <v>753</v>
      </c>
      <c r="B1584" s="67" t="s">
        <v>20</v>
      </c>
      <c r="C1584" s="67" t="s">
        <v>986</v>
      </c>
      <c r="D1584" s="67" t="s">
        <v>591</v>
      </c>
      <c r="E1584" s="22">
        <f t="shared" ca="1" si="149"/>
        <v>40951</v>
      </c>
      <c r="F1584" s="11">
        <f>DATE(81,8,22)</f>
        <v>29820</v>
      </c>
      <c r="G1584" s="12">
        <f t="shared" ca="1" si="150"/>
        <v>31</v>
      </c>
      <c r="H1584" s="12">
        <f t="shared" ca="1" si="151"/>
        <v>-6</v>
      </c>
      <c r="I1584" s="13">
        <f t="shared" ca="1" si="152"/>
        <v>-10</v>
      </c>
      <c r="J1584" s="14">
        <f t="shared" ca="1" si="153"/>
        <v>30</v>
      </c>
      <c r="K1584" s="12" t="s">
        <v>40</v>
      </c>
      <c r="L1584" s="15">
        <v>117</v>
      </c>
      <c r="M1584" s="25" t="s">
        <v>44</v>
      </c>
      <c r="N1584">
        <v>333</v>
      </c>
    </row>
    <row r="1585" spans="1:14" ht="15.75" thickBot="1">
      <c r="A1585" s="26">
        <f t="shared" si="148"/>
        <v>754</v>
      </c>
      <c r="B1585" s="67" t="s">
        <v>20</v>
      </c>
      <c r="C1585" s="68" t="s">
        <v>210</v>
      </c>
      <c r="D1585" s="68" t="s">
        <v>99</v>
      </c>
      <c r="E1585" s="23">
        <f t="shared" ca="1" si="149"/>
        <v>40951</v>
      </c>
      <c r="F1585" s="16">
        <f>DATE(68,4,2)</f>
        <v>24930</v>
      </c>
      <c r="G1585" s="17">
        <f t="shared" ca="1" si="150"/>
        <v>44</v>
      </c>
      <c r="H1585" s="17">
        <f t="shared" ca="1" si="151"/>
        <v>-2</v>
      </c>
      <c r="I1585" s="18">
        <f t="shared" ca="1" si="152"/>
        <v>10</v>
      </c>
      <c r="J1585" s="19">
        <f t="shared" ca="1" si="153"/>
        <v>43</v>
      </c>
      <c r="K1585" s="17" t="s">
        <v>40</v>
      </c>
      <c r="L1585" s="20">
        <v>118</v>
      </c>
      <c r="M1585" s="26" t="s">
        <v>40</v>
      </c>
      <c r="N1585">
        <v>333</v>
      </c>
    </row>
    <row r="1586" spans="1:14">
      <c r="A1586" s="25">
        <f t="shared" si="148"/>
        <v>755</v>
      </c>
      <c r="B1586" s="67" t="s">
        <v>20</v>
      </c>
      <c r="C1586" s="67" t="s">
        <v>228</v>
      </c>
      <c r="D1586" s="67" t="s">
        <v>210</v>
      </c>
      <c r="E1586" s="22">
        <f t="shared" ca="1" si="149"/>
        <v>40951</v>
      </c>
      <c r="F1586" s="11">
        <f>DATE(98,2,2)</f>
        <v>35828</v>
      </c>
      <c r="G1586" s="12">
        <f t="shared" ca="1" si="150"/>
        <v>14</v>
      </c>
      <c r="H1586" s="12">
        <f t="shared" ca="1" si="151"/>
        <v>0</v>
      </c>
      <c r="I1586" s="13">
        <f t="shared" ca="1" si="152"/>
        <v>10</v>
      </c>
      <c r="J1586" s="14">
        <f t="shared" ca="1" si="153"/>
        <v>14</v>
      </c>
      <c r="K1586" s="12" t="s">
        <v>40</v>
      </c>
      <c r="L1586" s="15">
        <v>118</v>
      </c>
      <c r="M1586" s="25" t="s">
        <v>44</v>
      </c>
      <c r="N1586">
        <v>334</v>
      </c>
    </row>
    <row r="1587" spans="1:14">
      <c r="A1587" s="25">
        <f t="shared" si="148"/>
        <v>756</v>
      </c>
      <c r="B1587" s="67" t="s">
        <v>20</v>
      </c>
      <c r="C1587" s="67" t="s">
        <v>989</v>
      </c>
      <c r="D1587" s="67" t="s">
        <v>99</v>
      </c>
      <c r="E1587" s="22">
        <f t="shared" ca="1" si="149"/>
        <v>40951</v>
      </c>
      <c r="F1587" s="11">
        <f>DATE(70,7,5)</f>
        <v>25754</v>
      </c>
      <c r="G1587" s="12">
        <f t="shared" ca="1" si="150"/>
        <v>42</v>
      </c>
      <c r="H1587" s="12">
        <f t="shared" ca="1" si="151"/>
        <v>-5</v>
      </c>
      <c r="I1587" s="13">
        <f t="shared" ca="1" si="152"/>
        <v>7</v>
      </c>
      <c r="J1587" s="14">
        <f t="shared" ca="1" si="153"/>
        <v>41</v>
      </c>
      <c r="K1587" s="12" t="s">
        <v>40</v>
      </c>
      <c r="L1587" s="15">
        <v>118</v>
      </c>
      <c r="M1587" s="25" t="s">
        <v>40</v>
      </c>
      <c r="N1587">
        <v>334</v>
      </c>
    </row>
    <row r="1588" spans="1:14">
      <c r="A1588" s="25">
        <f t="shared" si="148"/>
        <v>757</v>
      </c>
      <c r="B1588" s="67" t="s">
        <v>20</v>
      </c>
      <c r="C1588" s="67" t="s">
        <v>151</v>
      </c>
      <c r="D1588" s="67" t="s">
        <v>989</v>
      </c>
      <c r="E1588" s="22">
        <f t="shared" ca="1" si="149"/>
        <v>40951</v>
      </c>
      <c r="F1588" s="11">
        <f>DATE(2000,2,27)</f>
        <v>36583</v>
      </c>
      <c r="G1588" s="12">
        <f t="shared" ca="1" si="150"/>
        <v>12</v>
      </c>
      <c r="H1588" s="12">
        <f t="shared" ca="1" si="151"/>
        <v>0</v>
      </c>
      <c r="I1588" s="13">
        <f t="shared" ca="1" si="152"/>
        <v>-15</v>
      </c>
      <c r="J1588" s="14">
        <f t="shared" ca="1" si="153"/>
        <v>11</v>
      </c>
      <c r="K1588" s="12" t="s">
        <v>40</v>
      </c>
      <c r="L1588" s="15">
        <v>118</v>
      </c>
      <c r="M1588" s="25" t="s">
        <v>44</v>
      </c>
      <c r="N1588">
        <v>334</v>
      </c>
    </row>
    <row r="1589" spans="1:14">
      <c r="A1589" s="25">
        <f t="shared" si="148"/>
        <v>758</v>
      </c>
      <c r="B1589" s="67" t="s">
        <v>20</v>
      </c>
      <c r="C1589" s="67" t="s">
        <v>600</v>
      </c>
      <c r="D1589" s="67" t="s">
        <v>985</v>
      </c>
      <c r="E1589" s="22">
        <f t="shared" ca="1" si="149"/>
        <v>40951</v>
      </c>
      <c r="F1589" s="11">
        <f>DATE(59,10,19)</f>
        <v>21842</v>
      </c>
      <c r="G1589" s="12">
        <f t="shared" ca="1" si="150"/>
        <v>53</v>
      </c>
      <c r="H1589" s="12">
        <f t="shared" ca="1" si="151"/>
        <v>-8</v>
      </c>
      <c r="I1589" s="13">
        <f t="shared" ca="1" si="152"/>
        <v>-7</v>
      </c>
      <c r="J1589" s="14">
        <f t="shared" ca="1" si="153"/>
        <v>52</v>
      </c>
      <c r="K1589" s="12" t="s">
        <v>40</v>
      </c>
      <c r="L1589" s="15">
        <v>118</v>
      </c>
      <c r="M1589" s="25" t="s">
        <v>40</v>
      </c>
      <c r="N1589">
        <v>334</v>
      </c>
    </row>
    <row r="1590" spans="1:14">
      <c r="A1590" s="25">
        <f t="shared" si="148"/>
        <v>759</v>
      </c>
      <c r="B1590" s="67" t="s">
        <v>20</v>
      </c>
      <c r="C1590" s="67" t="s">
        <v>903</v>
      </c>
      <c r="D1590" s="67" t="s">
        <v>316</v>
      </c>
      <c r="E1590" s="22">
        <f t="shared" ca="1" si="149"/>
        <v>40951</v>
      </c>
      <c r="F1590" s="11">
        <f>DATE(51,10,150)</f>
        <v>19051</v>
      </c>
      <c r="G1590" s="12">
        <f t="shared" ca="1" si="150"/>
        <v>60</v>
      </c>
      <c r="H1590" s="12">
        <f t="shared" ca="1" si="151"/>
        <v>0</v>
      </c>
      <c r="I1590" s="13">
        <f t="shared" ca="1" si="152"/>
        <v>-15</v>
      </c>
      <c r="J1590" s="14">
        <f t="shared" ca="1" si="153"/>
        <v>59</v>
      </c>
      <c r="K1590" s="12" t="s">
        <v>40</v>
      </c>
      <c r="L1590" s="15">
        <v>118</v>
      </c>
      <c r="M1590" s="25" t="s">
        <v>40</v>
      </c>
      <c r="N1590">
        <v>334</v>
      </c>
    </row>
    <row r="1591" spans="1:14">
      <c r="A1591" s="25">
        <f t="shared" si="148"/>
        <v>760</v>
      </c>
      <c r="B1591" s="67" t="s">
        <v>20</v>
      </c>
      <c r="C1591" s="67" t="s">
        <v>118</v>
      </c>
      <c r="D1591" s="67" t="s">
        <v>903</v>
      </c>
      <c r="E1591" s="22">
        <f t="shared" ca="1" si="149"/>
        <v>40951</v>
      </c>
      <c r="F1591" s="11">
        <f>DATE(80,7,16)</f>
        <v>29418</v>
      </c>
      <c r="G1591" s="12">
        <f t="shared" ca="1" si="150"/>
        <v>32</v>
      </c>
      <c r="H1591" s="12">
        <f t="shared" ca="1" si="151"/>
        <v>-5</v>
      </c>
      <c r="I1591" s="13">
        <f t="shared" ca="1" si="152"/>
        <v>-4</v>
      </c>
      <c r="J1591" s="14">
        <f t="shared" ca="1" si="153"/>
        <v>31</v>
      </c>
      <c r="K1591" s="12" t="s">
        <v>40</v>
      </c>
      <c r="L1591" s="15">
        <v>118</v>
      </c>
      <c r="M1591" s="25" t="s">
        <v>44</v>
      </c>
      <c r="N1591">
        <v>334</v>
      </c>
    </row>
    <row r="1592" spans="1:14">
      <c r="A1592" s="25">
        <f t="shared" si="148"/>
        <v>761</v>
      </c>
      <c r="B1592" s="67" t="s">
        <v>20</v>
      </c>
      <c r="C1592" s="67" t="s">
        <v>743</v>
      </c>
      <c r="D1592" s="67" t="s">
        <v>286</v>
      </c>
      <c r="E1592" s="22">
        <f t="shared" ca="1" si="149"/>
        <v>40951</v>
      </c>
      <c r="F1592" s="11">
        <f>DATE(37,2,1)</f>
        <v>13547</v>
      </c>
      <c r="G1592" s="12">
        <f t="shared" ca="1" si="150"/>
        <v>75</v>
      </c>
      <c r="H1592" s="12">
        <f t="shared" ca="1" si="151"/>
        <v>0</v>
      </c>
      <c r="I1592" s="13">
        <f t="shared" ca="1" si="152"/>
        <v>11</v>
      </c>
      <c r="J1592" s="14">
        <f t="shared" ca="1" si="153"/>
        <v>75</v>
      </c>
      <c r="K1592" s="12" t="s">
        <v>40</v>
      </c>
      <c r="L1592" s="15">
        <v>119</v>
      </c>
      <c r="M1592" s="25" t="s">
        <v>40</v>
      </c>
      <c r="N1592">
        <v>334</v>
      </c>
    </row>
    <row r="1593" spans="1:14">
      <c r="A1593" s="25">
        <f t="shared" si="148"/>
        <v>762</v>
      </c>
      <c r="B1593" s="67" t="s">
        <v>20</v>
      </c>
      <c r="C1593" s="67" t="s">
        <v>767</v>
      </c>
      <c r="D1593" s="67" t="s">
        <v>743</v>
      </c>
      <c r="E1593" s="22">
        <f t="shared" ca="1" si="149"/>
        <v>40951</v>
      </c>
      <c r="F1593" s="11">
        <f>DATE(63,12,29)</f>
        <v>23374</v>
      </c>
      <c r="G1593" s="12">
        <f t="shared" ca="1" si="150"/>
        <v>49</v>
      </c>
      <c r="H1593" s="12">
        <f t="shared" ca="1" si="151"/>
        <v>-10</v>
      </c>
      <c r="I1593" s="13">
        <f t="shared" ca="1" si="152"/>
        <v>-17</v>
      </c>
      <c r="J1593" s="14">
        <f t="shared" ca="1" si="153"/>
        <v>48</v>
      </c>
      <c r="K1593" s="12" t="s">
        <v>40</v>
      </c>
      <c r="L1593" s="15">
        <v>119</v>
      </c>
      <c r="M1593" s="25" t="s">
        <v>40</v>
      </c>
      <c r="N1593">
        <v>334</v>
      </c>
    </row>
    <row r="1594" spans="1:14">
      <c r="A1594" s="25">
        <f t="shared" si="148"/>
        <v>763</v>
      </c>
      <c r="B1594" s="67" t="s">
        <v>20</v>
      </c>
      <c r="C1594" s="67" t="s">
        <v>376</v>
      </c>
      <c r="D1594" s="67" t="s">
        <v>996</v>
      </c>
      <c r="E1594" s="22">
        <f t="shared" ca="1" si="149"/>
        <v>40951</v>
      </c>
      <c r="F1594" s="11">
        <f>DATE(88,8,6)</f>
        <v>32361</v>
      </c>
      <c r="G1594" s="12">
        <f t="shared" ca="1" si="150"/>
        <v>24</v>
      </c>
      <c r="H1594" s="12">
        <f t="shared" ca="1" si="151"/>
        <v>-6</v>
      </c>
      <c r="I1594" s="13">
        <f t="shared" ca="1" si="152"/>
        <v>6</v>
      </c>
      <c r="J1594" s="14">
        <f t="shared" ca="1" si="153"/>
        <v>23</v>
      </c>
      <c r="K1594" s="12" t="s">
        <v>40</v>
      </c>
      <c r="L1594" s="15">
        <v>119</v>
      </c>
      <c r="M1594" s="25" t="s">
        <v>44</v>
      </c>
      <c r="N1594">
        <v>334</v>
      </c>
    </row>
    <row r="1595" spans="1:14" ht="15.75" thickBot="1">
      <c r="A1595" s="26">
        <f t="shared" si="148"/>
        <v>764</v>
      </c>
      <c r="B1595" s="67" t="s">
        <v>20</v>
      </c>
      <c r="C1595" s="68" t="s">
        <v>997</v>
      </c>
      <c r="D1595" s="68" t="s">
        <v>134</v>
      </c>
      <c r="E1595" s="23">
        <f t="shared" ca="1" si="149"/>
        <v>40951</v>
      </c>
      <c r="F1595" s="16">
        <f>DATE(60,12,17)</f>
        <v>22267</v>
      </c>
      <c r="G1595" s="17">
        <f t="shared" ca="1" si="150"/>
        <v>52</v>
      </c>
      <c r="H1595" s="17">
        <f t="shared" ca="1" si="151"/>
        <v>-10</v>
      </c>
      <c r="I1595" s="18">
        <f t="shared" ca="1" si="152"/>
        <v>-5</v>
      </c>
      <c r="J1595" s="19">
        <f t="shared" ca="1" si="153"/>
        <v>51</v>
      </c>
      <c r="K1595" s="17" t="s">
        <v>40</v>
      </c>
      <c r="L1595" s="20">
        <v>119</v>
      </c>
      <c r="M1595" s="26" t="s">
        <v>40</v>
      </c>
      <c r="N1595">
        <v>334</v>
      </c>
    </row>
    <row r="1596" spans="1:14">
      <c r="A1596" s="25">
        <f t="shared" si="148"/>
        <v>765</v>
      </c>
      <c r="B1596" s="67" t="s">
        <v>20</v>
      </c>
      <c r="C1596" s="67" t="s">
        <v>1000</v>
      </c>
      <c r="D1596" s="67" t="s">
        <v>60</v>
      </c>
      <c r="E1596" s="22">
        <f t="shared" ca="1" si="149"/>
        <v>40951</v>
      </c>
      <c r="F1596" s="11">
        <f>DATE(46,1,16)</f>
        <v>16818</v>
      </c>
      <c r="G1596" s="12">
        <f t="shared" ca="1" si="150"/>
        <v>66</v>
      </c>
      <c r="H1596" s="12">
        <f t="shared" ca="1" si="151"/>
        <v>1</v>
      </c>
      <c r="I1596" s="13">
        <f t="shared" ca="1" si="152"/>
        <v>-4</v>
      </c>
      <c r="J1596" s="14">
        <f t="shared" ca="1" si="153"/>
        <v>66</v>
      </c>
      <c r="K1596" s="12" t="s">
        <v>40</v>
      </c>
      <c r="L1596" s="15">
        <v>120</v>
      </c>
      <c r="M1596" s="25" t="s">
        <v>40</v>
      </c>
      <c r="N1596">
        <v>335</v>
      </c>
    </row>
    <row r="1597" spans="1:14">
      <c r="A1597" s="25">
        <f t="shared" si="148"/>
        <v>766</v>
      </c>
      <c r="B1597" s="67" t="s">
        <v>20</v>
      </c>
      <c r="C1597" s="67" t="s">
        <v>1001</v>
      </c>
      <c r="D1597" s="67" t="s">
        <v>1000</v>
      </c>
      <c r="E1597" s="22">
        <f t="shared" ca="1" si="149"/>
        <v>40951</v>
      </c>
      <c r="F1597" s="11">
        <f>DATE(53,7,15)</f>
        <v>19555</v>
      </c>
      <c r="G1597" s="12">
        <f t="shared" ca="1" si="150"/>
        <v>59</v>
      </c>
      <c r="H1597" s="12">
        <f t="shared" ca="1" si="151"/>
        <v>-5</v>
      </c>
      <c r="I1597" s="13">
        <f t="shared" ca="1" si="152"/>
        <v>-3</v>
      </c>
      <c r="J1597" s="14">
        <f t="shared" ca="1" si="153"/>
        <v>58</v>
      </c>
      <c r="K1597" s="12" t="s">
        <v>40</v>
      </c>
      <c r="L1597" s="15">
        <v>120</v>
      </c>
      <c r="M1597" s="25" t="s">
        <v>40</v>
      </c>
      <c r="N1597">
        <v>335</v>
      </c>
    </row>
    <row r="1598" spans="1:14">
      <c r="A1598" s="25">
        <f t="shared" ref="A1598:A1617" si="154">A1597+1</f>
        <v>767</v>
      </c>
      <c r="B1598" s="67" t="s">
        <v>20</v>
      </c>
      <c r="C1598" s="67" t="s">
        <v>1003</v>
      </c>
      <c r="D1598" s="67" t="s">
        <v>1002</v>
      </c>
      <c r="E1598" s="22">
        <f t="shared" ca="1" si="149"/>
        <v>40951</v>
      </c>
      <c r="F1598" s="11">
        <f>DATE(83,10,14)</f>
        <v>30603</v>
      </c>
      <c r="G1598" s="12">
        <f t="shared" ca="1" si="150"/>
        <v>29</v>
      </c>
      <c r="H1598" s="12">
        <f t="shared" ca="1" si="151"/>
        <v>-8</v>
      </c>
      <c r="I1598" s="13">
        <f t="shared" ca="1" si="152"/>
        <v>-2</v>
      </c>
      <c r="J1598" s="14">
        <f t="shared" ca="1" si="153"/>
        <v>28</v>
      </c>
      <c r="K1598" s="12" t="s">
        <v>40</v>
      </c>
      <c r="L1598" s="15">
        <v>120</v>
      </c>
      <c r="M1598" s="25" t="s">
        <v>40</v>
      </c>
      <c r="N1598">
        <v>335</v>
      </c>
    </row>
    <row r="1599" spans="1:14" ht="15.75" thickBot="1">
      <c r="A1599" s="26">
        <f t="shared" si="154"/>
        <v>768</v>
      </c>
      <c r="B1599" s="67" t="s">
        <v>20</v>
      </c>
      <c r="C1599" s="68" t="s">
        <v>933</v>
      </c>
      <c r="D1599" s="68" t="s">
        <v>77</v>
      </c>
      <c r="E1599" s="23">
        <f t="shared" ca="1" si="149"/>
        <v>40951</v>
      </c>
      <c r="F1599" s="16">
        <f>DATE(46,10,25)</f>
        <v>17100</v>
      </c>
      <c r="G1599" s="17">
        <f t="shared" ca="1" si="150"/>
        <v>66</v>
      </c>
      <c r="H1599" s="17">
        <f t="shared" ca="1" si="151"/>
        <v>-8</v>
      </c>
      <c r="I1599" s="18">
        <f t="shared" ca="1" si="152"/>
        <v>-13</v>
      </c>
      <c r="J1599" s="19">
        <f t="shared" ca="1" si="153"/>
        <v>65</v>
      </c>
      <c r="K1599" s="17" t="s">
        <v>40</v>
      </c>
      <c r="L1599" s="20">
        <v>120</v>
      </c>
      <c r="M1599" s="26" t="s">
        <v>40</v>
      </c>
      <c r="N1599">
        <v>335</v>
      </c>
    </row>
    <row r="1600" spans="1:14">
      <c r="A1600" s="25">
        <f t="shared" si="154"/>
        <v>769</v>
      </c>
      <c r="B1600" s="67" t="s">
        <v>20</v>
      </c>
      <c r="C1600" s="67" t="s">
        <v>1005</v>
      </c>
      <c r="D1600" s="67" t="s">
        <v>933</v>
      </c>
      <c r="E1600" s="22">
        <f t="shared" ca="1" si="149"/>
        <v>40951</v>
      </c>
      <c r="F1600" s="11">
        <f>DATE(51,10,90)</f>
        <v>18991</v>
      </c>
      <c r="G1600" s="12">
        <f t="shared" ca="1" si="150"/>
        <v>61</v>
      </c>
      <c r="H1600" s="12">
        <f t="shared" ca="1" si="151"/>
        <v>-10</v>
      </c>
      <c r="I1600" s="13">
        <f t="shared" ca="1" si="152"/>
        <v>-17</v>
      </c>
      <c r="J1600" s="14">
        <f t="shared" ca="1" si="153"/>
        <v>60</v>
      </c>
      <c r="K1600" s="12" t="s">
        <v>40</v>
      </c>
      <c r="L1600" s="15">
        <v>120</v>
      </c>
      <c r="M1600" s="25" t="s">
        <v>40</v>
      </c>
      <c r="N1600">
        <v>336</v>
      </c>
    </row>
    <row r="1601" spans="1:14">
      <c r="A1601" s="25">
        <f t="shared" si="154"/>
        <v>770</v>
      </c>
      <c r="B1601" s="67" t="s">
        <v>20</v>
      </c>
      <c r="C1601" s="67" t="s">
        <v>228</v>
      </c>
      <c r="D1601" s="67" t="s">
        <v>933</v>
      </c>
      <c r="E1601" s="22">
        <f t="shared" ref="E1601:E1653" ca="1" si="155">TODAY()</f>
        <v>40951</v>
      </c>
      <c r="F1601" s="11">
        <f>DATE(75,11,24)</f>
        <v>27722</v>
      </c>
      <c r="G1601" s="12">
        <f t="shared" ref="G1601:G1653" ca="1" si="156">YEAR(E1601)-YEAR(F1601)</f>
        <v>37</v>
      </c>
      <c r="H1601" s="12">
        <f t="shared" ref="H1601:H1653" ca="1" si="157">MONTH(E1601)-MONTH(F1601)</f>
        <v>-9</v>
      </c>
      <c r="I1601" s="13">
        <f t="shared" ref="I1601:I1653" ca="1" si="158">DAY(E1601)-DAY(F1601)</f>
        <v>-12</v>
      </c>
      <c r="J1601" s="14">
        <f t="shared" ref="J1601:J1653" ca="1" si="159">IF(H1601&lt;0,G1601-1,IF(H1601&gt;0,G1601,IF(I1601&lt;0,G1601-1,G1601)))</f>
        <v>36</v>
      </c>
      <c r="K1601" s="12" t="s">
        <v>40</v>
      </c>
      <c r="L1601" s="15">
        <v>120</v>
      </c>
      <c r="M1601" s="25" t="s">
        <v>40</v>
      </c>
      <c r="N1601">
        <v>336</v>
      </c>
    </row>
    <row r="1602" spans="1:14" ht="15.75" thickBot="1">
      <c r="A1602" s="26">
        <f t="shared" si="154"/>
        <v>771</v>
      </c>
      <c r="B1602" s="67" t="s">
        <v>20</v>
      </c>
      <c r="C1602" s="68" t="s">
        <v>1006</v>
      </c>
      <c r="D1602" s="68" t="s">
        <v>748</v>
      </c>
      <c r="E1602" s="23">
        <f t="shared" ca="1" si="155"/>
        <v>40951</v>
      </c>
      <c r="F1602" s="16">
        <f>DATE(78,10,26)</f>
        <v>28789</v>
      </c>
      <c r="G1602" s="17">
        <f t="shared" ca="1" si="156"/>
        <v>34</v>
      </c>
      <c r="H1602" s="17">
        <f t="shared" ca="1" si="157"/>
        <v>-8</v>
      </c>
      <c r="I1602" s="18">
        <f t="shared" ca="1" si="158"/>
        <v>-14</v>
      </c>
      <c r="J1602" s="19">
        <f t="shared" ca="1" si="159"/>
        <v>33</v>
      </c>
      <c r="K1602" s="17" t="s">
        <v>40</v>
      </c>
      <c r="L1602" s="20">
        <v>120</v>
      </c>
      <c r="M1602" s="26" t="s">
        <v>40</v>
      </c>
      <c r="N1602">
        <v>336</v>
      </c>
    </row>
    <row r="1603" spans="1:14">
      <c r="A1603" s="25">
        <f t="shared" si="154"/>
        <v>772</v>
      </c>
      <c r="B1603" s="67" t="s">
        <v>20</v>
      </c>
      <c r="C1603" s="67" t="s">
        <v>507</v>
      </c>
      <c r="D1603" s="67" t="s">
        <v>1008</v>
      </c>
      <c r="E1603" s="22">
        <f t="shared" ca="1" si="155"/>
        <v>40951</v>
      </c>
      <c r="F1603" s="11">
        <f>DATE(64,5,22)</f>
        <v>23519</v>
      </c>
      <c r="G1603" s="12">
        <f t="shared" ca="1" si="156"/>
        <v>48</v>
      </c>
      <c r="H1603" s="12">
        <f t="shared" ca="1" si="157"/>
        <v>-3</v>
      </c>
      <c r="I1603" s="13">
        <f t="shared" ca="1" si="158"/>
        <v>-10</v>
      </c>
      <c r="J1603" s="14">
        <f t="shared" ca="1" si="159"/>
        <v>47</v>
      </c>
      <c r="K1603" s="12" t="s">
        <v>40</v>
      </c>
      <c r="L1603" s="15">
        <v>120</v>
      </c>
      <c r="M1603" s="25" t="s">
        <v>40</v>
      </c>
      <c r="N1603">
        <v>337</v>
      </c>
    </row>
    <row r="1604" spans="1:14">
      <c r="A1604" s="25">
        <f t="shared" si="154"/>
        <v>773</v>
      </c>
      <c r="B1604" s="67" t="s">
        <v>20</v>
      </c>
      <c r="C1604" s="67" t="s">
        <v>884</v>
      </c>
      <c r="D1604" s="67" t="s">
        <v>507</v>
      </c>
      <c r="E1604" s="22">
        <f t="shared" ca="1" si="155"/>
        <v>40951</v>
      </c>
      <c r="F1604" s="11">
        <f>DATE(69,12,1)</f>
        <v>25538</v>
      </c>
      <c r="G1604" s="12">
        <f t="shared" ca="1" si="156"/>
        <v>43</v>
      </c>
      <c r="H1604" s="12">
        <f t="shared" ca="1" si="157"/>
        <v>-10</v>
      </c>
      <c r="I1604" s="13">
        <f t="shared" ca="1" si="158"/>
        <v>11</v>
      </c>
      <c r="J1604" s="14">
        <f t="shared" ca="1" si="159"/>
        <v>42</v>
      </c>
      <c r="K1604" s="12" t="s">
        <v>40</v>
      </c>
      <c r="L1604" s="15">
        <v>120</v>
      </c>
      <c r="M1604" s="25" t="s">
        <v>40</v>
      </c>
      <c r="N1604">
        <v>337</v>
      </c>
    </row>
    <row r="1605" spans="1:14">
      <c r="A1605" s="25">
        <f t="shared" si="154"/>
        <v>774</v>
      </c>
      <c r="B1605" s="67" t="s">
        <v>20</v>
      </c>
      <c r="C1605" s="67" t="s">
        <v>188</v>
      </c>
      <c r="D1605" s="67" t="s">
        <v>1008</v>
      </c>
      <c r="E1605" s="22">
        <f t="shared" ca="1" si="155"/>
        <v>40951</v>
      </c>
      <c r="F1605" s="32">
        <f>DATE(34,1,1)</f>
        <v>12420</v>
      </c>
      <c r="G1605" s="12">
        <f t="shared" ca="1" si="156"/>
        <v>78</v>
      </c>
      <c r="H1605" s="12">
        <f t="shared" ca="1" si="157"/>
        <v>1</v>
      </c>
      <c r="I1605" s="13">
        <f t="shared" ca="1" si="158"/>
        <v>11</v>
      </c>
      <c r="J1605" s="14">
        <f t="shared" ca="1" si="159"/>
        <v>78</v>
      </c>
      <c r="K1605" s="12" t="s">
        <v>40</v>
      </c>
      <c r="L1605" s="15">
        <v>120</v>
      </c>
      <c r="M1605" s="25" t="s">
        <v>40</v>
      </c>
      <c r="N1605">
        <v>337</v>
      </c>
    </row>
    <row r="1606" spans="1:14">
      <c r="A1606" s="25">
        <f t="shared" si="154"/>
        <v>775</v>
      </c>
      <c r="B1606" s="67" t="s">
        <v>20</v>
      </c>
      <c r="C1606" s="67" t="s">
        <v>93</v>
      </c>
      <c r="D1606" s="67" t="s">
        <v>316</v>
      </c>
      <c r="E1606" s="22">
        <f t="shared" ca="1" si="155"/>
        <v>40951</v>
      </c>
      <c r="F1606" s="11">
        <f>DATE(62,1,4)</f>
        <v>22650</v>
      </c>
      <c r="G1606" s="12">
        <f t="shared" ca="1" si="156"/>
        <v>50</v>
      </c>
      <c r="H1606" s="12">
        <f t="shared" ca="1" si="157"/>
        <v>1</v>
      </c>
      <c r="I1606" s="13">
        <f t="shared" ca="1" si="158"/>
        <v>8</v>
      </c>
      <c r="J1606" s="14">
        <f t="shared" ca="1" si="159"/>
        <v>50</v>
      </c>
      <c r="K1606" s="12" t="s">
        <v>40</v>
      </c>
      <c r="L1606" s="15">
        <v>121</v>
      </c>
      <c r="M1606" s="25" t="s">
        <v>40</v>
      </c>
      <c r="N1606">
        <v>337</v>
      </c>
    </row>
    <row r="1607" spans="1:14">
      <c r="A1607" s="25">
        <f t="shared" si="154"/>
        <v>776</v>
      </c>
      <c r="B1607" s="67" t="s">
        <v>20</v>
      </c>
      <c r="C1607" s="67" t="s">
        <v>1011</v>
      </c>
      <c r="D1607" s="67" t="s">
        <v>93</v>
      </c>
      <c r="E1607" s="22">
        <f t="shared" ca="1" si="155"/>
        <v>40951</v>
      </c>
      <c r="F1607" s="11">
        <f>DATE(69,8,280)</f>
        <v>25695</v>
      </c>
      <c r="G1607" s="12">
        <f t="shared" ca="1" si="156"/>
        <v>42</v>
      </c>
      <c r="H1607" s="12">
        <f t="shared" ca="1" si="157"/>
        <v>-3</v>
      </c>
      <c r="I1607" s="13">
        <f t="shared" ca="1" si="158"/>
        <v>5</v>
      </c>
      <c r="J1607" s="14">
        <f t="shared" ca="1" si="159"/>
        <v>41</v>
      </c>
      <c r="K1607" s="12" t="s">
        <v>40</v>
      </c>
      <c r="L1607" s="15">
        <v>121</v>
      </c>
      <c r="M1607" s="25" t="s">
        <v>40</v>
      </c>
      <c r="N1607">
        <v>337</v>
      </c>
    </row>
    <row r="1608" spans="1:14">
      <c r="A1608" s="25">
        <f t="shared" si="154"/>
        <v>777</v>
      </c>
      <c r="B1608" s="67" t="s">
        <v>20</v>
      </c>
      <c r="C1608" s="67" t="s">
        <v>90</v>
      </c>
      <c r="D1608" s="67" t="s">
        <v>642</v>
      </c>
      <c r="E1608" s="22">
        <f t="shared" ca="1" si="155"/>
        <v>40951</v>
      </c>
      <c r="F1608" s="11">
        <f>DATE(53,9,7)</f>
        <v>19609</v>
      </c>
      <c r="G1608" s="12">
        <f t="shared" ca="1" si="156"/>
        <v>59</v>
      </c>
      <c r="H1608" s="12">
        <f t="shared" ca="1" si="157"/>
        <v>-7</v>
      </c>
      <c r="I1608" s="13">
        <f t="shared" ca="1" si="158"/>
        <v>5</v>
      </c>
      <c r="J1608" s="14">
        <f t="shared" ca="1" si="159"/>
        <v>58</v>
      </c>
      <c r="K1608" s="12" t="s">
        <v>40</v>
      </c>
      <c r="L1608" s="15">
        <v>121</v>
      </c>
      <c r="M1608" s="25" t="s">
        <v>40</v>
      </c>
      <c r="N1608">
        <v>337</v>
      </c>
    </row>
    <row r="1609" spans="1:14">
      <c r="A1609" s="25">
        <f t="shared" si="154"/>
        <v>778</v>
      </c>
      <c r="B1609" s="67" t="s">
        <v>20</v>
      </c>
      <c r="C1609" s="67" t="s">
        <v>1013</v>
      </c>
      <c r="D1609" s="67" t="s">
        <v>642</v>
      </c>
      <c r="E1609" s="22">
        <f t="shared" ca="1" si="155"/>
        <v>40951</v>
      </c>
      <c r="F1609" s="11">
        <f>DATE(32,1,24)</f>
        <v>11712</v>
      </c>
      <c r="G1609" s="12">
        <f t="shared" ca="1" si="156"/>
        <v>80</v>
      </c>
      <c r="H1609" s="12">
        <f t="shared" ca="1" si="157"/>
        <v>1</v>
      </c>
      <c r="I1609" s="13">
        <f t="shared" ca="1" si="158"/>
        <v>-12</v>
      </c>
      <c r="J1609" s="14">
        <f t="shared" ca="1" si="159"/>
        <v>80</v>
      </c>
      <c r="K1609" s="12" t="s">
        <v>40</v>
      </c>
      <c r="L1609" s="15">
        <v>121</v>
      </c>
      <c r="M1609" s="25" t="s">
        <v>40</v>
      </c>
      <c r="N1609">
        <v>337</v>
      </c>
    </row>
    <row r="1610" spans="1:14">
      <c r="A1610" s="25">
        <f t="shared" si="154"/>
        <v>779</v>
      </c>
      <c r="B1610" s="67" t="s">
        <v>20</v>
      </c>
      <c r="C1610" s="67" t="s">
        <v>90</v>
      </c>
      <c r="D1610" s="67" t="s">
        <v>1014</v>
      </c>
      <c r="E1610" s="22">
        <f t="shared" ca="1" si="155"/>
        <v>40951</v>
      </c>
      <c r="F1610" s="11">
        <f>DATE(37,2,1)</f>
        <v>13547</v>
      </c>
      <c r="G1610" s="12">
        <f t="shared" ca="1" si="156"/>
        <v>75</v>
      </c>
      <c r="H1610" s="12">
        <f t="shared" ca="1" si="157"/>
        <v>0</v>
      </c>
      <c r="I1610" s="13">
        <f t="shared" ca="1" si="158"/>
        <v>11</v>
      </c>
      <c r="J1610" s="14">
        <f t="shared" ca="1" si="159"/>
        <v>75</v>
      </c>
      <c r="K1610" s="12" t="s">
        <v>40</v>
      </c>
      <c r="L1610" s="15">
        <v>121</v>
      </c>
      <c r="M1610" s="25" t="s">
        <v>40</v>
      </c>
      <c r="N1610">
        <v>337</v>
      </c>
    </row>
    <row r="1611" spans="1:14">
      <c r="A1611" s="25">
        <f t="shared" si="154"/>
        <v>780</v>
      </c>
      <c r="B1611" s="67" t="s">
        <v>20</v>
      </c>
      <c r="C1611" s="67" t="s">
        <v>1015</v>
      </c>
      <c r="D1611" s="67" t="s">
        <v>90</v>
      </c>
      <c r="E1611" s="22">
        <f t="shared" ca="1" si="155"/>
        <v>40951</v>
      </c>
      <c r="F1611" s="32"/>
      <c r="G1611" s="12">
        <f t="shared" ca="1" si="156"/>
        <v>112</v>
      </c>
      <c r="H1611" s="12">
        <f t="shared" ca="1" si="157"/>
        <v>1</v>
      </c>
      <c r="I1611" s="13">
        <f t="shared" ca="1" si="158"/>
        <v>12</v>
      </c>
      <c r="J1611" s="14">
        <f t="shared" ca="1" si="159"/>
        <v>112</v>
      </c>
      <c r="K1611" s="12" t="s">
        <v>40</v>
      </c>
      <c r="L1611" s="15">
        <v>121</v>
      </c>
      <c r="M1611" s="25" t="s">
        <v>40</v>
      </c>
      <c r="N1611">
        <v>337</v>
      </c>
    </row>
    <row r="1612" spans="1:14" ht="15.75" thickBot="1">
      <c r="A1612" s="26">
        <f t="shared" si="154"/>
        <v>781</v>
      </c>
      <c r="B1612" s="67" t="s">
        <v>20</v>
      </c>
      <c r="C1612" s="68" t="s">
        <v>49</v>
      </c>
      <c r="D1612" s="68" t="s">
        <v>90</v>
      </c>
      <c r="E1612" s="23">
        <f t="shared" ca="1" si="155"/>
        <v>40951</v>
      </c>
      <c r="F1612" s="16">
        <f>DATE(64,4,24)</f>
        <v>23491</v>
      </c>
      <c r="G1612" s="17">
        <f t="shared" ca="1" si="156"/>
        <v>48</v>
      </c>
      <c r="H1612" s="17">
        <f t="shared" ca="1" si="157"/>
        <v>-2</v>
      </c>
      <c r="I1612" s="18">
        <f t="shared" ca="1" si="158"/>
        <v>-12</v>
      </c>
      <c r="J1612" s="19">
        <f t="shared" ca="1" si="159"/>
        <v>47</v>
      </c>
      <c r="K1612" s="17" t="s">
        <v>40</v>
      </c>
      <c r="L1612" s="20">
        <v>121</v>
      </c>
      <c r="M1612" s="26" t="s">
        <v>40</v>
      </c>
      <c r="N1612">
        <v>337</v>
      </c>
    </row>
    <row r="1613" spans="1:14">
      <c r="A1613" s="25">
        <f t="shared" si="154"/>
        <v>782</v>
      </c>
      <c r="B1613" s="67" t="s">
        <v>20</v>
      </c>
      <c r="C1613" s="67" t="s">
        <v>755</v>
      </c>
      <c r="D1613" s="67" t="s">
        <v>49</v>
      </c>
      <c r="E1613" s="22">
        <f t="shared" ca="1" si="155"/>
        <v>40951</v>
      </c>
      <c r="F1613" s="11">
        <f>DATE(70,3,30)</f>
        <v>25657</v>
      </c>
      <c r="G1613" s="12">
        <f t="shared" ca="1" si="156"/>
        <v>42</v>
      </c>
      <c r="H1613" s="12">
        <f t="shared" ca="1" si="157"/>
        <v>-1</v>
      </c>
      <c r="I1613" s="13">
        <f t="shared" ca="1" si="158"/>
        <v>-18</v>
      </c>
      <c r="J1613" s="14">
        <f t="shared" ca="1" si="159"/>
        <v>41</v>
      </c>
      <c r="K1613" s="12" t="s">
        <v>40</v>
      </c>
      <c r="L1613" s="15">
        <v>121</v>
      </c>
      <c r="M1613" s="25" t="s">
        <v>40</v>
      </c>
      <c r="N1613">
        <v>338</v>
      </c>
    </row>
    <row r="1614" spans="1:14">
      <c r="A1614" s="25">
        <f t="shared" si="154"/>
        <v>783</v>
      </c>
      <c r="B1614" s="67" t="s">
        <v>20</v>
      </c>
      <c r="C1614" s="67" t="s">
        <v>1018</v>
      </c>
      <c r="D1614" s="67" t="s">
        <v>423</v>
      </c>
      <c r="E1614" s="22">
        <f t="shared" ca="1" si="155"/>
        <v>40951</v>
      </c>
      <c r="F1614" s="11">
        <f>DATE(61,9,19)</f>
        <v>22543</v>
      </c>
      <c r="G1614" s="12">
        <f t="shared" ca="1" si="156"/>
        <v>51</v>
      </c>
      <c r="H1614" s="12">
        <f t="shared" ca="1" si="157"/>
        <v>-7</v>
      </c>
      <c r="I1614" s="13">
        <f t="shared" ca="1" si="158"/>
        <v>-7</v>
      </c>
      <c r="J1614" s="14">
        <f t="shared" ca="1" si="159"/>
        <v>50</v>
      </c>
      <c r="K1614" s="12" t="s">
        <v>40</v>
      </c>
      <c r="L1614" s="15">
        <v>122</v>
      </c>
      <c r="M1614" s="25" t="s">
        <v>40</v>
      </c>
      <c r="N1614">
        <v>338</v>
      </c>
    </row>
    <row r="1615" spans="1:14">
      <c r="A1615" s="25">
        <f t="shared" si="154"/>
        <v>784</v>
      </c>
      <c r="B1615" s="67" t="s">
        <v>20</v>
      </c>
      <c r="C1615" s="67" t="s">
        <v>109</v>
      </c>
      <c r="D1615" s="67" t="s">
        <v>985</v>
      </c>
      <c r="E1615" s="22">
        <f t="shared" ca="1" si="155"/>
        <v>40951</v>
      </c>
      <c r="F1615" s="11">
        <f>DATE(57,11,2)</f>
        <v>21126</v>
      </c>
      <c r="G1615" s="12">
        <f t="shared" ca="1" si="156"/>
        <v>55</v>
      </c>
      <c r="H1615" s="12">
        <f t="shared" ca="1" si="157"/>
        <v>-9</v>
      </c>
      <c r="I1615" s="13">
        <f t="shared" ca="1" si="158"/>
        <v>10</v>
      </c>
      <c r="J1615" s="14">
        <f t="shared" ca="1" si="159"/>
        <v>54</v>
      </c>
      <c r="K1615" s="12" t="s">
        <v>40</v>
      </c>
      <c r="L1615" s="15">
        <v>122</v>
      </c>
      <c r="M1615" s="25" t="s">
        <v>40</v>
      </c>
      <c r="N1615">
        <v>338</v>
      </c>
    </row>
    <row r="1616" spans="1:14" ht="15.75" thickBot="1">
      <c r="A1616" s="26">
        <f t="shared" si="154"/>
        <v>785</v>
      </c>
      <c r="B1616" s="67" t="s">
        <v>20</v>
      </c>
      <c r="C1616" s="68" t="s">
        <v>759</v>
      </c>
      <c r="D1616" s="68" t="s">
        <v>109</v>
      </c>
      <c r="E1616" s="23">
        <f t="shared" ca="1" si="155"/>
        <v>40951</v>
      </c>
      <c r="F1616" s="16">
        <f>DATE(2000,1,9)</f>
        <v>36534</v>
      </c>
      <c r="G1616" s="17">
        <f t="shared" ca="1" si="156"/>
        <v>12</v>
      </c>
      <c r="H1616" s="17">
        <f t="shared" ca="1" si="157"/>
        <v>1</v>
      </c>
      <c r="I1616" s="18">
        <f t="shared" ca="1" si="158"/>
        <v>3</v>
      </c>
      <c r="J1616" s="19">
        <f t="shared" ca="1" si="159"/>
        <v>12</v>
      </c>
      <c r="K1616" s="17" t="s">
        <v>40</v>
      </c>
      <c r="L1616" s="20">
        <v>122</v>
      </c>
      <c r="M1616" s="26" t="s">
        <v>44</v>
      </c>
      <c r="N1616">
        <v>338</v>
      </c>
    </row>
    <row r="1617" spans="1:14">
      <c r="A1617" s="25">
        <f t="shared" si="154"/>
        <v>786</v>
      </c>
      <c r="B1617" s="67" t="s">
        <v>20</v>
      </c>
      <c r="C1617" s="67" t="s">
        <v>243</v>
      </c>
      <c r="D1617" s="67" t="s">
        <v>743</v>
      </c>
      <c r="E1617" s="22">
        <f t="shared" ca="1" si="155"/>
        <v>40951</v>
      </c>
      <c r="F1617" s="11">
        <f>DATE(60,7,1)</f>
        <v>22098</v>
      </c>
      <c r="G1617" s="12">
        <f t="shared" ca="1" si="156"/>
        <v>52</v>
      </c>
      <c r="H1617" s="12">
        <f t="shared" ca="1" si="157"/>
        <v>-5</v>
      </c>
      <c r="I1617" s="13">
        <f t="shared" ca="1" si="158"/>
        <v>11</v>
      </c>
      <c r="J1617" s="14">
        <f t="shared" ca="1" si="159"/>
        <v>51</v>
      </c>
      <c r="K1617" s="12" t="s">
        <v>40</v>
      </c>
      <c r="L1617" s="15">
        <v>122</v>
      </c>
      <c r="M1617" s="25" t="s">
        <v>40</v>
      </c>
      <c r="N1617">
        <v>339</v>
      </c>
    </row>
    <row r="1618" spans="1:14">
      <c r="A1618" s="25">
        <v>1578</v>
      </c>
      <c r="B1618" s="67" t="s">
        <v>20</v>
      </c>
      <c r="C1618" s="67" t="s">
        <v>452</v>
      </c>
      <c r="D1618" s="67" t="s">
        <v>602</v>
      </c>
      <c r="E1618" s="22">
        <f t="shared" ca="1" si="155"/>
        <v>40951</v>
      </c>
      <c r="F1618" s="11">
        <f>DATE(64,8,26)</f>
        <v>23615</v>
      </c>
      <c r="G1618" s="12">
        <f t="shared" ca="1" si="156"/>
        <v>48</v>
      </c>
      <c r="H1618" s="12">
        <f t="shared" ca="1" si="157"/>
        <v>-6</v>
      </c>
      <c r="I1618" s="13">
        <f t="shared" ca="1" si="158"/>
        <v>-14</v>
      </c>
      <c r="J1618" s="14">
        <f t="shared" ca="1" si="159"/>
        <v>47</v>
      </c>
      <c r="K1618" s="12" t="s">
        <v>40</v>
      </c>
      <c r="L1618" s="15">
        <v>123</v>
      </c>
      <c r="M1618" s="25" t="s">
        <v>40</v>
      </c>
      <c r="N1618">
        <v>339</v>
      </c>
    </row>
    <row r="1619" spans="1:14">
      <c r="A1619" s="25">
        <f t="shared" ref="A1619:A1653" si="160">A1618+1</f>
        <v>1579</v>
      </c>
      <c r="B1619" s="67" t="s">
        <v>20</v>
      </c>
      <c r="C1619" s="67" t="s">
        <v>1022</v>
      </c>
      <c r="D1619" s="67" t="s">
        <v>767</v>
      </c>
      <c r="E1619" s="22">
        <f t="shared" ca="1" si="155"/>
        <v>40951</v>
      </c>
      <c r="F1619" s="11">
        <f>DATE(89,8,1)</f>
        <v>32721</v>
      </c>
      <c r="G1619" s="12">
        <f t="shared" ca="1" si="156"/>
        <v>23</v>
      </c>
      <c r="H1619" s="12">
        <f t="shared" ca="1" si="157"/>
        <v>-6</v>
      </c>
      <c r="I1619" s="13">
        <f t="shared" ca="1" si="158"/>
        <v>11</v>
      </c>
      <c r="J1619" s="14">
        <f t="shared" ca="1" si="159"/>
        <v>22</v>
      </c>
      <c r="K1619" s="12" t="s">
        <v>40</v>
      </c>
      <c r="L1619" s="15">
        <v>123</v>
      </c>
      <c r="M1619" s="25" t="s">
        <v>44</v>
      </c>
      <c r="N1619">
        <v>339</v>
      </c>
    </row>
    <row r="1620" spans="1:14" ht="15.75" thickBot="1">
      <c r="A1620" s="26">
        <f t="shared" si="160"/>
        <v>1580</v>
      </c>
      <c r="B1620" s="67" t="s">
        <v>20</v>
      </c>
      <c r="C1620" s="68" t="s">
        <v>1024</v>
      </c>
      <c r="D1620" s="68" t="s">
        <v>1014</v>
      </c>
      <c r="E1620" s="23">
        <f t="shared" ca="1" si="155"/>
        <v>40951</v>
      </c>
      <c r="F1620" s="16">
        <f>DATE(27,1,16)</f>
        <v>9878</v>
      </c>
      <c r="G1620" s="17">
        <f t="shared" ca="1" si="156"/>
        <v>85</v>
      </c>
      <c r="H1620" s="17">
        <f t="shared" ca="1" si="157"/>
        <v>1</v>
      </c>
      <c r="I1620" s="18">
        <f t="shared" ca="1" si="158"/>
        <v>-4</v>
      </c>
      <c r="J1620" s="19">
        <f t="shared" ca="1" si="159"/>
        <v>85</v>
      </c>
      <c r="K1620" s="17" t="s">
        <v>40</v>
      </c>
      <c r="L1620" s="20">
        <v>123</v>
      </c>
      <c r="M1620" s="26" t="s">
        <v>40</v>
      </c>
      <c r="N1620">
        <v>339</v>
      </c>
    </row>
    <row r="1621" spans="1:14">
      <c r="A1621" s="25">
        <f t="shared" si="160"/>
        <v>1581</v>
      </c>
      <c r="B1621" s="67" t="s">
        <v>20</v>
      </c>
      <c r="C1621" s="67" t="s">
        <v>1026</v>
      </c>
      <c r="D1621" s="67" t="s">
        <v>602</v>
      </c>
      <c r="E1621" s="22">
        <f t="shared" ca="1" si="155"/>
        <v>40951</v>
      </c>
      <c r="F1621" s="11">
        <f>DATE(59,6,14)</f>
        <v>21715</v>
      </c>
      <c r="G1621" s="12">
        <f t="shared" ca="1" si="156"/>
        <v>53</v>
      </c>
      <c r="H1621" s="12">
        <f t="shared" ca="1" si="157"/>
        <v>-4</v>
      </c>
      <c r="I1621" s="13">
        <f t="shared" ca="1" si="158"/>
        <v>-2</v>
      </c>
      <c r="J1621" s="14">
        <f t="shared" ca="1" si="159"/>
        <v>52</v>
      </c>
      <c r="K1621" s="12" t="s">
        <v>40</v>
      </c>
      <c r="L1621" s="15">
        <v>123</v>
      </c>
      <c r="M1621" s="25" t="s">
        <v>40</v>
      </c>
      <c r="N1621">
        <v>340</v>
      </c>
    </row>
    <row r="1622" spans="1:14">
      <c r="A1622" s="25">
        <f t="shared" si="160"/>
        <v>1582</v>
      </c>
      <c r="B1622" s="67" t="s">
        <v>20</v>
      </c>
      <c r="C1622" s="67" t="s">
        <v>299</v>
      </c>
      <c r="D1622" s="67" t="s">
        <v>1026</v>
      </c>
      <c r="E1622" s="22">
        <f t="shared" ca="1" si="155"/>
        <v>40951</v>
      </c>
      <c r="F1622" s="11">
        <f>DATE(84,8,21)</f>
        <v>30915</v>
      </c>
      <c r="G1622" s="12">
        <f t="shared" ca="1" si="156"/>
        <v>28</v>
      </c>
      <c r="H1622" s="12">
        <f t="shared" ca="1" si="157"/>
        <v>-6</v>
      </c>
      <c r="I1622" s="13">
        <f t="shared" ca="1" si="158"/>
        <v>-9</v>
      </c>
      <c r="J1622" s="14">
        <f t="shared" ca="1" si="159"/>
        <v>27</v>
      </c>
      <c r="K1622" s="12" t="s">
        <v>40</v>
      </c>
      <c r="L1622" s="15">
        <v>123</v>
      </c>
      <c r="M1622" s="25" t="s">
        <v>44</v>
      </c>
      <c r="N1622">
        <v>340</v>
      </c>
    </row>
    <row r="1623" spans="1:14">
      <c r="A1623" s="25">
        <f t="shared" si="160"/>
        <v>1583</v>
      </c>
      <c r="B1623" s="67" t="s">
        <v>20</v>
      </c>
      <c r="C1623" s="67" t="s">
        <v>190</v>
      </c>
      <c r="D1623" s="67" t="s">
        <v>602</v>
      </c>
      <c r="E1623" s="22">
        <f t="shared" ca="1" si="155"/>
        <v>40951</v>
      </c>
      <c r="F1623" s="11">
        <f>DATE(60,12,7)</f>
        <v>22257</v>
      </c>
      <c r="G1623" s="12">
        <f t="shared" ca="1" si="156"/>
        <v>52</v>
      </c>
      <c r="H1623" s="12">
        <f t="shared" ca="1" si="157"/>
        <v>-10</v>
      </c>
      <c r="I1623" s="13">
        <f t="shared" ca="1" si="158"/>
        <v>5</v>
      </c>
      <c r="J1623" s="14">
        <f t="shared" ca="1" si="159"/>
        <v>51</v>
      </c>
      <c r="K1623" s="12" t="s">
        <v>40</v>
      </c>
      <c r="L1623" s="15">
        <v>123</v>
      </c>
      <c r="M1623" s="25" t="s">
        <v>40</v>
      </c>
      <c r="N1623">
        <v>340</v>
      </c>
    </row>
    <row r="1624" spans="1:14">
      <c r="A1624" s="25">
        <f t="shared" si="160"/>
        <v>1584</v>
      </c>
      <c r="B1624" s="67" t="s">
        <v>20</v>
      </c>
      <c r="C1624" s="67" t="s">
        <v>183</v>
      </c>
      <c r="D1624" s="67" t="s">
        <v>190</v>
      </c>
      <c r="E1624" s="22">
        <f t="shared" ca="1" si="155"/>
        <v>40951</v>
      </c>
      <c r="F1624" s="11">
        <f>DATE(87,2,26)</f>
        <v>31834</v>
      </c>
      <c r="G1624" s="12">
        <f t="shared" ca="1" si="156"/>
        <v>25</v>
      </c>
      <c r="H1624" s="12">
        <f t="shared" ca="1" si="157"/>
        <v>0</v>
      </c>
      <c r="I1624" s="13">
        <f t="shared" ca="1" si="158"/>
        <v>-14</v>
      </c>
      <c r="J1624" s="14">
        <f t="shared" ca="1" si="159"/>
        <v>24</v>
      </c>
      <c r="K1624" s="12" t="s">
        <v>40</v>
      </c>
      <c r="L1624" s="15">
        <v>123</v>
      </c>
      <c r="M1624" s="25" t="s">
        <v>44</v>
      </c>
      <c r="N1624">
        <v>340</v>
      </c>
    </row>
    <row r="1625" spans="1:14">
      <c r="A1625" s="25">
        <f t="shared" si="160"/>
        <v>1585</v>
      </c>
      <c r="B1625" s="67" t="s">
        <v>20</v>
      </c>
      <c r="C1625" s="67" t="s">
        <v>516</v>
      </c>
      <c r="D1625" s="67" t="s">
        <v>1029</v>
      </c>
      <c r="E1625" s="22">
        <f t="shared" ca="1" si="155"/>
        <v>40951</v>
      </c>
      <c r="F1625" s="11">
        <f>DATE(55,3,1)</f>
        <v>20149</v>
      </c>
      <c r="G1625" s="12">
        <f t="shared" ca="1" si="156"/>
        <v>57</v>
      </c>
      <c r="H1625" s="12">
        <f t="shared" ca="1" si="157"/>
        <v>-1</v>
      </c>
      <c r="I1625" s="13">
        <f t="shared" ca="1" si="158"/>
        <v>11</v>
      </c>
      <c r="J1625" s="14">
        <f t="shared" ca="1" si="159"/>
        <v>56</v>
      </c>
      <c r="K1625" s="12" t="s">
        <v>40</v>
      </c>
      <c r="L1625" s="15">
        <v>124</v>
      </c>
      <c r="M1625" s="25" t="s">
        <v>40</v>
      </c>
      <c r="N1625">
        <v>340</v>
      </c>
    </row>
    <row r="1626" spans="1:14" ht="15.75" thickBot="1">
      <c r="A1626" s="26">
        <f t="shared" si="160"/>
        <v>1586</v>
      </c>
      <c r="B1626" s="67" t="s">
        <v>20</v>
      </c>
      <c r="C1626" s="68" t="s">
        <v>922</v>
      </c>
      <c r="D1626" s="68" t="s">
        <v>516</v>
      </c>
      <c r="E1626" s="23">
        <f t="shared" ca="1" si="155"/>
        <v>40951</v>
      </c>
      <c r="F1626" s="16">
        <f>DATE(87,9,23)</f>
        <v>32043</v>
      </c>
      <c r="G1626" s="17">
        <f t="shared" ca="1" si="156"/>
        <v>25</v>
      </c>
      <c r="H1626" s="17">
        <f t="shared" ca="1" si="157"/>
        <v>-7</v>
      </c>
      <c r="I1626" s="18">
        <f t="shared" ca="1" si="158"/>
        <v>-11</v>
      </c>
      <c r="J1626" s="19">
        <f t="shared" ca="1" si="159"/>
        <v>24</v>
      </c>
      <c r="K1626" s="17" t="s">
        <v>40</v>
      </c>
      <c r="L1626" s="20">
        <v>124</v>
      </c>
      <c r="M1626" s="26" t="s">
        <v>44</v>
      </c>
      <c r="N1626">
        <v>340</v>
      </c>
    </row>
    <row r="1627" spans="1:14">
      <c r="A1627" s="25">
        <f t="shared" si="160"/>
        <v>1587</v>
      </c>
      <c r="B1627" s="67" t="s">
        <v>20</v>
      </c>
      <c r="C1627" s="67" t="s">
        <v>894</v>
      </c>
      <c r="D1627" s="67" t="s">
        <v>189</v>
      </c>
      <c r="E1627" s="22">
        <f t="shared" ca="1" si="155"/>
        <v>40951</v>
      </c>
      <c r="F1627" s="11">
        <f>DATE(85,11,9)</f>
        <v>31360</v>
      </c>
      <c r="G1627" s="12">
        <f t="shared" ca="1" si="156"/>
        <v>27</v>
      </c>
      <c r="H1627" s="12">
        <f t="shared" ca="1" si="157"/>
        <v>-9</v>
      </c>
      <c r="I1627" s="13">
        <f t="shared" ca="1" si="158"/>
        <v>3</v>
      </c>
      <c r="J1627" s="14">
        <f t="shared" ca="1" si="159"/>
        <v>26</v>
      </c>
      <c r="K1627" s="12" t="s">
        <v>40</v>
      </c>
      <c r="L1627" s="15">
        <v>124</v>
      </c>
      <c r="M1627" s="25" t="s">
        <v>44</v>
      </c>
      <c r="N1627">
        <v>341</v>
      </c>
    </row>
    <row r="1628" spans="1:14">
      <c r="A1628" s="25">
        <f t="shared" si="160"/>
        <v>1588</v>
      </c>
      <c r="B1628" s="67" t="s">
        <v>20</v>
      </c>
      <c r="C1628" s="67" t="s">
        <v>320</v>
      </c>
      <c r="D1628" s="67" t="s">
        <v>60</v>
      </c>
      <c r="E1628" s="22">
        <f t="shared" ca="1" si="155"/>
        <v>40951</v>
      </c>
      <c r="F1628" s="11">
        <f>DATE(46,6,27)</f>
        <v>16980</v>
      </c>
      <c r="G1628" s="12">
        <f t="shared" ca="1" si="156"/>
        <v>66</v>
      </c>
      <c r="H1628" s="12">
        <f t="shared" ca="1" si="157"/>
        <v>-4</v>
      </c>
      <c r="I1628" s="13">
        <f t="shared" ca="1" si="158"/>
        <v>-15</v>
      </c>
      <c r="J1628" s="14">
        <f t="shared" ca="1" si="159"/>
        <v>65</v>
      </c>
      <c r="K1628" s="12" t="s">
        <v>40</v>
      </c>
      <c r="L1628" s="15">
        <v>125</v>
      </c>
      <c r="M1628" s="25" t="s">
        <v>40</v>
      </c>
      <c r="N1628">
        <v>341</v>
      </c>
    </row>
    <row r="1629" spans="1:14">
      <c r="A1629" s="25">
        <f t="shared" si="160"/>
        <v>1589</v>
      </c>
      <c r="B1629" s="67" t="s">
        <v>20</v>
      </c>
      <c r="C1629" s="67" t="s">
        <v>1030</v>
      </c>
      <c r="D1629" s="67" t="s">
        <v>320</v>
      </c>
      <c r="E1629" s="22">
        <f t="shared" ca="1" si="155"/>
        <v>40951</v>
      </c>
      <c r="F1629" s="11">
        <f>DATE(71,6,24)</f>
        <v>26108</v>
      </c>
      <c r="G1629" s="12">
        <f t="shared" ca="1" si="156"/>
        <v>41</v>
      </c>
      <c r="H1629" s="12">
        <f t="shared" ca="1" si="157"/>
        <v>-4</v>
      </c>
      <c r="I1629" s="13">
        <f t="shared" ca="1" si="158"/>
        <v>-12</v>
      </c>
      <c r="J1629" s="14">
        <f t="shared" ca="1" si="159"/>
        <v>40</v>
      </c>
      <c r="K1629" s="12" t="s">
        <v>40</v>
      </c>
      <c r="L1629" s="15">
        <v>125</v>
      </c>
      <c r="M1629" s="25" t="s">
        <v>40</v>
      </c>
      <c r="N1629">
        <v>341</v>
      </c>
    </row>
    <row r="1630" spans="1:14">
      <c r="A1630" s="25">
        <f t="shared" si="160"/>
        <v>1590</v>
      </c>
      <c r="B1630" s="67" t="s">
        <v>20</v>
      </c>
      <c r="C1630" s="67" t="s">
        <v>118</v>
      </c>
      <c r="D1630" s="67" t="s">
        <v>320</v>
      </c>
      <c r="E1630" s="22">
        <f t="shared" ca="1" si="155"/>
        <v>40951</v>
      </c>
      <c r="F1630" s="11">
        <f>DATE(76,9,2)</f>
        <v>28005</v>
      </c>
      <c r="G1630" s="12">
        <f t="shared" ca="1" si="156"/>
        <v>36</v>
      </c>
      <c r="H1630" s="12">
        <f t="shared" ca="1" si="157"/>
        <v>-7</v>
      </c>
      <c r="I1630" s="13">
        <f t="shared" ca="1" si="158"/>
        <v>10</v>
      </c>
      <c r="J1630" s="14">
        <f t="shared" ca="1" si="159"/>
        <v>35</v>
      </c>
      <c r="K1630" s="12" t="s">
        <v>40</v>
      </c>
      <c r="L1630" s="15">
        <v>125</v>
      </c>
      <c r="M1630" s="25" t="s">
        <v>40</v>
      </c>
      <c r="N1630">
        <v>341</v>
      </c>
    </row>
    <row r="1631" spans="1:14" ht="15.75" thickBot="1">
      <c r="A1631" s="26">
        <f t="shared" si="160"/>
        <v>1591</v>
      </c>
      <c r="B1631" s="67" t="s">
        <v>20</v>
      </c>
      <c r="C1631" s="68" t="s">
        <v>989</v>
      </c>
      <c r="D1631" s="68" t="s">
        <v>320</v>
      </c>
      <c r="E1631" s="23">
        <f t="shared" ca="1" si="155"/>
        <v>40951</v>
      </c>
      <c r="F1631" s="16">
        <f>DATE(74,8,8)</f>
        <v>27249</v>
      </c>
      <c r="G1631" s="17">
        <f t="shared" ca="1" si="156"/>
        <v>38</v>
      </c>
      <c r="H1631" s="17">
        <f t="shared" ca="1" si="157"/>
        <v>-6</v>
      </c>
      <c r="I1631" s="18">
        <f t="shared" ca="1" si="158"/>
        <v>4</v>
      </c>
      <c r="J1631" s="19">
        <f t="shared" ca="1" si="159"/>
        <v>37</v>
      </c>
      <c r="K1631" s="17" t="s">
        <v>40</v>
      </c>
      <c r="L1631" s="20">
        <v>125</v>
      </c>
      <c r="M1631" s="26" t="s">
        <v>40</v>
      </c>
      <c r="N1631">
        <v>341</v>
      </c>
    </row>
    <row r="1632" spans="1:14">
      <c r="A1632" s="25">
        <f t="shared" si="160"/>
        <v>1592</v>
      </c>
      <c r="B1632" s="67" t="s">
        <v>20</v>
      </c>
      <c r="C1632" s="67" t="s">
        <v>1034</v>
      </c>
      <c r="D1632" s="67" t="s">
        <v>989</v>
      </c>
      <c r="E1632" s="22">
        <f t="shared" ca="1" si="155"/>
        <v>40951</v>
      </c>
      <c r="F1632" s="11">
        <f>DATE(2002,10,25)</f>
        <v>37554</v>
      </c>
      <c r="G1632" s="12">
        <f t="shared" ca="1" si="156"/>
        <v>10</v>
      </c>
      <c r="H1632" s="12">
        <f t="shared" ca="1" si="157"/>
        <v>-8</v>
      </c>
      <c r="I1632" s="13">
        <f t="shared" ca="1" si="158"/>
        <v>-13</v>
      </c>
      <c r="J1632" s="14">
        <f t="shared" ca="1" si="159"/>
        <v>9</v>
      </c>
      <c r="K1632" s="12" t="s">
        <v>40</v>
      </c>
      <c r="L1632" s="15">
        <v>125</v>
      </c>
      <c r="M1632" s="25" t="s">
        <v>44</v>
      </c>
      <c r="N1632">
        <v>342</v>
      </c>
    </row>
    <row r="1633" spans="1:14">
      <c r="A1633" s="25">
        <f t="shared" si="160"/>
        <v>1593</v>
      </c>
      <c r="B1633" s="67" t="s">
        <v>20</v>
      </c>
      <c r="C1633" s="67" t="s">
        <v>142</v>
      </c>
      <c r="D1633" s="67" t="s">
        <v>423</v>
      </c>
      <c r="E1633" s="22">
        <f t="shared" ca="1" si="155"/>
        <v>40951</v>
      </c>
      <c r="F1633" s="11">
        <f>DATE(65,5,14)</f>
        <v>23876</v>
      </c>
      <c r="G1633" s="12">
        <f t="shared" ca="1" si="156"/>
        <v>47</v>
      </c>
      <c r="H1633" s="12">
        <f t="shared" ca="1" si="157"/>
        <v>-3</v>
      </c>
      <c r="I1633" s="13">
        <f t="shared" ca="1" si="158"/>
        <v>-2</v>
      </c>
      <c r="J1633" s="14">
        <f t="shared" ca="1" si="159"/>
        <v>46</v>
      </c>
      <c r="K1633" s="12" t="s">
        <v>40</v>
      </c>
      <c r="L1633" s="15">
        <v>125</v>
      </c>
      <c r="M1633" s="25" t="s">
        <v>40</v>
      </c>
      <c r="N1633">
        <v>342</v>
      </c>
    </row>
    <row r="1634" spans="1:14" ht="15.75" thickBot="1">
      <c r="A1634" s="26">
        <f t="shared" si="160"/>
        <v>1594</v>
      </c>
      <c r="B1634" s="67" t="s">
        <v>20</v>
      </c>
      <c r="C1634" s="68" t="s">
        <v>1036</v>
      </c>
      <c r="D1634" s="68" t="s">
        <v>94</v>
      </c>
      <c r="E1634" s="23">
        <f t="shared" ca="1" si="155"/>
        <v>40951</v>
      </c>
      <c r="F1634" s="33"/>
      <c r="G1634" s="17">
        <f t="shared" ca="1" si="156"/>
        <v>112</v>
      </c>
      <c r="H1634" s="17">
        <f t="shared" ca="1" si="157"/>
        <v>1</v>
      </c>
      <c r="I1634" s="18">
        <f t="shared" ca="1" si="158"/>
        <v>12</v>
      </c>
      <c r="J1634" s="19">
        <f t="shared" ca="1" si="159"/>
        <v>112</v>
      </c>
      <c r="K1634" s="17" t="s">
        <v>40</v>
      </c>
      <c r="L1634" s="20">
        <v>125</v>
      </c>
      <c r="M1634" s="26" t="s">
        <v>40</v>
      </c>
      <c r="N1634">
        <v>342</v>
      </c>
    </row>
    <row r="1635" spans="1:14" ht="15.75" thickBot="1">
      <c r="A1635" s="26">
        <f t="shared" si="160"/>
        <v>1595</v>
      </c>
      <c r="B1635" s="67" t="s">
        <v>20</v>
      </c>
      <c r="C1635" s="68" t="s">
        <v>292</v>
      </c>
      <c r="D1635" s="68" t="s">
        <v>70</v>
      </c>
      <c r="E1635" s="23">
        <f t="shared" ca="1" si="155"/>
        <v>40951</v>
      </c>
      <c r="F1635" s="16">
        <f>DATE(42,6,19)</f>
        <v>15511</v>
      </c>
      <c r="G1635" s="17">
        <f t="shared" ca="1" si="156"/>
        <v>70</v>
      </c>
      <c r="H1635" s="17">
        <f t="shared" ca="1" si="157"/>
        <v>-4</v>
      </c>
      <c r="I1635" s="18">
        <f t="shared" ca="1" si="158"/>
        <v>-7</v>
      </c>
      <c r="J1635" s="19">
        <f t="shared" ca="1" si="159"/>
        <v>69</v>
      </c>
      <c r="K1635" s="17" t="s">
        <v>40</v>
      </c>
      <c r="L1635" s="20">
        <v>126</v>
      </c>
      <c r="M1635" s="26" t="s">
        <v>40</v>
      </c>
      <c r="N1635">
        <v>343</v>
      </c>
    </row>
    <row r="1636" spans="1:14">
      <c r="A1636" s="25">
        <f t="shared" si="160"/>
        <v>1596</v>
      </c>
      <c r="B1636" s="67" t="s">
        <v>20</v>
      </c>
      <c r="C1636" s="67" t="s">
        <v>294</v>
      </c>
      <c r="D1636" s="67" t="s">
        <v>292</v>
      </c>
      <c r="E1636" s="22">
        <f t="shared" ca="1" si="155"/>
        <v>40951</v>
      </c>
      <c r="F1636" s="11">
        <f>DATE(73,7,13)</f>
        <v>26858</v>
      </c>
      <c r="G1636" s="12">
        <f t="shared" ca="1" si="156"/>
        <v>39</v>
      </c>
      <c r="H1636" s="12">
        <f t="shared" ca="1" si="157"/>
        <v>-5</v>
      </c>
      <c r="I1636" s="13">
        <f t="shared" ca="1" si="158"/>
        <v>-1</v>
      </c>
      <c r="J1636" s="14">
        <f t="shared" ca="1" si="159"/>
        <v>38</v>
      </c>
      <c r="K1636" s="12" t="s">
        <v>40</v>
      </c>
      <c r="L1636" s="15">
        <v>126</v>
      </c>
      <c r="M1636" s="25" t="s">
        <v>40</v>
      </c>
      <c r="N1636">
        <v>344</v>
      </c>
    </row>
    <row r="1637" spans="1:14">
      <c r="A1637" s="25">
        <f t="shared" si="160"/>
        <v>1597</v>
      </c>
      <c r="B1637" s="67" t="s">
        <v>20</v>
      </c>
      <c r="C1637" s="67" t="s">
        <v>297</v>
      </c>
      <c r="D1637" s="67" t="s">
        <v>294</v>
      </c>
      <c r="E1637" s="22">
        <f t="shared" ca="1" si="155"/>
        <v>40951</v>
      </c>
      <c r="F1637" s="11">
        <f>DATE(2005,7,13)</f>
        <v>38546</v>
      </c>
      <c r="G1637" s="12">
        <f t="shared" ca="1" si="156"/>
        <v>7</v>
      </c>
      <c r="H1637" s="12">
        <f t="shared" ca="1" si="157"/>
        <v>-5</v>
      </c>
      <c r="I1637" s="13">
        <f t="shared" ca="1" si="158"/>
        <v>-1</v>
      </c>
      <c r="J1637" s="14">
        <f t="shared" ca="1" si="159"/>
        <v>6</v>
      </c>
      <c r="K1637" s="12" t="s">
        <v>40</v>
      </c>
      <c r="L1637" s="15">
        <v>126</v>
      </c>
      <c r="M1637" s="25" t="s">
        <v>44</v>
      </c>
      <c r="N1637">
        <v>344</v>
      </c>
    </row>
    <row r="1638" spans="1:14">
      <c r="A1638" s="25">
        <f t="shared" si="160"/>
        <v>1598</v>
      </c>
      <c r="B1638" s="67" t="s">
        <v>20</v>
      </c>
      <c r="C1638" s="67" t="s">
        <v>299</v>
      </c>
      <c r="D1638" s="67" t="s">
        <v>298</v>
      </c>
      <c r="E1638" s="22">
        <f t="shared" ca="1" si="155"/>
        <v>40951</v>
      </c>
      <c r="F1638" s="11">
        <f>DATE(66,6,4)</f>
        <v>24262</v>
      </c>
      <c r="G1638" s="12">
        <f t="shared" ca="1" si="156"/>
        <v>46</v>
      </c>
      <c r="H1638" s="12">
        <f t="shared" ca="1" si="157"/>
        <v>-4</v>
      </c>
      <c r="I1638" s="13">
        <f t="shared" ca="1" si="158"/>
        <v>8</v>
      </c>
      <c r="J1638" s="14">
        <f t="shared" ca="1" si="159"/>
        <v>45</v>
      </c>
      <c r="K1638" s="12" t="s">
        <v>40</v>
      </c>
      <c r="L1638" s="15">
        <v>126</v>
      </c>
      <c r="M1638" s="25" t="s">
        <v>40</v>
      </c>
      <c r="N1638">
        <v>344</v>
      </c>
    </row>
    <row r="1639" spans="1:14">
      <c r="A1639" s="25">
        <f t="shared" si="160"/>
        <v>1599</v>
      </c>
      <c r="B1639" s="67" t="s">
        <v>20</v>
      </c>
      <c r="C1639" s="67" t="s">
        <v>63</v>
      </c>
      <c r="D1639" s="67" t="s">
        <v>299</v>
      </c>
      <c r="E1639" s="22">
        <f t="shared" ca="1" si="155"/>
        <v>40951</v>
      </c>
      <c r="F1639" s="11">
        <f>DATE(93,9,17)</f>
        <v>34229</v>
      </c>
      <c r="G1639" s="12">
        <f t="shared" ca="1" si="156"/>
        <v>19</v>
      </c>
      <c r="H1639" s="12">
        <f t="shared" ca="1" si="157"/>
        <v>-7</v>
      </c>
      <c r="I1639" s="13">
        <f t="shared" ca="1" si="158"/>
        <v>-5</v>
      </c>
      <c r="J1639" s="14">
        <f t="shared" ca="1" si="159"/>
        <v>18</v>
      </c>
      <c r="K1639" s="12" t="s">
        <v>40</v>
      </c>
      <c r="L1639" s="15">
        <v>126</v>
      </c>
      <c r="M1639" s="25" t="s">
        <v>44</v>
      </c>
      <c r="N1639">
        <v>344</v>
      </c>
    </row>
    <row r="1640" spans="1:14">
      <c r="A1640" s="25">
        <f t="shared" si="160"/>
        <v>1600</v>
      </c>
      <c r="B1640" s="67" t="s">
        <v>20</v>
      </c>
      <c r="C1640" s="67" t="s">
        <v>301</v>
      </c>
      <c r="D1640" s="67" t="s">
        <v>298</v>
      </c>
      <c r="E1640" s="22">
        <f t="shared" ca="1" si="155"/>
        <v>40951</v>
      </c>
      <c r="F1640" s="11">
        <f>DATE(71,12,13)</f>
        <v>26280</v>
      </c>
      <c r="G1640" s="12">
        <f t="shared" ca="1" si="156"/>
        <v>41</v>
      </c>
      <c r="H1640" s="12">
        <f t="shared" ca="1" si="157"/>
        <v>-10</v>
      </c>
      <c r="I1640" s="13">
        <f t="shared" ca="1" si="158"/>
        <v>-1</v>
      </c>
      <c r="J1640" s="14">
        <f t="shared" ca="1" si="159"/>
        <v>40</v>
      </c>
      <c r="K1640" s="12" t="s">
        <v>40</v>
      </c>
      <c r="L1640" s="15">
        <v>126</v>
      </c>
      <c r="M1640" s="25" t="s">
        <v>40</v>
      </c>
      <c r="N1640">
        <v>344</v>
      </c>
    </row>
    <row r="1641" spans="1:14" ht="15.75" thickBot="1">
      <c r="A1641" s="26">
        <f t="shared" si="160"/>
        <v>1601</v>
      </c>
      <c r="B1641" s="67" t="s">
        <v>20</v>
      </c>
      <c r="C1641" s="68" t="s">
        <v>266</v>
      </c>
      <c r="D1641" s="68" t="s">
        <v>291</v>
      </c>
      <c r="E1641" s="23">
        <f t="shared" ca="1" si="155"/>
        <v>40951</v>
      </c>
      <c r="F1641" s="16">
        <f>DATE(57,3,9)</f>
        <v>20888</v>
      </c>
      <c r="G1641" s="17">
        <f t="shared" ca="1" si="156"/>
        <v>55</v>
      </c>
      <c r="H1641" s="17">
        <f t="shared" ca="1" si="157"/>
        <v>-1</v>
      </c>
      <c r="I1641" s="18">
        <f t="shared" ca="1" si="158"/>
        <v>3</v>
      </c>
      <c r="J1641" s="19">
        <f t="shared" ca="1" si="159"/>
        <v>54</v>
      </c>
      <c r="K1641" s="17" t="s">
        <v>40</v>
      </c>
      <c r="L1641" s="20">
        <v>126</v>
      </c>
      <c r="M1641" s="26" t="s">
        <v>44</v>
      </c>
      <c r="N1641">
        <v>344</v>
      </c>
    </row>
    <row r="1642" spans="1:14">
      <c r="A1642" s="25">
        <f t="shared" si="160"/>
        <v>1602</v>
      </c>
      <c r="B1642" s="67" t="s">
        <v>20</v>
      </c>
      <c r="C1642" s="67" t="s">
        <v>136</v>
      </c>
      <c r="D1642" s="67" t="s">
        <v>282</v>
      </c>
      <c r="E1642" s="22">
        <f t="shared" ca="1" si="155"/>
        <v>40951</v>
      </c>
      <c r="F1642" s="11">
        <f>DATE(28,9,1)</f>
        <v>10472</v>
      </c>
      <c r="G1642" s="12">
        <f t="shared" ca="1" si="156"/>
        <v>84</v>
      </c>
      <c r="H1642" s="12">
        <f t="shared" ca="1" si="157"/>
        <v>-7</v>
      </c>
      <c r="I1642" s="13">
        <f t="shared" ca="1" si="158"/>
        <v>11</v>
      </c>
      <c r="J1642" s="14">
        <f t="shared" ca="1" si="159"/>
        <v>83</v>
      </c>
      <c r="K1642" s="12" t="s">
        <v>40</v>
      </c>
      <c r="L1642" s="15">
        <v>127</v>
      </c>
      <c r="M1642" s="25" t="s">
        <v>40</v>
      </c>
      <c r="N1642">
        <v>345</v>
      </c>
    </row>
    <row r="1643" spans="1:14">
      <c r="A1643" s="25">
        <f t="shared" si="160"/>
        <v>1603</v>
      </c>
      <c r="B1643" s="67" t="s">
        <v>20</v>
      </c>
      <c r="C1643" s="67" t="s">
        <v>284</v>
      </c>
      <c r="D1643" s="67" t="s">
        <v>136</v>
      </c>
      <c r="E1643" s="22">
        <f t="shared" ca="1" si="155"/>
        <v>40951</v>
      </c>
      <c r="F1643" s="11">
        <f>DATE(55,10,26)</f>
        <v>20388</v>
      </c>
      <c r="G1643" s="12">
        <f t="shared" ca="1" si="156"/>
        <v>57</v>
      </c>
      <c r="H1643" s="12">
        <f t="shared" ca="1" si="157"/>
        <v>-8</v>
      </c>
      <c r="I1643" s="13">
        <f t="shared" ca="1" si="158"/>
        <v>-14</v>
      </c>
      <c r="J1643" s="14">
        <f t="shared" ca="1" si="159"/>
        <v>56</v>
      </c>
      <c r="K1643" s="12" t="s">
        <v>40</v>
      </c>
      <c r="L1643" s="15">
        <v>127</v>
      </c>
      <c r="M1643" s="25" t="s">
        <v>40</v>
      </c>
      <c r="N1643">
        <v>345</v>
      </c>
    </row>
    <row r="1644" spans="1:14">
      <c r="A1644" s="25">
        <f t="shared" si="160"/>
        <v>1604</v>
      </c>
      <c r="B1644" s="67" t="s">
        <v>20</v>
      </c>
      <c r="C1644" s="67" t="s">
        <v>176</v>
      </c>
      <c r="D1644" s="67" t="s">
        <v>284</v>
      </c>
      <c r="E1644" s="22">
        <f t="shared" ca="1" si="155"/>
        <v>40951</v>
      </c>
      <c r="F1644" s="11">
        <f>DATE(88,4,29)</f>
        <v>32262</v>
      </c>
      <c r="G1644" s="12">
        <f t="shared" ca="1" si="156"/>
        <v>24</v>
      </c>
      <c r="H1644" s="12">
        <f t="shared" ca="1" si="157"/>
        <v>-2</v>
      </c>
      <c r="I1644" s="13">
        <f t="shared" ca="1" si="158"/>
        <v>-17</v>
      </c>
      <c r="J1644" s="14">
        <f t="shared" ca="1" si="159"/>
        <v>23</v>
      </c>
      <c r="K1644" s="12" t="s">
        <v>40</v>
      </c>
      <c r="L1644" s="15">
        <v>127</v>
      </c>
      <c r="M1644" s="25" t="s">
        <v>44</v>
      </c>
      <c r="N1644">
        <v>345</v>
      </c>
    </row>
    <row r="1645" spans="1:14">
      <c r="A1645" s="25">
        <f t="shared" si="160"/>
        <v>1605</v>
      </c>
      <c r="B1645" s="67" t="s">
        <v>20</v>
      </c>
      <c r="C1645" s="67" t="s">
        <v>285</v>
      </c>
      <c r="D1645" s="67" t="s">
        <v>286</v>
      </c>
      <c r="E1645" s="22">
        <f t="shared" ca="1" si="155"/>
        <v>40951</v>
      </c>
      <c r="F1645" s="11">
        <f>DATE(39,4,5)</f>
        <v>14340</v>
      </c>
      <c r="G1645" s="12">
        <f t="shared" ca="1" si="156"/>
        <v>73</v>
      </c>
      <c r="H1645" s="12">
        <f t="shared" ca="1" si="157"/>
        <v>-2</v>
      </c>
      <c r="I1645" s="13">
        <f t="shared" ca="1" si="158"/>
        <v>7</v>
      </c>
      <c r="J1645" s="14">
        <f t="shared" ca="1" si="159"/>
        <v>72</v>
      </c>
      <c r="K1645" s="12" t="s">
        <v>40</v>
      </c>
      <c r="L1645" s="15">
        <v>127</v>
      </c>
      <c r="M1645" s="25" t="s">
        <v>40</v>
      </c>
      <c r="N1645">
        <v>345</v>
      </c>
    </row>
    <row r="1646" spans="1:14">
      <c r="A1646" s="25">
        <f t="shared" si="160"/>
        <v>1606</v>
      </c>
      <c r="B1646" s="67" t="s">
        <v>20</v>
      </c>
      <c r="C1646" s="67" t="s">
        <v>135</v>
      </c>
      <c r="D1646" s="67" t="s">
        <v>285</v>
      </c>
      <c r="E1646" s="22">
        <f t="shared" ca="1" si="155"/>
        <v>40951</v>
      </c>
      <c r="F1646" s="11">
        <f>DATE(70,3,21)</f>
        <v>25648</v>
      </c>
      <c r="G1646" s="12">
        <f t="shared" ca="1" si="156"/>
        <v>42</v>
      </c>
      <c r="H1646" s="12">
        <f t="shared" ca="1" si="157"/>
        <v>-1</v>
      </c>
      <c r="I1646" s="13">
        <f t="shared" ca="1" si="158"/>
        <v>-9</v>
      </c>
      <c r="J1646" s="14">
        <f t="shared" ca="1" si="159"/>
        <v>41</v>
      </c>
      <c r="K1646" s="12" t="s">
        <v>40</v>
      </c>
      <c r="L1646" s="15">
        <v>127</v>
      </c>
      <c r="M1646" s="25" t="s">
        <v>40</v>
      </c>
      <c r="N1646">
        <v>345</v>
      </c>
    </row>
    <row r="1647" spans="1:14" ht="15.75" thickBot="1">
      <c r="A1647" s="26">
        <f t="shared" si="160"/>
        <v>1607</v>
      </c>
      <c r="B1647" s="67" t="s">
        <v>0</v>
      </c>
      <c r="C1647" s="68" t="s">
        <v>272</v>
      </c>
      <c r="D1647" s="68" t="s">
        <v>273</v>
      </c>
      <c r="E1647" s="23">
        <f t="shared" ca="1" si="155"/>
        <v>40951</v>
      </c>
      <c r="F1647" s="16">
        <f>DATE(45,10,9)</f>
        <v>16719</v>
      </c>
      <c r="G1647" s="17">
        <f t="shared" ca="1" si="156"/>
        <v>67</v>
      </c>
      <c r="H1647" s="17">
        <f t="shared" ca="1" si="157"/>
        <v>-8</v>
      </c>
      <c r="I1647" s="18">
        <f t="shared" ca="1" si="158"/>
        <v>3</v>
      </c>
      <c r="J1647" s="19">
        <f t="shared" ca="1" si="159"/>
        <v>66</v>
      </c>
      <c r="K1647" s="17" t="s">
        <v>40</v>
      </c>
      <c r="L1647" s="20">
        <v>128</v>
      </c>
      <c r="M1647" s="26" t="s">
        <v>40</v>
      </c>
      <c r="N1647">
        <v>345</v>
      </c>
    </row>
    <row r="1648" spans="1:14">
      <c r="A1648" s="25">
        <f t="shared" si="160"/>
        <v>1608</v>
      </c>
      <c r="B1648" s="67" t="s">
        <v>0</v>
      </c>
      <c r="C1648" s="67" t="s">
        <v>274</v>
      </c>
      <c r="D1648" s="67" t="s">
        <v>272</v>
      </c>
      <c r="E1648" s="22">
        <f t="shared" ca="1" si="155"/>
        <v>40951</v>
      </c>
      <c r="F1648" s="11">
        <f>DATE(76,2,29)</f>
        <v>27819</v>
      </c>
      <c r="G1648" s="12">
        <f t="shared" ca="1" si="156"/>
        <v>36</v>
      </c>
      <c r="H1648" s="12">
        <f t="shared" ca="1" si="157"/>
        <v>0</v>
      </c>
      <c r="I1648" s="13">
        <f t="shared" ca="1" si="158"/>
        <v>-17</v>
      </c>
      <c r="J1648" s="14">
        <f t="shared" ca="1" si="159"/>
        <v>35</v>
      </c>
      <c r="K1648" s="12" t="s">
        <v>40</v>
      </c>
      <c r="L1648" s="15">
        <v>128</v>
      </c>
      <c r="M1648" s="25" t="s">
        <v>40</v>
      </c>
      <c r="N1648">
        <v>346</v>
      </c>
    </row>
    <row r="1649" spans="1:14">
      <c r="A1649" s="25">
        <f t="shared" si="160"/>
        <v>1609</v>
      </c>
      <c r="B1649" s="67" t="s">
        <v>0</v>
      </c>
      <c r="C1649" s="67" t="s">
        <v>276</v>
      </c>
      <c r="D1649" s="67" t="s">
        <v>274</v>
      </c>
      <c r="E1649" s="22">
        <f t="shared" ca="1" si="155"/>
        <v>40951</v>
      </c>
      <c r="F1649" s="11">
        <f>DATE(2002,11,12)</f>
        <v>37572</v>
      </c>
      <c r="G1649" s="12">
        <f t="shared" ca="1" si="156"/>
        <v>10</v>
      </c>
      <c r="H1649" s="12">
        <f t="shared" ca="1" si="157"/>
        <v>-9</v>
      </c>
      <c r="I1649" s="13">
        <f t="shared" ca="1" si="158"/>
        <v>0</v>
      </c>
      <c r="J1649" s="14">
        <f t="shared" ca="1" si="159"/>
        <v>9</v>
      </c>
      <c r="K1649" s="12" t="s">
        <v>40</v>
      </c>
      <c r="L1649" s="15">
        <v>128</v>
      </c>
      <c r="M1649" s="25" t="s">
        <v>44</v>
      </c>
      <c r="N1649">
        <v>346</v>
      </c>
    </row>
    <row r="1650" spans="1:14">
      <c r="A1650" s="25">
        <f t="shared" si="160"/>
        <v>1610</v>
      </c>
      <c r="B1650" s="67" t="s">
        <v>0</v>
      </c>
      <c r="C1650" s="67" t="s">
        <v>277</v>
      </c>
      <c r="D1650" s="67" t="s">
        <v>278</v>
      </c>
      <c r="E1650" s="22">
        <f t="shared" ca="1" si="155"/>
        <v>40951</v>
      </c>
      <c r="F1650" s="11">
        <f>DATE(63,4,30)</f>
        <v>23131</v>
      </c>
      <c r="G1650" s="12">
        <f t="shared" ca="1" si="156"/>
        <v>49</v>
      </c>
      <c r="H1650" s="12">
        <f t="shared" ca="1" si="157"/>
        <v>-2</v>
      </c>
      <c r="I1650" s="13">
        <f t="shared" ca="1" si="158"/>
        <v>-18</v>
      </c>
      <c r="J1650" s="14">
        <f t="shared" ca="1" si="159"/>
        <v>48</v>
      </c>
      <c r="K1650" s="12" t="s">
        <v>40</v>
      </c>
      <c r="L1650" s="15">
        <v>128</v>
      </c>
      <c r="M1650" s="25" t="s">
        <v>40</v>
      </c>
      <c r="N1650">
        <v>346</v>
      </c>
    </row>
    <row r="1651" spans="1:14">
      <c r="A1651" s="25">
        <f t="shared" si="160"/>
        <v>1611</v>
      </c>
      <c r="B1651" s="67" t="s">
        <v>0</v>
      </c>
      <c r="C1651" s="67" t="s">
        <v>281</v>
      </c>
      <c r="D1651" s="67" t="s">
        <v>277</v>
      </c>
      <c r="E1651" s="22">
        <f t="shared" ca="1" si="155"/>
        <v>40951</v>
      </c>
      <c r="F1651" s="11">
        <f>DATE(92,10,31)</f>
        <v>33908</v>
      </c>
      <c r="G1651" s="12">
        <f t="shared" ca="1" si="156"/>
        <v>20</v>
      </c>
      <c r="H1651" s="12">
        <f t="shared" ca="1" si="157"/>
        <v>-8</v>
      </c>
      <c r="I1651" s="13">
        <f t="shared" ca="1" si="158"/>
        <v>-19</v>
      </c>
      <c r="J1651" s="14">
        <f t="shared" ca="1" si="159"/>
        <v>19</v>
      </c>
      <c r="K1651" s="12" t="s">
        <v>40</v>
      </c>
      <c r="L1651" s="15">
        <v>128</v>
      </c>
      <c r="M1651" s="25" t="s">
        <v>44</v>
      </c>
      <c r="N1651">
        <v>346</v>
      </c>
    </row>
    <row r="1652" spans="1:14" ht="15.75" thickBot="1">
      <c r="A1652" s="26">
        <f t="shared" si="160"/>
        <v>1612</v>
      </c>
      <c r="B1652" s="68" t="s">
        <v>0</v>
      </c>
      <c r="C1652" s="68" t="s">
        <v>179</v>
      </c>
      <c r="D1652" s="68" t="s">
        <v>277</v>
      </c>
      <c r="E1652" s="23">
        <f t="shared" ca="1" si="155"/>
        <v>40951</v>
      </c>
      <c r="F1652" s="16">
        <f>DATE(96,1,3)</f>
        <v>35067</v>
      </c>
      <c r="G1652" s="17">
        <f t="shared" ca="1" si="156"/>
        <v>16</v>
      </c>
      <c r="H1652" s="17">
        <f t="shared" ca="1" si="157"/>
        <v>1</v>
      </c>
      <c r="I1652" s="18">
        <f t="shared" ca="1" si="158"/>
        <v>9</v>
      </c>
      <c r="J1652" s="19">
        <f t="shared" ca="1" si="159"/>
        <v>16</v>
      </c>
      <c r="K1652" s="17" t="s">
        <v>40</v>
      </c>
      <c r="L1652" s="20">
        <v>128</v>
      </c>
      <c r="M1652" s="26" t="s">
        <v>44</v>
      </c>
      <c r="N1652">
        <v>346</v>
      </c>
    </row>
    <row r="1653" spans="1:14">
      <c r="A1653" s="25">
        <f t="shared" si="160"/>
        <v>1613</v>
      </c>
      <c r="B1653" s="67" t="s">
        <v>17</v>
      </c>
      <c r="C1653" s="67" t="s">
        <v>140</v>
      </c>
      <c r="D1653" s="67" t="s">
        <v>483</v>
      </c>
      <c r="E1653" s="22">
        <f t="shared" ca="1" si="155"/>
        <v>40951</v>
      </c>
      <c r="F1653" s="11">
        <f>DATE(87,9,18)</f>
        <v>32038</v>
      </c>
      <c r="G1653" s="12">
        <f t="shared" ca="1" si="156"/>
        <v>25</v>
      </c>
      <c r="H1653" s="12">
        <f t="shared" ca="1" si="157"/>
        <v>-7</v>
      </c>
      <c r="I1653" s="13">
        <f t="shared" ca="1" si="158"/>
        <v>-6</v>
      </c>
      <c r="J1653" s="14">
        <f t="shared" ca="1" si="159"/>
        <v>24</v>
      </c>
      <c r="K1653" s="12" t="s">
        <v>44</v>
      </c>
      <c r="L1653" s="15">
        <v>103</v>
      </c>
      <c r="M1653" s="25" t="s">
        <v>44</v>
      </c>
      <c r="N1653">
        <v>347</v>
      </c>
    </row>
    <row r="1654" spans="1:14">
      <c r="A1654" s="25"/>
      <c r="B1654" s="67"/>
      <c r="C1654" s="67"/>
      <c r="D1654" s="67"/>
      <c r="E1654" s="67"/>
      <c r="F1654" s="3" t="s">
        <v>42</v>
      </c>
      <c r="J1654" s="3" t="s">
        <v>22</v>
      </c>
      <c r="L1654" s="15" t="s">
        <v>43</v>
      </c>
      <c r="M1654" s="25"/>
      <c r="N1654">
        <v>347</v>
      </c>
    </row>
    <row r="1655" spans="1:14">
      <c r="A1655" s="25">
        <f>A1654+1</f>
        <v>1</v>
      </c>
      <c r="B1655" s="67" t="s">
        <v>11</v>
      </c>
      <c r="C1655" s="67"/>
      <c r="D1655" s="67"/>
      <c r="E1655" s="22"/>
      <c r="F1655" s="11"/>
      <c r="G1655" s="12"/>
      <c r="H1655" s="12"/>
      <c r="I1655" s="13"/>
      <c r="J1655" s="14"/>
      <c r="K1655" s="12"/>
      <c r="L1655" s="15"/>
      <c r="M1655" s="25"/>
      <c r="N1655">
        <v>347</v>
      </c>
    </row>
    <row r="1656" spans="1:14">
      <c r="A1656" s="25">
        <f>A1655+1</f>
        <v>2</v>
      </c>
      <c r="B1656" s="67" t="s">
        <v>14</v>
      </c>
      <c r="C1656" s="67"/>
      <c r="D1656" s="67"/>
      <c r="E1656" s="22"/>
      <c r="F1656" s="11"/>
      <c r="G1656" s="12"/>
      <c r="H1656" s="12"/>
      <c r="I1656" s="13"/>
      <c r="J1656" s="14"/>
      <c r="K1656" s="12"/>
      <c r="L1656" s="15"/>
      <c r="M1656" s="25"/>
      <c r="N1656">
        <v>347</v>
      </c>
    </row>
    <row r="1657" spans="1:14" ht="15.75" thickBot="1">
      <c r="A1657" s="26">
        <f>A1656+1</f>
        <v>3</v>
      </c>
      <c r="B1657" s="68" t="s">
        <v>20</v>
      </c>
      <c r="C1657" s="68"/>
      <c r="D1657" s="68"/>
      <c r="E1657" s="23"/>
      <c r="F1657" s="16"/>
      <c r="G1657" s="17"/>
      <c r="H1657" s="17"/>
      <c r="I1657" s="18"/>
      <c r="J1657" s="19"/>
      <c r="K1657" s="17"/>
      <c r="L1657" s="20"/>
      <c r="M1657" s="26"/>
      <c r="N1657">
        <v>347</v>
      </c>
    </row>
  </sheetData>
  <sortState ref="A1:M1657">
    <sortCondition ref="K1:K165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7"/>
  <sheetViews>
    <sheetView workbookViewId="0">
      <selection sqref="A1:C1"/>
    </sheetView>
  </sheetViews>
  <sheetFormatPr defaultRowHeight="15"/>
  <cols>
    <col min="1" max="1" width="10.28515625" style="85" customWidth="1"/>
    <col min="2" max="2" width="10.7109375" style="85" customWidth="1"/>
    <col min="3" max="3" width="12.85546875" style="85" customWidth="1"/>
    <col min="4" max="4" width="30.5703125" style="85" customWidth="1"/>
    <col min="5" max="5" width="10.7109375" customWidth="1"/>
  </cols>
  <sheetData>
    <row r="1" spans="1:4">
      <c r="A1" s="85" t="s">
        <v>1094</v>
      </c>
      <c r="B1" s="85" t="s">
        <v>1095</v>
      </c>
      <c r="C1" s="85" t="s">
        <v>1096</v>
      </c>
      <c r="D1" s="86" t="s">
        <v>2747</v>
      </c>
    </row>
    <row r="2" spans="1:4">
      <c r="A2" s="85">
        <v>1</v>
      </c>
      <c r="B2" s="85">
        <v>1</v>
      </c>
      <c r="C2" s="85">
        <v>1</v>
      </c>
      <c r="D2" s="85" t="s">
        <v>1097</v>
      </c>
    </row>
    <row r="3" spans="1:4">
      <c r="A3" s="85">
        <v>1</v>
      </c>
      <c r="B3" s="85">
        <v>1</v>
      </c>
      <c r="C3" s="85">
        <f>C2+1</f>
        <v>2</v>
      </c>
      <c r="D3" s="85" t="s">
        <v>1098</v>
      </c>
    </row>
    <row r="4" spans="1:4">
      <c r="A4" s="85">
        <v>1</v>
      </c>
      <c r="B4" s="85">
        <v>1</v>
      </c>
      <c r="C4" s="85">
        <f t="shared" ref="C4:C28" si="0">C3+1</f>
        <v>3</v>
      </c>
      <c r="D4" s="85" t="s">
        <v>1099</v>
      </c>
    </row>
    <row r="5" spans="1:4">
      <c r="A5" s="85">
        <v>1</v>
      </c>
      <c r="B5" s="85">
        <v>1</v>
      </c>
      <c r="C5" s="85">
        <f t="shared" si="0"/>
        <v>4</v>
      </c>
      <c r="D5" s="85" t="s">
        <v>1100</v>
      </c>
    </row>
    <row r="6" spans="1:4">
      <c r="A6" s="85">
        <v>1</v>
      </c>
      <c r="B6" s="85">
        <v>2</v>
      </c>
      <c r="C6" s="85">
        <f t="shared" si="0"/>
        <v>5</v>
      </c>
      <c r="D6" s="85" t="s">
        <v>1101</v>
      </c>
    </row>
    <row r="7" spans="1:4">
      <c r="A7" s="85">
        <v>1</v>
      </c>
      <c r="B7" s="85">
        <v>2</v>
      </c>
      <c r="C7" s="85">
        <f t="shared" si="0"/>
        <v>6</v>
      </c>
      <c r="D7" s="85" t="s">
        <v>1102</v>
      </c>
    </row>
    <row r="8" spans="1:4">
      <c r="A8" s="85">
        <v>1</v>
      </c>
      <c r="B8" s="85">
        <v>2</v>
      </c>
      <c r="C8" s="85">
        <f t="shared" si="0"/>
        <v>7</v>
      </c>
      <c r="D8" s="85" t="s">
        <v>1103</v>
      </c>
    </row>
    <row r="9" spans="1:4">
      <c r="A9" s="85">
        <v>1</v>
      </c>
      <c r="B9" s="85">
        <v>2</v>
      </c>
      <c r="C9" s="85">
        <f t="shared" si="0"/>
        <v>8</v>
      </c>
      <c r="D9" s="85" t="s">
        <v>1104</v>
      </c>
    </row>
    <row r="10" spans="1:4">
      <c r="A10" s="85">
        <v>1</v>
      </c>
      <c r="B10" s="85">
        <v>3</v>
      </c>
      <c r="C10" s="85">
        <f t="shared" si="0"/>
        <v>9</v>
      </c>
      <c r="D10" s="85" t="s">
        <v>1105</v>
      </c>
    </row>
    <row r="11" spans="1:4">
      <c r="A11" s="85">
        <v>1</v>
      </c>
      <c r="B11" s="85">
        <v>3</v>
      </c>
      <c r="C11" s="85">
        <f t="shared" si="0"/>
        <v>10</v>
      </c>
      <c r="D11" s="85" t="s">
        <v>1106</v>
      </c>
    </row>
    <row r="12" spans="1:4">
      <c r="A12" s="85">
        <v>1</v>
      </c>
      <c r="B12" s="85">
        <v>3</v>
      </c>
      <c r="C12" s="85">
        <f t="shared" si="0"/>
        <v>11</v>
      </c>
      <c r="D12" s="85" t="s">
        <v>1107</v>
      </c>
    </row>
    <row r="13" spans="1:4">
      <c r="A13" s="85">
        <v>1</v>
      </c>
      <c r="B13" s="85">
        <v>3</v>
      </c>
      <c r="C13" s="85">
        <f t="shared" si="0"/>
        <v>12</v>
      </c>
      <c r="D13" s="85" t="s">
        <v>1108</v>
      </c>
    </row>
    <row r="14" spans="1:4">
      <c r="A14" s="85">
        <v>1</v>
      </c>
      <c r="B14" s="85">
        <v>3</v>
      </c>
      <c r="C14" s="85">
        <f t="shared" si="0"/>
        <v>13</v>
      </c>
      <c r="D14" s="85" t="s">
        <v>1109</v>
      </c>
    </row>
    <row r="15" spans="1:4">
      <c r="A15" s="85">
        <v>1</v>
      </c>
      <c r="B15" s="85">
        <v>3</v>
      </c>
      <c r="C15" s="85">
        <f t="shared" si="0"/>
        <v>14</v>
      </c>
      <c r="D15" s="85" t="s">
        <v>1110</v>
      </c>
    </row>
    <row r="16" spans="1:4">
      <c r="A16" s="85">
        <v>1</v>
      </c>
      <c r="B16" s="85">
        <v>3</v>
      </c>
      <c r="C16" s="85">
        <f t="shared" si="0"/>
        <v>15</v>
      </c>
      <c r="D16" s="85" t="s">
        <v>1111</v>
      </c>
    </row>
    <row r="17" spans="1:4">
      <c r="A17" s="85">
        <v>1</v>
      </c>
      <c r="B17" s="85">
        <v>3</v>
      </c>
      <c r="C17" s="85">
        <f t="shared" si="0"/>
        <v>16</v>
      </c>
      <c r="D17" s="85" t="s">
        <v>1112</v>
      </c>
    </row>
    <row r="18" spans="1:4">
      <c r="A18" s="86">
        <v>2</v>
      </c>
      <c r="B18" s="85">
        <v>4</v>
      </c>
      <c r="C18" s="85">
        <f t="shared" si="0"/>
        <v>17</v>
      </c>
      <c r="D18" s="85" t="s">
        <v>1113</v>
      </c>
    </row>
    <row r="19" spans="1:4">
      <c r="A19" s="86">
        <v>2</v>
      </c>
      <c r="B19" s="85">
        <v>4</v>
      </c>
      <c r="C19" s="85">
        <f t="shared" si="0"/>
        <v>18</v>
      </c>
      <c r="D19" s="85" t="s">
        <v>1114</v>
      </c>
    </row>
    <row r="20" spans="1:4">
      <c r="A20" s="86">
        <v>2</v>
      </c>
      <c r="B20" s="85">
        <v>4</v>
      </c>
      <c r="C20" s="85">
        <f t="shared" si="0"/>
        <v>19</v>
      </c>
      <c r="D20" s="85" t="s">
        <v>1115</v>
      </c>
    </row>
    <row r="21" spans="1:4">
      <c r="A21" s="86">
        <v>2</v>
      </c>
      <c r="B21" s="85">
        <v>4</v>
      </c>
      <c r="C21" s="85">
        <f t="shared" si="0"/>
        <v>20</v>
      </c>
      <c r="D21" s="85" t="s">
        <v>1116</v>
      </c>
    </row>
    <row r="22" spans="1:4">
      <c r="A22" s="86">
        <v>2</v>
      </c>
      <c r="B22" s="85">
        <v>4</v>
      </c>
      <c r="C22" s="85">
        <f t="shared" si="0"/>
        <v>21</v>
      </c>
      <c r="D22" s="85" t="s">
        <v>1117</v>
      </c>
    </row>
    <row r="23" spans="1:4">
      <c r="A23" s="86">
        <v>2</v>
      </c>
      <c r="B23" s="85">
        <v>4</v>
      </c>
      <c r="C23" s="85">
        <f t="shared" si="0"/>
        <v>22</v>
      </c>
      <c r="D23" s="85" t="s">
        <v>1118</v>
      </c>
    </row>
    <row r="24" spans="1:4">
      <c r="A24" s="86">
        <v>2</v>
      </c>
      <c r="B24" s="85">
        <v>4</v>
      </c>
      <c r="C24" s="85">
        <f t="shared" si="0"/>
        <v>23</v>
      </c>
      <c r="D24" s="85" t="s">
        <v>1119</v>
      </c>
    </row>
    <row r="25" spans="1:4">
      <c r="A25" s="86">
        <v>2</v>
      </c>
      <c r="B25" s="85">
        <v>5</v>
      </c>
      <c r="C25" s="85">
        <f t="shared" si="0"/>
        <v>24</v>
      </c>
      <c r="D25" s="85" t="s">
        <v>1120</v>
      </c>
    </row>
    <row r="26" spans="1:4">
      <c r="A26" s="86">
        <v>2</v>
      </c>
      <c r="B26" s="85">
        <v>5</v>
      </c>
      <c r="C26" s="85">
        <f t="shared" si="0"/>
        <v>25</v>
      </c>
      <c r="D26" s="85" t="s">
        <v>1121</v>
      </c>
    </row>
    <row r="27" spans="1:4">
      <c r="A27" s="86">
        <v>2</v>
      </c>
      <c r="B27" s="85">
        <v>5</v>
      </c>
      <c r="C27" s="85">
        <f t="shared" si="0"/>
        <v>26</v>
      </c>
      <c r="D27" s="85" t="s">
        <v>1122</v>
      </c>
    </row>
    <row r="28" spans="1:4">
      <c r="A28" s="86">
        <v>2</v>
      </c>
      <c r="B28" s="85">
        <v>5</v>
      </c>
      <c r="C28" s="85">
        <f t="shared" si="0"/>
        <v>27</v>
      </c>
      <c r="D28" s="85" t="s">
        <v>1123</v>
      </c>
    </row>
    <row r="29" spans="1:4">
      <c r="A29" s="86">
        <v>3</v>
      </c>
      <c r="B29" s="85">
        <v>6</v>
      </c>
      <c r="C29" s="85">
        <f>C28+1</f>
        <v>28</v>
      </c>
      <c r="D29" s="85" t="s">
        <v>1124</v>
      </c>
    </row>
    <row r="30" spans="1:4">
      <c r="A30" s="86">
        <v>3</v>
      </c>
      <c r="B30" s="85">
        <v>6</v>
      </c>
      <c r="C30" s="85">
        <f t="shared" ref="C30:C93" si="1">C29+1</f>
        <v>29</v>
      </c>
      <c r="D30" s="85" t="s">
        <v>1125</v>
      </c>
    </row>
    <row r="31" spans="1:4">
      <c r="A31" s="86">
        <v>3</v>
      </c>
      <c r="B31" s="85">
        <v>6</v>
      </c>
      <c r="C31" s="85">
        <f t="shared" si="1"/>
        <v>30</v>
      </c>
      <c r="D31" s="85" t="s">
        <v>1126</v>
      </c>
    </row>
    <row r="32" spans="1:4">
      <c r="A32" s="86">
        <v>3</v>
      </c>
      <c r="B32" s="85">
        <v>6</v>
      </c>
      <c r="C32" s="85">
        <f t="shared" si="1"/>
        <v>31</v>
      </c>
      <c r="D32" s="85" t="s">
        <v>1127</v>
      </c>
    </row>
    <row r="33" spans="1:4">
      <c r="A33" s="86">
        <v>3</v>
      </c>
      <c r="B33" s="85">
        <v>6</v>
      </c>
      <c r="C33" s="85">
        <f t="shared" si="1"/>
        <v>32</v>
      </c>
      <c r="D33" s="85" t="s">
        <v>1128</v>
      </c>
    </row>
    <row r="34" spans="1:4">
      <c r="A34" s="86">
        <v>3</v>
      </c>
      <c r="B34" s="85">
        <v>7</v>
      </c>
      <c r="C34" s="85">
        <f t="shared" si="1"/>
        <v>33</v>
      </c>
      <c r="D34" s="85" t="s">
        <v>1129</v>
      </c>
    </row>
    <row r="35" spans="1:4">
      <c r="A35" s="86">
        <v>3</v>
      </c>
      <c r="B35" s="85">
        <v>7</v>
      </c>
      <c r="C35" s="85">
        <f t="shared" si="1"/>
        <v>34</v>
      </c>
      <c r="D35" s="85" t="s">
        <v>1130</v>
      </c>
    </row>
    <row r="36" spans="1:4">
      <c r="A36" s="86">
        <v>3</v>
      </c>
      <c r="B36" s="85">
        <v>7</v>
      </c>
      <c r="C36" s="85">
        <f t="shared" si="1"/>
        <v>35</v>
      </c>
      <c r="D36" s="85" t="s">
        <v>1131</v>
      </c>
    </row>
    <row r="37" spans="1:4">
      <c r="A37" s="86">
        <v>3</v>
      </c>
      <c r="B37" s="85">
        <v>8</v>
      </c>
      <c r="C37" s="85">
        <f t="shared" si="1"/>
        <v>36</v>
      </c>
      <c r="D37" s="85" t="s">
        <v>1132</v>
      </c>
    </row>
    <row r="38" spans="1:4">
      <c r="A38" s="86">
        <v>3</v>
      </c>
      <c r="B38" s="85">
        <v>8</v>
      </c>
      <c r="C38" s="85">
        <f t="shared" si="1"/>
        <v>37</v>
      </c>
      <c r="D38" s="85" t="s">
        <v>1133</v>
      </c>
    </row>
    <row r="39" spans="1:4">
      <c r="A39" s="86">
        <v>3</v>
      </c>
      <c r="B39" s="85">
        <v>8</v>
      </c>
      <c r="C39" s="85">
        <f t="shared" si="1"/>
        <v>38</v>
      </c>
      <c r="D39" s="85" t="s">
        <v>1134</v>
      </c>
    </row>
    <row r="40" spans="1:4">
      <c r="A40" s="86">
        <v>3</v>
      </c>
      <c r="B40" s="85">
        <v>8</v>
      </c>
      <c r="C40" s="85">
        <f t="shared" si="1"/>
        <v>39</v>
      </c>
      <c r="D40" s="85" t="s">
        <v>1135</v>
      </c>
    </row>
    <row r="41" spans="1:4">
      <c r="A41" s="86">
        <v>4</v>
      </c>
      <c r="B41" s="85">
        <v>9</v>
      </c>
      <c r="C41" s="85">
        <f t="shared" si="1"/>
        <v>40</v>
      </c>
      <c r="D41" s="85" t="s">
        <v>1136</v>
      </c>
    </row>
    <row r="42" spans="1:4">
      <c r="A42" s="86">
        <v>4</v>
      </c>
      <c r="B42" s="85">
        <v>9</v>
      </c>
      <c r="C42" s="85">
        <f t="shared" si="1"/>
        <v>41</v>
      </c>
      <c r="D42" s="85" t="s">
        <v>1137</v>
      </c>
    </row>
    <row r="43" spans="1:4">
      <c r="A43" s="86">
        <v>4</v>
      </c>
      <c r="B43" s="85">
        <v>9</v>
      </c>
      <c r="C43" s="85">
        <f t="shared" si="1"/>
        <v>42</v>
      </c>
      <c r="D43" s="85" t="s">
        <v>1138</v>
      </c>
    </row>
    <row r="44" spans="1:4">
      <c r="A44" s="86">
        <v>4</v>
      </c>
      <c r="B44" s="85">
        <v>9</v>
      </c>
      <c r="C44" s="85">
        <f t="shared" si="1"/>
        <v>43</v>
      </c>
      <c r="D44" s="85" t="s">
        <v>1139</v>
      </c>
    </row>
    <row r="45" spans="1:4">
      <c r="A45" s="86">
        <v>4</v>
      </c>
      <c r="B45" s="85">
        <v>10</v>
      </c>
      <c r="C45" s="85">
        <f t="shared" si="1"/>
        <v>44</v>
      </c>
      <c r="D45" s="85" t="s">
        <v>1140</v>
      </c>
    </row>
    <row r="46" spans="1:4">
      <c r="A46" s="86">
        <v>4</v>
      </c>
      <c r="B46" s="85">
        <v>10</v>
      </c>
      <c r="C46" s="85">
        <f t="shared" si="1"/>
        <v>45</v>
      </c>
      <c r="D46" s="85" t="s">
        <v>1141</v>
      </c>
    </row>
    <row r="47" spans="1:4">
      <c r="A47" s="86">
        <v>4</v>
      </c>
      <c r="B47" s="85">
        <v>10</v>
      </c>
      <c r="C47" s="85">
        <f t="shared" si="1"/>
        <v>46</v>
      </c>
      <c r="D47" s="85" t="s">
        <v>1142</v>
      </c>
    </row>
    <row r="48" spans="1:4">
      <c r="A48" s="86">
        <v>4</v>
      </c>
      <c r="B48" s="85">
        <v>10</v>
      </c>
      <c r="C48" s="85">
        <f t="shared" si="1"/>
        <v>47</v>
      </c>
      <c r="D48" s="85" t="s">
        <v>1143</v>
      </c>
    </row>
    <row r="49" spans="1:4">
      <c r="A49" s="86">
        <v>4</v>
      </c>
      <c r="B49" s="85">
        <v>11</v>
      </c>
      <c r="C49" s="85">
        <f t="shared" si="1"/>
        <v>48</v>
      </c>
      <c r="D49" s="85" t="s">
        <v>1144</v>
      </c>
    </row>
    <row r="50" spans="1:4">
      <c r="A50" s="86">
        <v>4</v>
      </c>
      <c r="B50" s="85">
        <v>11</v>
      </c>
      <c r="C50" s="85">
        <f t="shared" si="1"/>
        <v>49</v>
      </c>
      <c r="D50" s="85" t="s">
        <v>1145</v>
      </c>
    </row>
    <row r="51" spans="1:4">
      <c r="A51" s="86">
        <v>4</v>
      </c>
      <c r="B51" s="85">
        <v>11</v>
      </c>
      <c r="C51" s="85">
        <f t="shared" si="1"/>
        <v>50</v>
      </c>
      <c r="D51" s="85" t="s">
        <v>1146</v>
      </c>
    </row>
    <row r="52" spans="1:4">
      <c r="A52" s="86">
        <v>5</v>
      </c>
      <c r="B52" s="85">
        <v>12</v>
      </c>
      <c r="C52" s="85">
        <f t="shared" si="1"/>
        <v>51</v>
      </c>
      <c r="D52" s="85" t="s">
        <v>1147</v>
      </c>
    </row>
    <row r="53" spans="1:4">
      <c r="A53" s="85">
        <v>5</v>
      </c>
      <c r="B53" s="85">
        <v>12</v>
      </c>
      <c r="C53" s="85">
        <f t="shared" si="1"/>
        <v>52</v>
      </c>
      <c r="D53" s="85" t="s">
        <v>1148</v>
      </c>
    </row>
    <row r="54" spans="1:4">
      <c r="A54" s="85">
        <v>5</v>
      </c>
      <c r="B54" s="85">
        <v>12</v>
      </c>
      <c r="C54" s="85">
        <f t="shared" si="1"/>
        <v>53</v>
      </c>
      <c r="D54" s="85" t="s">
        <v>1149</v>
      </c>
    </row>
    <row r="55" spans="1:4">
      <c r="A55" s="85">
        <v>5</v>
      </c>
      <c r="B55" s="85">
        <v>12</v>
      </c>
      <c r="C55" s="85">
        <f t="shared" si="1"/>
        <v>54</v>
      </c>
      <c r="D55" s="85" t="s">
        <v>1150</v>
      </c>
    </row>
    <row r="56" spans="1:4">
      <c r="A56" s="85">
        <v>5</v>
      </c>
      <c r="B56" s="85">
        <v>12</v>
      </c>
      <c r="C56" s="85">
        <f t="shared" si="1"/>
        <v>55</v>
      </c>
      <c r="D56" s="85" t="s">
        <v>1151</v>
      </c>
    </row>
    <row r="57" spans="1:4">
      <c r="A57" s="85">
        <v>5</v>
      </c>
      <c r="B57" s="85">
        <v>13</v>
      </c>
      <c r="C57" s="85">
        <f t="shared" si="1"/>
        <v>56</v>
      </c>
      <c r="D57" s="85" t="s">
        <v>1152</v>
      </c>
    </row>
    <row r="58" spans="1:4">
      <c r="A58" s="85">
        <v>5</v>
      </c>
      <c r="B58" s="85">
        <v>13</v>
      </c>
      <c r="C58" s="85">
        <f t="shared" si="1"/>
        <v>57</v>
      </c>
      <c r="D58" s="85" t="s">
        <v>1153</v>
      </c>
    </row>
    <row r="59" spans="1:4">
      <c r="A59" s="85">
        <v>5</v>
      </c>
      <c r="B59" s="85">
        <v>13</v>
      </c>
      <c r="C59" s="85">
        <f t="shared" si="1"/>
        <v>58</v>
      </c>
      <c r="D59" s="85" t="s">
        <v>1154</v>
      </c>
    </row>
    <row r="60" spans="1:4">
      <c r="A60" s="85">
        <v>5</v>
      </c>
      <c r="B60" s="85">
        <v>13</v>
      </c>
      <c r="C60" s="85">
        <f t="shared" si="1"/>
        <v>59</v>
      </c>
      <c r="D60" s="85" t="s">
        <v>1155</v>
      </c>
    </row>
    <row r="61" spans="1:4">
      <c r="A61" s="85">
        <v>5</v>
      </c>
      <c r="B61" s="85">
        <v>14</v>
      </c>
      <c r="C61" s="85">
        <f t="shared" si="1"/>
        <v>60</v>
      </c>
      <c r="D61" s="85" t="s">
        <v>1156</v>
      </c>
    </row>
    <row r="62" spans="1:4">
      <c r="A62" s="85">
        <v>5</v>
      </c>
      <c r="B62" s="85">
        <v>14</v>
      </c>
      <c r="C62" s="85">
        <f t="shared" si="1"/>
        <v>61</v>
      </c>
      <c r="D62" s="85" t="s">
        <v>1157</v>
      </c>
    </row>
    <row r="63" spans="1:4">
      <c r="A63" s="85">
        <v>5</v>
      </c>
      <c r="B63" s="85">
        <v>14</v>
      </c>
      <c r="C63" s="85">
        <f t="shared" si="1"/>
        <v>62</v>
      </c>
      <c r="D63" s="85" t="s">
        <v>1154</v>
      </c>
    </row>
    <row r="64" spans="1:4">
      <c r="A64" s="85">
        <v>5</v>
      </c>
      <c r="B64" s="85">
        <v>14</v>
      </c>
      <c r="C64" s="85">
        <f t="shared" si="1"/>
        <v>63</v>
      </c>
      <c r="D64" s="85" t="s">
        <v>1158</v>
      </c>
    </row>
    <row r="65" spans="1:4">
      <c r="A65" s="85">
        <v>6</v>
      </c>
      <c r="B65" s="85">
        <v>15</v>
      </c>
      <c r="C65" s="85">
        <f t="shared" si="1"/>
        <v>64</v>
      </c>
      <c r="D65" s="85" t="s">
        <v>1159</v>
      </c>
    </row>
    <row r="66" spans="1:4">
      <c r="A66" s="85">
        <v>6</v>
      </c>
      <c r="B66" s="85">
        <v>15</v>
      </c>
      <c r="C66" s="85">
        <f t="shared" si="1"/>
        <v>65</v>
      </c>
      <c r="D66" s="85" t="s">
        <v>1160</v>
      </c>
    </row>
    <row r="67" spans="1:4">
      <c r="A67" s="85">
        <v>6</v>
      </c>
      <c r="B67" s="85">
        <v>15</v>
      </c>
      <c r="C67" s="85">
        <f t="shared" si="1"/>
        <v>66</v>
      </c>
      <c r="D67" s="85" t="s">
        <v>1161</v>
      </c>
    </row>
    <row r="68" spans="1:4">
      <c r="A68" s="85">
        <v>6</v>
      </c>
      <c r="B68" s="85">
        <v>15</v>
      </c>
      <c r="C68" s="85">
        <f t="shared" si="1"/>
        <v>67</v>
      </c>
      <c r="D68" s="85" t="s">
        <v>1162</v>
      </c>
    </row>
    <row r="69" spans="1:4">
      <c r="A69" s="85">
        <v>6</v>
      </c>
      <c r="B69" s="85">
        <v>15</v>
      </c>
      <c r="C69" s="85">
        <f t="shared" si="1"/>
        <v>68</v>
      </c>
      <c r="D69" s="85" t="s">
        <v>1163</v>
      </c>
    </row>
    <row r="70" spans="1:4">
      <c r="A70" s="85">
        <v>6</v>
      </c>
      <c r="B70" s="85">
        <v>16</v>
      </c>
      <c r="C70" s="85">
        <f t="shared" si="1"/>
        <v>69</v>
      </c>
      <c r="D70" s="85" t="s">
        <v>1164</v>
      </c>
    </row>
    <row r="71" spans="1:4">
      <c r="A71" s="85">
        <v>6</v>
      </c>
      <c r="B71" s="85">
        <v>16</v>
      </c>
      <c r="C71" s="85">
        <f t="shared" si="1"/>
        <v>70</v>
      </c>
      <c r="D71" s="85" t="s">
        <v>1165</v>
      </c>
    </row>
    <row r="72" spans="1:4">
      <c r="A72" s="85">
        <v>6</v>
      </c>
      <c r="B72" s="85">
        <v>17</v>
      </c>
      <c r="C72" s="85">
        <f t="shared" si="1"/>
        <v>71</v>
      </c>
      <c r="D72" s="85" t="s">
        <v>1166</v>
      </c>
    </row>
    <row r="73" spans="1:4">
      <c r="A73" s="85">
        <v>6</v>
      </c>
      <c r="B73" s="85">
        <v>17</v>
      </c>
      <c r="C73" s="85">
        <f t="shared" si="1"/>
        <v>72</v>
      </c>
      <c r="D73" s="85" t="s">
        <v>1167</v>
      </c>
    </row>
    <row r="74" spans="1:4">
      <c r="A74" s="85">
        <v>6</v>
      </c>
      <c r="B74" s="85">
        <v>17</v>
      </c>
      <c r="C74" s="85">
        <f t="shared" si="1"/>
        <v>73</v>
      </c>
      <c r="D74" s="85" t="s">
        <v>1168</v>
      </c>
    </row>
    <row r="75" spans="1:4">
      <c r="A75" s="85">
        <v>6</v>
      </c>
      <c r="B75" s="85">
        <v>17</v>
      </c>
      <c r="C75" s="85">
        <f t="shared" si="1"/>
        <v>74</v>
      </c>
      <c r="D75" s="85" t="s">
        <v>1169</v>
      </c>
    </row>
    <row r="76" spans="1:4">
      <c r="A76" s="85">
        <v>6</v>
      </c>
      <c r="B76" s="85">
        <v>17</v>
      </c>
      <c r="C76" s="85">
        <f t="shared" si="1"/>
        <v>75</v>
      </c>
      <c r="D76" s="85" t="s">
        <v>1170</v>
      </c>
    </row>
    <row r="77" spans="1:4">
      <c r="A77" s="85">
        <v>6</v>
      </c>
      <c r="B77" s="85">
        <v>17</v>
      </c>
      <c r="C77" s="85">
        <f t="shared" si="1"/>
        <v>76</v>
      </c>
      <c r="D77" s="85" t="s">
        <v>1171</v>
      </c>
    </row>
    <row r="78" spans="1:4">
      <c r="A78" s="85">
        <v>6</v>
      </c>
      <c r="B78" s="85">
        <v>17</v>
      </c>
      <c r="C78" s="85">
        <f t="shared" si="1"/>
        <v>77</v>
      </c>
      <c r="D78" s="85" t="s">
        <v>1172</v>
      </c>
    </row>
    <row r="79" spans="1:4">
      <c r="A79" s="85">
        <v>7</v>
      </c>
      <c r="B79" s="85">
        <v>18</v>
      </c>
      <c r="C79" s="85">
        <f t="shared" si="1"/>
        <v>78</v>
      </c>
      <c r="D79" s="85" t="s">
        <v>1173</v>
      </c>
    </row>
    <row r="80" spans="1:4">
      <c r="A80" s="85">
        <v>7</v>
      </c>
      <c r="B80" s="85">
        <v>18</v>
      </c>
      <c r="C80" s="85">
        <f t="shared" si="1"/>
        <v>79</v>
      </c>
      <c r="D80" s="85" t="s">
        <v>1174</v>
      </c>
    </row>
    <row r="81" spans="1:4">
      <c r="A81" s="85">
        <v>7</v>
      </c>
      <c r="B81" s="85">
        <v>18</v>
      </c>
      <c r="C81" s="85">
        <f t="shared" si="1"/>
        <v>80</v>
      </c>
      <c r="D81" s="85" t="s">
        <v>1175</v>
      </c>
    </row>
    <row r="82" spans="1:4">
      <c r="A82" s="85">
        <v>7</v>
      </c>
      <c r="B82" s="85">
        <v>18</v>
      </c>
      <c r="C82" s="85">
        <f t="shared" si="1"/>
        <v>81</v>
      </c>
      <c r="D82" s="85" t="s">
        <v>1176</v>
      </c>
    </row>
    <row r="83" spans="1:4">
      <c r="A83" s="85">
        <v>7</v>
      </c>
      <c r="B83" s="85">
        <v>19</v>
      </c>
      <c r="C83" s="85">
        <f t="shared" si="1"/>
        <v>82</v>
      </c>
      <c r="D83" s="85" t="s">
        <v>1177</v>
      </c>
    </row>
    <row r="84" spans="1:4">
      <c r="A84" s="85">
        <v>7</v>
      </c>
      <c r="B84" s="85">
        <v>19</v>
      </c>
      <c r="C84" s="85">
        <f t="shared" si="1"/>
        <v>83</v>
      </c>
      <c r="D84" s="85" t="s">
        <v>1178</v>
      </c>
    </row>
    <row r="85" spans="1:4">
      <c r="A85" s="85">
        <v>7</v>
      </c>
      <c r="B85" s="85">
        <v>19</v>
      </c>
      <c r="C85" s="85">
        <f t="shared" si="1"/>
        <v>84</v>
      </c>
      <c r="D85" s="85" t="s">
        <v>1179</v>
      </c>
    </row>
    <row r="86" spans="1:4">
      <c r="A86" s="85">
        <v>7</v>
      </c>
      <c r="B86" s="85">
        <v>20</v>
      </c>
      <c r="C86" s="85">
        <f t="shared" si="1"/>
        <v>85</v>
      </c>
      <c r="D86" s="85" t="s">
        <v>1180</v>
      </c>
    </row>
    <row r="87" spans="1:4">
      <c r="A87" s="85">
        <v>7</v>
      </c>
      <c r="B87" s="85">
        <v>20</v>
      </c>
      <c r="C87" s="85">
        <f t="shared" si="1"/>
        <v>86</v>
      </c>
      <c r="D87" s="85" t="s">
        <v>1181</v>
      </c>
    </row>
    <row r="88" spans="1:4">
      <c r="A88" s="85">
        <v>7</v>
      </c>
      <c r="B88" s="85">
        <v>20</v>
      </c>
      <c r="C88" s="85">
        <f t="shared" si="1"/>
        <v>87</v>
      </c>
      <c r="D88" s="85" t="s">
        <v>1182</v>
      </c>
    </row>
    <row r="89" spans="1:4">
      <c r="A89" s="85">
        <v>7</v>
      </c>
      <c r="B89" s="85">
        <v>20</v>
      </c>
      <c r="C89" s="85">
        <f t="shared" si="1"/>
        <v>88</v>
      </c>
      <c r="D89" s="85" t="s">
        <v>1183</v>
      </c>
    </row>
    <row r="90" spans="1:4">
      <c r="A90" s="85">
        <v>8</v>
      </c>
      <c r="B90" s="85">
        <v>21</v>
      </c>
      <c r="C90" s="85">
        <f t="shared" si="1"/>
        <v>89</v>
      </c>
      <c r="D90" s="85" t="s">
        <v>1184</v>
      </c>
    </row>
    <row r="91" spans="1:4">
      <c r="A91" s="85">
        <v>8</v>
      </c>
      <c r="B91" s="85">
        <v>21</v>
      </c>
      <c r="C91" s="85">
        <f t="shared" si="1"/>
        <v>90</v>
      </c>
      <c r="D91" s="85" t="s">
        <v>1185</v>
      </c>
    </row>
    <row r="92" spans="1:4">
      <c r="A92" s="85">
        <v>8</v>
      </c>
      <c r="B92" s="85">
        <v>21</v>
      </c>
      <c r="C92" s="85">
        <f t="shared" si="1"/>
        <v>91</v>
      </c>
      <c r="D92" s="85" t="s">
        <v>1186</v>
      </c>
    </row>
    <row r="93" spans="1:4">
      <c r="A93" s="85">
        <v>8</v>
      </c>
      <c r="B93" s="85">
        <v>21</v>
      </c>
      <c r="C93" s="85">
        <f t="shared" si="1"/>
        <v>92</v>
      </c>
      <c r="D93" s="85" t="s">
        <v>1187</v>
      </c>
    </row>
    <row r="94" spans="1:4">
      <c r="A94" s="85">
        <v>8</v>
      </c>
      <c r="B94" s="85">
        <v>22</v>
      </c>
      <c r="C94" s="85">
        <f t="shared" ref="C94:C157" si="2">C93+1</f>
        <v>93</v>
      </c>
      <c r="D94" s="85" t="s">
        <v>1188</v>
      </c>
    </row>
    <row r="95" spans="1:4">
      <c r="A95" s="85">
        <v>8</v>
      </c>
      <c r="B95" s="85">
        <v>22</v>
      </c>
      <c r="C95" s="85">
        <f t="shared" si="2"/>
        <v>94</v>
      </c>
      <c r="D95" s="85" t="s">
        <v>1189</v>
      </c>
    </row>
    <row r="96" spans="1:4">
      <c r="A96" s="85">
        <v>8</v>
      </c>
      <c r="B96" s="85">
        <v>22</v>
      </c>
      <c r="C96" s="85">
        <f t="shared" si="2"/>
        <v>95</v>
      </c>
      <c r="D96" s="85" t="s">
        <v>1190</v>
      </c>
    </row>
    <row r="97" spans="1:4">
      <c r="A97" s="85">
        <v>8</v>
      </c>
      <c r="B97" s="85">
        <v>22</v>
      </c>
      <c r="C97" s="85">
        <f t="shared" si="2"/>
        <v>96</v>
      </c>
      <c r="D97" s="85" t="s">
        <v>1191</v>
      </c>
    </row>
    <row r="98" spans="1:4">
      <c r="A98" s="85">
        <v>8</v>
      </c>
      <c r="B98" s="85">
        <v>23</v>
      </c>
      <c r="C98" s="85">
        <f t="shared" si="2"/>
        <v>97</v>
      </c>
      <c r="D98" s="85" t="s">
        <v>1192</v>
      </c>
    </row>
    <row r="99" spans="1:4">
      <c r="A99" s="85">
        <v>8</v>
      </c>
      <c r="B99" s="85">
        <v>23</v>
      </c>
      <c r="C99" s="85">
        <f t="shared" si="2"/>
        <v>98</v>
      </c>
      <c r="D99" s="85" t="s">
        <v>1193</v>
      </c>
    </row>
    <row r="100" spans="1:4">
      <c r="A100" s="85">
        <v>8</v>
      </c>
      <c r="B100" s="85">
        <v>23</v>
      </c>
      <c r="C100" s="85">
        <f t="shared" si="2"/>
        <v>99</v>
      </c>
      <c r="D100" s="85" t="s">
        <v>1194</v>
      </c>
    </row>
    <row r="101" spans="1:4">
      <c r="A101" s="85">
        <v>8</v>
      </c>
      <c r="B101" s="85">
        <v>23</v>
      </c>
      <c r="C101" s="85">
        <f t="shared" si="2"/>
        <v>100</v>
      </c>
      <c r="D101" s="85" t="s">
        <v>1195</v>
      </c>
    </row>
    <row r="102" spans="1:4">
      <c r="A102" s="85">
        <v>8</v>
      </c>
      <c r="B102" s="85">
        <v>23</v>
      </c>
      <c r="C102" s="85">
        <f t="shared" si="2"/>
        <v>101</v>
      </c>
      <c r="D102" s="85" t="s">
        <v>1196</v>
      </c>
    </row>
    <row r="103" spans="1:4">
      <c r="A103" s="85">
        <v>8</v>
      </c>
      <c r="B103" s="85">
        <v>23</v>
      </c>
      <c r="C103" s="85">
        <f t="shared" si="2"/>
        <v>102</v>
      </c>
      <c r="D103" s="85" t="s">
        <v>1197</v>
      </c>
    </row>
    <row r="104" spans="1:4">
      <c r="A104" s="85">
        <v>9</v>
      </c>
      <c r="B104" s="85">
        <v>24</v>
      </c>
      <c r="C104" s="85">
        <f t="shared" si="2"/>
        <v>103</v>
      </c>
      <c r="D104" s="85" t="s">
        <v>1198</v>
      </c>
    </row>
    <row r="105" spans="1:4">
      <c r="A105" s="85">
        <v>9</v>
      </c>
      <c r="B105" s="85">
        <v>24</v>
      </c>
      <c r="C105" s="85">
        <f t="shared" si="2"/>
        <v>104</v>
      </c>
      <c r="D105" s="85" t="s">
        <v>1199</v>
      </c>
    </row>
    <row r="106" spans="1:4">
      <c r="A106" s="85">
        <v>9</v>
      </c>
      <c r="B106" s="85">
        <v>24</v>
      </c>
      <c r="C106" s="85">
        <f t="shared" si="2"/>
        <v>105</v>
      </c>
      <c r="D106" s="85" t="s">
        <v>1200</v>
      </c>
    </row>
    <row r="107" spans="1:4">
      <c r="A107" s="85">
        <v>9</v>
      </c>
      <c r="B107" s="85">
        <v>24</v>
      </c>
      <c r="C107" s="85">
        <f t="shared" si="2"/>
        <v>106</v>
      </c>
      <c r="D107" s="85" t="s">
        <v>1201</v>
      </c>
    </row>
    <row r="108" spans="1:4">
      <c r="A108" s="85">
        <v>9</v>
      </c>
      <c r="B108" s="85">
        <v>25</v>
      </c>
      <c r="C108" s="85">
        <f t="shared" si="2"/>
        <v>107</v>
      </c>
      <c r="D108" s="85" t="s">
        <v>1202</v>
      </c>
    </row>
    <row r="109" spans="1:4">
      <c r="A109" s="85">
        <v>9</v>
      </c>
      <c r="B109" s="85">
        <v>26</v>
      </c>
      <c r="C109" s="85">
        <f t="shared" si="2"/>
        <v>108</v>
      </c>
      <c r="D109" s="85" t="s">
        <v>1203</v>
      </c>
    </row>
    <row r="110" spans="1:4">
      <c r="A110" s="85">
        <v>9</v>
      </c>
      <c r="B110" s="85">
        <v>26</v>
      </c>
      <c r="C110" s="85">
        <f t="shared" si="2"/>
        <v>109</v>
      </c>
      <c r="D110" s="85" t="s">
        <v>1204</v>
      </c>
    </row>
    <row r="111" spans="1:4">
      <c r="A111" s="85">
        <v>9</v>
      </c>
      <c r="B111" s="85">
        <v>26</v>
      </c>
      <c r="C111" s="85">
        <f t="shared" si="2"/>
        <v>110</v>
      </c>
      <c r="D111" s="85" t="s">
        <v>1205</v>
      </c>
    </row>
    <row r="112" spans="1:4">
      <c r="A112" s="85">
        <v>9</v>
      </c>
      <c r="B112" s="85">
        <v>26</v>
      </c>
      <c r="C112" s="85">
        <f t="shared" si="2"/>
        <v>111</v>
      </c>
      <c r="D112" s="85" t="s">
        <v>1206</v>
      </c>
    </row>
    <row r="113" spans="1:4">
      <c r="A113" s="85">
        <v>9</v>
      </c>
      <c r="B113" s="85">
        <v>27</v>
      </c>
      <c r="C113" s="85">
        <f t="shared" si="2"/>
        <v>112</v>
      </c>
      <c r="D113" s="85" t="s">
        <v>1207</v>
      </c>
    </row>
    <row r="114" spans="1:4">
      <c r="A114" s="85">
        <v>9</v>
      </c>
      <c r="B114" s="85">
        <v>27</v>
      </c>
      <c r="C114" s="85">
        <f t="shared" si="2"/>
        <v>113</v>
      </c>
      <c r="D114" s="85" t="s">
        <v>1208</v>
      </c>
    </row>
    <row r="115" spans="1:4">
      <c r="A115" s="85">
        <v>9</v>
      </c>
      <c r="B115" s="85">
        <v>27</v>
      </c>
      <c r="C115" s="85">
        <f t="shared" si="2"/>
        <v>114</v>
      </c>
      <c r="D115" s="85" t="s">
        <v>1209</v>
      </c>
    </row>
    <row r="116" spans="1:4">
      <c r="A116" s="85">
        <v>10</v>
      </c>
      <c r="B116" s="85">
        <v>28</v>
      </c>
      <c r="C116" s="85">
        <f t="shared" si="2"/>
        <v>115</v>
      </c>
      <c r="D116" s="85" t="s">
        <v>1128</v>
      </c>
    </row>
    <row r="117" spans="1:4">
      <c r="A117" s="85">
        <v>10</v>
      </c>
      <c r="B117" s="85">
        <v>29</v>
      </c>
      <c r="C117" s="85">
        <f t="shared" si="2"/>
        <v>116</v>
      </c>
      <c r="D117" s="85" t="s">
        <v>1210</v>
      </c>
    </row>
    <row r="118" spans="1:4">
      <c r="A118" s="85">
        <v>10</v>
      </c>
      <c r="B118" s="85">
        <v>29</v>
      </c>
      <c r="C118" s="85">
        <f t="shared" si="2"/>
        <v>117</v>
      </c>
      <c r="D118" s="85" t="s">
        <v>1211</v>
      </c>
    </row>
    <row r="119" spans="1:4">
      <c r="A119" s="85">
        <v>10</v>
      </c>
      <c r="B119" s="85">
        <v>29</v>
      </c>
      <c r="C119" s="85">
        <f t="shared" si="2"/>
        <v>118</v>
      </c>
      <c r="D119" s="85" t="s">
        <v>1212</v>
      </c>
    </row>
    <row r="120" spans="1:4">
      <c r="A120" s="85">
        <v>10</v>
      </c>
      <c r="B120" s="85">
        <v>29</v>
      </c>
      <c r="C120" s="85">
        <f t="shared" si="2"/>
        <v>119</v>
      </c>
      <c r="D120" s="85" t="s">
        <v>1213</v>
      </c>
    </row>
    <row r="121" spans="1:4">
      <c r="A121" s="85">
        <v>10</v>
      </c>
      <c r="B121" s="85">
        <v>29</v>
      </c>
      <c r="C121" s="85">
        <f t="shared" si="2"/>
        <v>120</v>
      </c>
      <c r="D121" s="85" t="s">
        <v>1214</v>
      </c>
    </row>
    <row r="122" spans="1:4">
      <c r="A122" s="85">
        <v>10</v>
      </c>
      <c r="B122" s="85">
        <v>30</v>
      </c>
      <c r="C122" s="85">
        <f t="shared" si="2"/>
        <v>121</v>
      </c>
      <c r="D122" s="85" t="s">
        <v>1215</v>
      </c>
    </row>
    <row r="123" spans="1:4">
      <c r="A123" s="85">
        <v>10</v>
      </c>
      <c r="B123" s="85">
        <v>30</v>
      </c>
      <c r="C123" s="85">
        <f t="shared" si="2"/>
        <v>122</v>
      </c>
      <c r="D123" s="85" t="s">
        <v>1216</v>
      </c>
    </row>
    <row r="124" spans="1:4">
      <c r="A124" s="85">
        <v>10</v>
      </c>
      <c r="B124" s="85">
        <v>30</v>
      </c>
      <c r="C124" s="85">
        <f t="shared" si="2"/>
        <v>123</v>
      </c>
      <c r="D124" s="85" t="s">
        <v>1217</v>
      </c>
    </row>
    <row r="125" spans="1:4">
      <c r="A125" s="85">
        <v>10</v>
      </c>
      <c r="B125" s="85">
        <v>30</v>
      </c>
      <c r="C125" s="85">
        <f t="shared" si="2"/>
        <v>124</v>
      </c>
      <c r="D125" s="85" t="s">
        <v>1218</v>
      </c>
    </row>
    <row r="126" spans="1:4">
      <c r="A126" s="85">
        <v>10</v>
      </c>
      <c r="B126" s="85">
        <v>30</v>
      </c>
      <c r="C126" s="85">
        <f t="shared" si="2"/>
        <v>125</v>
      </c>
      <c r="D126" s="85" t="s">
        <v>1219</v>
      </c>
    </row>
    <row r="127" spans="1:4">
      <c r="A127" s="85">
        <v>11</v>
      </c>
      <c r="B127" s="85">
        <v>31</v>
      </c>
      <c r="C127" s="85">
        <f t="shared" si="2"/>
        <v>126</v>
      </c>
      <c r="D127" s="85" t="s">
        <v>1220</v>
      </c>
    </row>
    <row r="128" spans="1:4">
      <c r="A128" s="85">
        <v>11</v>
      </c>
      <c r="B128" s="85">
        <v>31</v>
      </c>
      <c r="C128" s="85">
        <f t="shared" si="2"/>
        <v>127</v>
      </c>
      <c r="D128" s="85" t="s">
        <v>1221</v>
      </c>
    </row>
    <row r="129" spans="1:4">
      <c r="A129" s="85">
        <v>11</v>
      </c>
      <c r="B129" s="85">
        <v>31</v>
      </c>
      <c r="C129" s="85">
        <f t="shared" si="2"/>
        <v>128</v>
      </c>
      <c r="D129" s="85" t="s">
        <v>1222</v>
      </c>
    </row>
    <row r="130" spans="1:4">
      <c r="A130" s="85">
        <v>11</v>
      </c>
      <c r="B130" s="85">
        <v>31</v>
      </c>
      <c r="C130" s="85">
        <f t="shared" si="2"/>
        <v>129</v>
      </c>
      <c r="D130" s="85" t="s">
        <v>1223</v>
      </c>
    </row>
    <row r="131" spans="1:4">
      <c r="A131" s="85">
        <v>11</v>
      </c>
      <c r="B131" s="85">
        <v>31</v>
      </c>
      <c r="C131" s="85">
        <f t="shared" si="2"/>
        <v>130</v>
      </c>
      <c r="D131" s="85" t="s">
        <v>1224</v>
      </c>
    </row>
    <row r="132" spans="1:4">
      <c r="A132" s="85">
        <v>11</v>
      </c>
      <c r="B132" s="85">
        <v>32</v>
      </c>
      <c r="C132" s="85">
        <f t="shared" si="2"/>
        <v>131</v>
      </c>
      <c r="D132" s="85" t="s">
        <v>1225</v>
      </c>
    </row>
    <row r="133" spans="1:4">
      <c r="A133" s="85">
        <v>11</v>
      </c>
      <c r="B133" s="85">
        <v>32</v>
      </c>
      <c r="C133" s="85">
        <f t="shared" si="2"/>
        <v>132</v>
      </c>
      <c r="D133" s="85" t="s">
        <v>1226</v>
      </c>
    </row>
    <row r="134" spans="1:4">
      <c r="A134" s="85">
        <v>11</v>
      </c>
      <c r="B134" s="85">
        <v>32</v>
      </c>
      <c r="C134" s="85">
        <f t="shared" si="2"/>
        <v>133</v>
      </c>
      <c r="D134" s="85" t="s">
        <v>1227</v>
      </c>
    </row>
    <row r="135" spans="1:4">
      <c r="A135" s="85">
        <v>11</v>
      </c>
      <c r="B135" s="85">
        <v>33</v>
      </c>
      <c r="C135" s="85">
        <f t="shared" si="2"/>
        <v>134</v>
      </c>
      <c r="D135" s="85" t="s">
        <v>1228</v>
      </c>
    </row>
    <row r="136" spans="1:4">
      <c r="A136" s="85">
        <v>11</v>
      </c>
      <c r="B136" s="85">
        <v>33</v>
      </c>
      <c r="C136" s="85">
        <f t="shared" si="2"/>
        <v>135</v>
      </c>
      <c r="D136" s="85" t="s">
        <v>1229</v>
      </c>
    </row>
    <row r="137" spans="1:4">
      <c r="A137" s="85">
        <v>11</v>
      </c>
      <c r="B137" s="85">
        <v>33</v>
      </c>
      <c r="C137" s="85">
        <f t="shared" si="2"/>
        <v>136</v>
      </c>
      <c r="D137" s="85" t="s">
        <v>1230</v>
      </c>
    </row>
    <row r="138" spans="1:4">
      <c r="A138" s="85">
        <v>11</v>
      </c>
      <c r="B138" s="85">
        <v>33</v>
      </c>
      <c r="C138" s="85">
        <f t="shared" si="2"/>
        <v>137</v>
      </c>
      <c r="D138" s="85" t="s">
        <v>1231</v>
      </c>
    </row>
    <row r="139" spans="1:4">
      <c r="A139" s="85">
        <v>12</v>
      </c>
      <c r="B139" s="85">
        <v>34</v>
      </c>
      <c r="C139" s="85">
        <f t="shared" si="2"/>
        <v>138</v>
      </c>
      <c r="D139" s="85" t="s">
        <v>1232</v>
      </c>
    </row>
    <row r="140" spans="1:4">
      <c r="A140" s="85">
        <v>12</v>
      </c>
      <c r="B140" s="85">
        <v>34</v>
      </c>
      <c r="C140" s="85">
        <f t="shared" si="2"/>
        <v>139</v>
      </c>
      <c r="D140" s="85" t="s">
        <v>1233</v>
      </c>
    </row>
    <row r="141" spans="1:4">
      <c r="A141" s="85">
        <v>12</v>
      </c>
      <c r="B141" s="85">
        <v>34</v>
      </c>
      <c r="C141" s="85">
        <f t="shared" si="2"/>
        <v>140</v>
      </c>
      <c r="D141" s="85" t="s">
        <v>1234</v>
      </c>
    </row>
    <row r="142" spans="1:4">
      <c r="A142" s="85">
        <v>12</v>
      </c>
      <c r="B142" s="85">
        <v>34</v>
      </c>
      <c r="C142" s="85">
        <f t="shared" si="2"/>
        <v>141</v>
      </c>
      <c r="D142" s="85" t="s">
        <v>1235</v>
      </c>
    </row>
    <row r="143" spans="1:4">
      <c r="A143" s="85">
        <v>12</v>
      </c>
      <c r="B143" s="85">
        <v>35</v>
      </c>
      <c r="C143" s="85">
        <f t="shared" si="2"/>
        <v>142</v>
      </c>
      <c r="D143" s="85" t="s">
        <v>1236</v>
      </c>
    </row>
    <row r="144" spans="1:4">
      <c r="A144" s="85">
        <v>12</v>
      </c>
      <c r="B144" s="85">
        <v>36</v>
      </c>
      <c r="C144" s="85">
        <f t="shared" si="2"/>
        <v>143</v>
      </c>
      <c r="D144" s="85" t="s">
        <v>1237</v>
      </c>
    </row>
    <row r="145" spans="1:4">
      <c r="A145" s="85">
        <v>12</v>
      </c>
      <c r="B145" s="85">
        <v>36</v>
      </c>
      <c r="C145" s="85">
        <f t="shared" si="2"/>
        <v>144</v>
      </c>
      <c r="D145" s="85" t="s">
        <v>1238</v>
      </c>
    </row>
    <row r="146" spans="1:4">
      <c r="A146" s="85">
        <v>12</v>
      </c>
      <c r="B146" s="85">
        <v>36</v>
      </c>
      <c r="C146" s="85">
        <f t="shared" si="2"/>
        <v>145</v>
      </c>
      <c r="D146" s="85" t="s">
        <v>1239</v>
      </c>
    </row>
    <row r="147" spans="1:4">
      <c r="A147" s="85">
        <v>12</v>
      </c>
      <c r="B147" s="85">
        <v>36</v>
      </c>
      <c r="C147" s="85">
        <f t="shared" si="2"/>
        <v>146</v>
      </c>
      <c r="D147" s="85" t="s">
        <v>1240</v>
      </c>
    </row>
    <row r="148" spans="1:4">
      <c r="A148" s="85">
        <v>13</v>
      </c>
      <c r="B148" s="85">
        <v>37</v>
      </c>
      <c r="C148" s="85">
        <f t="shared" si="2"/>
        <v>147</v>
      </c>
      <c r="D148" s="85" t="s">
        <v>1241</v>
      </c>
    </row>
    <row r="149" spans="1:4">
      <c r="A149" s="85">
        <v>13</v>
      </c>
      <c r="B149" s="85">
        <v>37</v>
      </c>
      <c r="C149" s="85">
        <f t="shared" si="2"/>
        <v>148</v>
      </c>
      <c r="D149" s="85" t="s">
        <v>1242</v>
      </c>
    </row>
    <row r="150" spans="1:4">
      <c r="A150" s="85">
        <v>13</v>
      </c>
      <c r="B150" s="85">
        <v>37</v>
      </c>
      <c r="C150" s="85">
        <f t="shared" si="2"/>
        <v>149</v>
      </c>
      <c r="D150" s="85" t="s">
        <v>1243</v>
      </c>
    </row>
    <row r="151" spans="1:4">
      <c r="A151" s="85">
        <v>13</v>
      </c>
      <c r="B151" s="85">
        <v>37</v>
      </c>
      <c r="C151" s="85">
        <f t="shared" si="2"/>
        <v>150</v>
      </c>
      <c r="D151" s="85" t="s">
        <v>1244</v>
      </c>
    </row>
    <row r="152" spans="1:4">
      <c r="A152" s="85">
        <v>13</v>
      </c>
      <c r="B152" s="85">
        <v>37</v>
      </c>
      <c r="C152" s="85">
        <f t="shared" si="2"/>
        <v>151</v>
      </c>
      <c r="D152" s="85" t="s">
        <v>1245</v>
      </c>
    </row>
    <row r="153" spans="1:4">
      <c r="A153" s="85">
        <v>13</v>
      </c>
      <c r="B153" s="85">
        <v>38</v>
      </c>
      <c r="C153" s="85">
        <f t="shared" si="2"/>
        <v>152</v>
      </c>
      <c r="D153" s="85" t="s">
        <v>1246</v>
      </c>
    </row>
    <row r="154" spans="1:4">
      <c r="A154" s="85">
        <v>13</v>
      </c>
      <c r="B154" s="85">
        <v>38</v>
      </c>
      <c r="C154" s="85">
        <f t="shared" si="2"/>
        <v>153</v>
      </c>
      <c r="D154" s="85" t="s">
        <v>1247</v>
      </c>
    </row>
    <row r="155" spans="1:4">
      <c r="A155" s="85">
        <v>13</v>
      </c>
      <c r="B155" s="85">
        <v>38</v>
      </c>
      <c r="C155" s="85">
        <f t="shared" si="2"/>
        <v>154</v>
      </c>
      <c r="D155" s="85" t="s">
        <v>1248</v>
      </c>
    </row>
    <row r="156" spans="1:4">
      <c r="A156" s="85">
        <v>13</v>
      </c>
      <c r="B156" s="85">
        <v>38</v>
      </c>
      <c r="C156" s="85">
        <f t="shared" si="2"/>
        <v>155</v>
      </c>
      <c r="D156" s="85" t="s">
        <v>1249</v>
      </c>
    </row>
    <row r="157" spans="1:4">
      <c r="A157" s="85">
        <v>13</v>
      </c>
      <c r="B157" s="85">
        <v>39</v>
      </c>
      <c r="C157" s="85">
        <f t="shared" si="2"/>
        <v>156</v>
      </c>
      <c r="D157" s="85" t="s">
        <v>1250</v>
      </c>
    </row>
    <row r="158" spans="1:4">
      <c r="A158" s="85">
        <v>13</v>
      </c>
      <c r="B158" s="85">
        <v>39</v>
      </c>
      <c r="C158" s="85">
        <f t="shared" ref="C158:C221" si="3">C157+1</f>
        <v>157</v>
      </c>
      <c r="D158" s="85" t="s">
        <v>1251</v>
      </c>
    </row>
    <row r="159" spans="1:4">
      <c r="A159" s="85">
        <v>14</v>
      </c>
      <c r="B159" s="85">
        <v>40</v>
      </c>
      <c r="C159" s="85">
        <f t="shared" si="3"/>
        <v>158</v>
      </c>
      <c r="D159" s="85" t="s">
        <v>1252</v>
      </c>
    </row>
    <row r="160" spans="1:4">
      <c r="A160" s="85">
        <v>14</v>
      </c>
      <c r="B160" s="85">
        <v>40</v>
      </c>
      <c r="C160" s="85">
        <f t="shared" si="3"/>
        <v>159</v>
      </c>
      <c r="D160" s="85" t="s">
        <v>1253</v>
      </c>
    </row>
    <row r="161" spans="1:4">
      <c r="A161" s="85">
        <v>14</v>
      </c>
      <c r="B161" s="85">
        <v>41</v>
      </c>
      <c r="C161" s="85">
        <f t="shared" si="3"/>
        <v>160</v>
      </c>
      <c r="D161" s="85" t="s">
        <v>1254</v>
      </c>
    </row>
    <row r="162" spans="1:4">
      <c r="A162" s="85">
        <v>14</v>
      </c>
      <c r="B162" s="85">
        <v>41</v>
      </c>
      <c r="C162" s="85">
        <f t="shared" si="3"/>
        <v>161</v>
      </c>
      <c r="D162" s="85" t="s">
        <v>1255</v>
      </c>
    </row>
    <row r="163" spans="1:4">
      <c r="A163" s="85">
        <v>14</v>
      </c>
      <c r="B163" s="85">
        <v>41</v>
      </c>
      <c r="C163" s="85">
        <f t="shared" si="3"/>
        <v>162</v>
      </c>
      <c r="D163" s="85" t="s">
        <v>1256</v>
      </c>
    </row>
    <row r="164" spans="1:4">
      <c r="A164" s="85">
        <v>14</v>
      </c>
      <c r="B164" s="85">
        <v>42</v>
      </c>
      <c r="C164" s="85">
        <f t="shared" si="3"/>
        <v>163</v>
      </c>
      <c r="D164" s="85" t="s">
        <v>1257</v>
      </c>
    </row>
    <row r="165" spans="1:4">
      <c r="A165" s="85">
        <v>14</v>
      </c>
      <c r="B165" s="85">
        <v>42</v>
      </c>
      <c r="C165" s="85">
        <f t="shared" si="3"/>
        <v>164</v>
      </c>
      <c r="D165" s="85" t="s">
        <v>1258</v>
      </c>
    </row>
    <row r="166" spans="1:4">
      <c r="A166" s="85">
        <v>14</v>
      </c>
      <c r="B166" s="85">
        <v>42</v>
      </c>
      <c r="C166" s="85">
        <f t="shared" si="3"/>
        <v>165</v>
      </c>
      <c r="D166" s="85" t="s">
        <v>1259</v>
      </c>
    </row>
    <row r="167" spans="1:4">
      <c r="A167" s="85">
        <v>14</v>
      </c>
      <c r="B167" s="85">
        <v>43</v>
      </c>
      <c r="C167" s="85">
        <f t="shared" si="3"/>
        <v>166</v>
      </c>
      <c r="D167" s="85" t="s">
        <v>1260</v>
      </c>
    </row>
    <row r="168" spans="1:4">
      <c r="A168" s="85">
        <v>14</v>
      </c>
      <c r="B168" s="85">
        <v>43</v>
      </c>
      <c r="C168" s="85">
        <f t="shared" si="3"/>
        <v>167</v>
      </c>
      <c r="D168" s="85" t="s">
        <v>1261</v>
      </c>
    </row>
    <row r="169" spans="1:4">
      <c r="A169" s="85">
        <v>14</v>
      </c>
      <c r="B169" s="85">
        <v>43</v>
      </c>
      <c r="C169" s="85">
        <f t="shared" si="3"/>
        <v>168</v>
      </c>
      <c r="D169" s="85" t="s">
        <v>1262</v>
      </c>
    </row>
    <row r="170" spans="1:4">
      <c r="A170" s="85">
        <v>15</v>
      </c>
      <c r="B170" s="85">
        <v>44</v>
      </c>
      <c r="C170" s="85">
        <f t="shared" si="3"/>
        <v>169</v>
      </c>
      <c r="D170" s="85" t="s">
        <v>1263</v>
      </c>
    </row>
    <row r="171" spans="1:4">
      <c r="A171" s="85">
        <v>15</v>
      </c>
      <c r="B171" s="85">
        <v>44</v>
      </c>
      <c r="C171" s="85">
        <f t="shared" si="3"/>
        <v>170</v>
      </c>
      <c r="D171" s="85" t="s">
        <v>1264</v>
      </c>
    </row>
    <row r="172" spans="1:4">
      <c r="A172" s="85">
        <v>15</v>
      </c>
      <c r="B172" s="85">
        <v>44</v>
      </c>
      <c r="C172" s="85">
        <f t="shared" si="3"/>
        <v>171</v>
      </c>
      <c r="D172" s="85" t="s">
        <v>1265</v>
      </c>
    </row>
    <row r="173" spans="1:4">
      <c r="A173" s="85">
        <v>15</v>
      </c>
      <c r="B173" s="85">
        <v>44</v>
      </c>
      <c r="C173" s="85">
        <f t="shared" si="3"/>
        <v>172</v>
      </c>
      <c r="D173" s="85" t="s">
        <v>1266</v>
      </c>
    </row>
    <row r="174" spans="1:4">
      <c r="A174" s="85">
        <v>15</v>
      </c>
      <c r="B174" s="85">
        <v>44</v>
      </c>
      <c r="C174" s="85">
        <f t="shared" si="3"/>
        <v>173</v>
      </c>
      <c r="D174" s="85" t="s">
        <v>1267</v>
      </c>
    </row>
    <row r="175" spans="1:4">
      <c r="A175" s="85">
        <v>15</v>
      </c>
      <c r="B175" s="85">
        <v>44</v>
      </c>
      <c r="C175" s="85">
        <f t="shared" si="3"/>
        <v>174</v>
      </c>
      <c r="D175" s="85" t="s">
        <v>1268</v>
      </c>
    </row>
    <row r="176" spans="1:4">
      <c r="A176" s="85">
        <v>15</v>
      </c>
      <c r="B176" s="85">
        <v>45</v>
      </c>
      <c r="C176" s="85">
        <f t="shared" si="3"/>
        <v>175</v>
      </c>
      <c r="D176" s="85" t="s">
        <v>1269</v>
      </c>
    </row>
    <row r="177" spans="1:4">
      <c r="A177" s="85">
        <v>15</v>
      </c>
      <c r="B177" s="85">
        <v>45</v>
      </c>
      <c r="C177" s="85">
        <f t="shared" si="3"/>
        <v>176</v>
      </c>
      <c r="D177" s="85" t="s">
        <v>1270</v>
      </c>
    </row>
    <row r="178" spans="1:4">
      <c r="A178" s="85">
        <v>15</v>
      </c>
      <c r="B178" s="85">
        <v>45</v>
      </c>
      <c r="C178" s="85">
        <f t="shared" si="3"/>
        <v>177</v>
      </c>
      <c r="D178" s="85" t="s">
        <v>1271</v>
      </c>
    </row>
    <row r="179" spans="1:4">
      <c r="A179" s="85">
        <v>15</v>
      </c>
      <c r="B179" s="85">
        <v>45</v>
      </c>
      <c r="C179" s="85">
        <f t="shared" si="3"/>
        <v>178</v>
      </c>
      <c r="D179" s="85" t="s">
        <v>1272</v>
      </c>
    </row>
    <row r="180" spans="1:4">
      <c r="A180" s="85">
        <v>15</v>
      </c>
      <c r="B180" s="85">
        <v>45</v>
      </c>
      <c r="C180" s="85">
        <f t="shared" si="3"/>
        <v>179</v>
      </c>
      <c r="D180" s="85" t="s">
        <v>1273</v>
      </c>
    </row>
    <row r="181" spans="1:4">
      <c r="A181" s="85">
        <v>15</v>
      </c>
      <c r="B181" s="85">
        <v>45</v>
      </c>
      <c r="C181" s="85">
        <f t="shared" si="3"/>
        <v>180</v>
      </c>
      <c r="D181" s="85" t="s">
        <v>1274</v>
      </c>
    </row>
    <row r="182" spans="1:4">
      <c r="A182" s="85">
        <v>15</v>
      </c>
      <c r="B182" s="85">
        <v>45</v>
      </c>
      <c r="C182" s="85">
        <f t="shared" si="3"/>
        <v>181</v>
      </c>
      <c r="D182" s="85" t="s">
        <v>1275</v>
      </c>
    </row>
    <row r="183" spans="1:4">
      <c r="A183" s="85">
        <v>15</v>
      </c>
      <c r="B183" s="85">
        <v>45</v>
      </c>
      <c r="C183" s="85">
        <f t="shared" si="3"/>
        <v>182</v>
      </c>
      <c r="D183" s="85" t="s">
        <v>1276</v>
      </c>
    </row>
    <row r="184" spans="1:4">
      <c r="A184" s="85">
        <v>15</v>
      </c>
      <c r="B184" s="85">
        <v>45</v>
      </c>
      <c r="C184" s="85">
        <f t="shared" si="3"/>
        <v>183</v>
      </c>
      <c r="D184" s="85" t="s">
        <v>1277</v>
      </c>
    </row>
    <row r="185" spans="1:4">
      <c r="A185" s="85">
        <v>15</v>
      </c>
      <c r="B185" s="85">
        <v>45</v>
      </c>
      <c r="C185" s="85">
        <f t="shared" si="3"/>
        <v>184</v>
      </c>
      <c r="D185" s="85" t="s">
        <v>1278</v>
      </c>
    </row>
    <row r="186" spans="1:4">
      <c r="A186" s="85">
        <v>15</v>
      </c>
      <c r="B186" s="85">
        <v>45</v>
      </c>
      <c r="C186" s="85">
        <f t="shared" si="3"/>
        <v>185</v>
      </c>
      <c r="D186" s="85" t="s">
        <v>1279</v>
      </c>
    </row>
    <row r="187" spans="1:4">
      <c r="A187" s="85">
        <v>15</v>
      </c>
      <c r="B187" s="85">
        <v>45</v>
      </c>
      <c r="C187" s="85">
        <f t="shared" si="3"/>
        <v>186</v>
      </c>
      <c r="D187" s="85" t="s">
        <v>1280</v>
      </c>
    </row>
    <row r="188" spans="1:4">
      <c r="A188" s="85">
        <v>15</v>
      </c>
      <c r="B188" s="85">
        <v>45</v>
      </c>
      <c r="C188" s="85">
        <f t="shared" si="3"/>
        <v>187</v>
      </c>
      <c r="D188" s="85" t="s">
        <v>1281</v>
      </c>
    </row>
    <row r="189" spans="1:4">
      <c r="A189" s="85">
        <v>15</v>
      </c>
      <c r="B189" s="85">
        <v>45</v>
      </c>
      <c r="C189" s="85">
        <f t="shared" si="3"/>
        <v>188</v>
      </c>
      <c r="D189" s="85" t="s">
        <v>1282</v>
      </c>
    </row>
    <row r="190" spans="1:4">
      <c r="A190" s="85">
        <v>16</v>
      </c>
      <c r="B190" s="85">
        <v>46</v>
      </c>
      <c r="C190" s="85">
        <f t="shared" si="3"/>
        <v>189</v>
      </c>
      <c r="D190" s="85" t="s">
        <v>1283</v>
      </c>
    </row>
    <row r="191" spans="1:4">
      <c r="A191" s="85">
        <v>16</v>
      </c>
      <c r="B191" s="85">
        <v>46</v>
      </c>
      <c r="C191" s="85">
        <f t="shared" si="3"/>
        <v>190</v>
      </c>
      <c r="D191" s="85" t="s">
        <v>1284</v>
      </c>
    </row>
    <row r="192" spans="1:4">
      <c r="A192" s="85">
        <v>16</v>
      </c>
      <c r="B192" s="85">
        <v>46</v>
      </c>
      <c r="C192" s="85">
        <f t="shared" si="3"/>
        <v>191</v>
      </c>
      <c r="D192" s="85" t="s">
        <v>1285</v>
      </c>
    </row>
    <row r="193" spans="1:4">
      <c r="A193" s="85">
        <v>16</v>
      </c>
      <c r="B193" s="85">
        <v>46</v>
      </c>
      <c r="C193" s="85">
        <f t="shared" si="3"/>
        <v>192</v>
      </c>
      <c r="D193" s="85" t="s">
        <v>1286</v>
      </c>
    </row>
    <row r="194" spans="1:4">
      <c r="A194" s="85">
        <v>16</v>
      </c>
      <c r="B194" s="85">
        <v>47</v>
      </c>
      <c r="C194" s="85">
        <f t="shared" si="3"/>
        <v>193</v>
      </c>
      <c r="D194" s="85" t="s">
        <v>1287</v>
      </c>
    </row>
    <row r="195" spans="1:4">
      <c r="A195" s="85">
        <v>16</v>
      </c>
      <c r="B195" s="85">
        <v>47</v>
      </c>
      <c r="C195" s="85">
        <f t="shared" si="3"/>
        <v>194</v>
      </c>
      <c r="D195" s="85" t="s">
        <v>1288</v>
      </c>
    </row>
    <row r="196" spans="1:4">
      <c r="A196" s="85">
        <v>16</v>
      </c>
      <c r="B196" s="85">
        <v>47</v>
      </c>
      <c r="C196" s="85">
        <f t="shared" si="3"/>
        <v>195</v>
      </c>
      <c r="D196" s="85" t="s">
        <v>1289</v>
      </c>
    </row>
    <row r="197" spans="1:4">
      <c r="A197" s="85">
        <v>16</v>
      </c>
      <c r="B197" s="85">
        <v>47</v>
      </c>
      <c r="C197" s="85">
        <f t="shared" si="3"/>
        <v>196</v>
      </c>
      <c r="D197" s="85" t="s">
        <v>1290</v>
      </c>
    </row>
    <row r="198" spans="1:4">
      <c r="A198" s="85">
        <v>16</v>
      </c>
      <c r="B198" s="85">
        <v>47</v>
      </c>
      <c r="C198" s="85">
        <f t="shared" si="3"/>
        <v>197</v>
      </c>
      <c r="D198" s="85" t="s">
        <v>1291</v>
      </c>
    </row>
    <row r="199" spans="1:4">
      <c r="A199" s="85">
        <v>16</v>
      </c>
      <c r="B199" s="85">
        <v>47</v>
      </c>
      <c r="C199" s="85">
        <f t="shared" si="3"/>
        <v>198</v>
      </c>
      <c r="D199" s="85" t="s">
        <v>1292</v>
      </c>
    </row>
    <row r="200" spans="1:4">
      <c r="A200" s="85">
        <v>17</v>
      </c>
      <c r="B200" s="85">
        <v>48</v>
      </c>
      <c r="C200" s="85">
        <f t="shared" si="3"/>
        <v>199</v>
      </c>
      <c r="D200" s="85" t="s">
        <v>1293</v>
      </c>
    </row>
    <row r="201" spans="1:4">
      <c r="A201" s="85">
        <v>17</v>
      </c>
      <c r="B201" s="85">
        <v>48</v>
      </c>
      <c r="C201" s="85">
        <f t="shared" si="3"/>
        <v>200</v>
      </c>
      <c r="D201" s="85" t="s">
        <v>1294</v>
      </c>
    </row>
    <row r="202" spans="1:4">
      <c r="A202" s="85">
        <v>17</v>
      </c>
      <c r="B202" s="85">
        <v>48</v>
      </c>
      <c r="C202" s="85">
        <f t="shared" si="3"/>
        <v>201</v>
      </c>
      <c r="D202" s="85" t="s">
        <v>1295</v>
      </c>
    </row>
    <row r="203" spans="1:4">
      <c r="A203" s="85">
        <v>17</v>
      </c>
      <c r="B203" s="85">
        <v>48</v>
      </c>
      <c r="C203" s="85">
        <f t="shared" si="3"/>
        <v>202</v>
      </c>
      <c r="D203" s="85" t="s">
        <v>1296</v>
      </c>
    </row>
    <row r="204" spans="1:4">
      <c r="A204" s="85">
        <v>17</v>
      </c>
      <c r="B204" s="85">
        <v>48</v>
      </c>
      <c r="C204" s="85">
        <f t="shared" si="3"/>
        <v>203</v>
      </c>
      <c r="D204" s="85" t="s">
        <v>1297</v>
      </c>
    </row>
    <row r="205" spans="1:4">
      <c r="A205" s="85">
        <v>17</v>
      </c>
      <c r="B205" s="85">
        <v>48</v>
      </c>
      <c r="C205" s="85">
        <f t="shared" si="3"/>
        <v>204</v>
      </c>
      <c r="D205" s="85" t="s">
        <v>1298</v>
      </c>
    </row>
    <row r="206" spans="1:4">
      <c r="A206" s="85">
        <v>17</v>
      </c>
      <c r="B206" s="85">
        <v>48</v>
      </c>
      <c r="C206" s="85">
        <f t="shared" si="3"/>
        <v>205</v>
      </c>
      <c r="D206" s="85" t="s">
        <v>1299</v>
      </c>
    </row>
    <row r="207" spans="1:4">
      <c r="A207" s="85">
        <v>17</v>
      </c>
      <c r="B207" s="85">
        <v>49</v>
      </c>
      <c r="C207" s="85">
        <f t="shared" si="3"/>
        <v>206</v>
      </c>
      <c r="D207" s="85" t="s">
        <v>1300</v>
      </c>
    </row>
    <row r="208" spans="1:4">
      <c r="A208" s="85">
        <v>17</v>
      </c>
      <c r="B208" s="85">
        <v>49</v>
      </c>
      <c r="C208" s="85">
        <f t="shared" si="3"/>
        <v>207</v>
      </c>
      <c r="D208" s="85" t="s">
        <v>1301</v>
      </c>
    </row>
    <row r="209" spans="1:4">
      <c r="A209" s="85">
        <v>17</v>
      </c>
      <c r="B209" s="85">
        <v>49</v>
      </c>
      <c r="C209" s="85">
        <f t="shared" si="3"/>
        <v>208</v>
      </c>
      <c r="D209" s="85" t="s">
        <v>1302</v>
      </c>
    </row>
    <row r="210" spans="1:4">
      <c r="A210" s="85">
        <v>17</v>
      </c>
      <c r="B210" s="85">
        <v>49</v>
      </c>
      <c r="C210" s="85">
        <f t="shared" si="3"/>
        <v>209</v>
      </c>
      <c r="D210" s="85" t="s">
        <v>1303</v>
      </c>
    </row>
    <row r="211" spans="1:4">
      <c r="A211" s="85">
        <v>17</v>
      </c>
      <c r="B211" s="85">
        <v>50</v>
      </c>
      <c r="C211" s="85">
        <f t="shared" si="3"/>
        <v>210</v>
      </c>
      <c r="D211" s="85" t="s">
        <v>1304</v>
      </c>
    </row>
    <row r="212" spans="1:4">
      <c r="A212" s="85">
        <v>17</v>
      </c>
      <c r="B212" s="85">
        <v>50</v>
      </c>
      <c r="C212" s="85">
        <f t="shared" si="3"/>
        <v>211</v>
      </c>
      <c r="D212" s="85" t="s">
        <v>1305</v>
      </c>
    </row>
    <row r="213" spans="1:4">
      <c r="A213" s="85">
        <v>17</v>
      </c>
      <c r="B213" s="85">
        <v>50</v>
      </c>
      <c r="C213" s="85">
        <f t="shared" si="3"/>
        <v>212</v>
      </c>
      <c r="D213" s="85" t="s">
        <v>1306</v>
      </c>
    </row>
    <row r="214" spans="1:4">
      <c r="A214" s="85">
        <v>18</v>
      </c>
      <c r="B214" s="85">
        <v>51</v>
      </c>
      <c r="C214" s="85">
        <f t="shared" si="3"/>
        <v>213</v>
      </c>
      <c r="D214" s="85" t="s">
        <v>1307</v>
      </c>
    </row>
    <row r="215" spans="1:4">
      <c r="A215" s="85">
        <v>18</v>
      </c>
      <c r="B215" s="85">
        <v>51</v>
      </c>
      <c r="C215" s="85">
        <f t="shared" si="3"/>
        <v>214</v>
      </c>
      <c r="D215" s="85" t="s">
        <v>1308</v>
      </c>
    </row>
    <row r="216" spans="1:4">
      <c r="A216" s="85">
        <v>18</v>
      </c>
      <c r="B216" s="85">
        <v>51</v>
      </c>
      <c r="C216" s="85">
        <f t="shared" si="3"/>
        <v>215</v>
      </c>
      <c r="D216" s="85" t="s">
        <v>1309</v>
      </c>
    </row>
    <row r="217" spans="1:4">
      <c r="A217" s="85">
        <v>18</v>
      </c>
      <c r="B217" s="85">
        <v>51</v>
      </c>
      <c r="C217" s="85">
        <f t="shared" si="3"/>
        <v>216</v>
      </c>
      <c r="D217" s="85" t="s">
        <v>1310</v>
      </c>
    </row>
    <row r="218" spans="1:4">
      <c r="A218" s="85">
        <v>18</v>
      </c>
      <c r="B218" s="85">
        <v>52</v>
      </c>
      <c r="C218" s="85">
        <f t="shared" si="3"/>
        <v>217</v>
      </c>
      <c r="D218" s="85" t="s">
        <v>1311</v>
      </c>
    </row>
    <row r="219" spans="1:4">
      <c r="A219" s="85">
        <v>18</v>
      </c>
      <c r="B219" s="85">
        <v>52</v>
      </c>
      <c r="C219" s="85">
        <f t="shared" si="3"/>
        <v>218</v>
      </c>
      <c r="D219" s="85" t="s">
        <v>1312</v>
      </c>
    </row>
    <row r="220" spans="1:4">
      <c r="A220" s="85">
        <v>18</v>
      </c>
      <c r="B220" s="85">
        <v>52</v>
      </c>
      <c r="C220" s="85">
        <f t="shared" si="3"/>
        <v>219</v>
      </c>
      <c r="D220" s="85" t="s">
        <v>1313</v>
      </c>
    </row>
    <row r="221" spans="1:4">
      <c r="A221" s="85">
        <v>18</v>
      </c>
      <c r="B221" s="85">
        <v>52</v>
      </c>
      <c r="C221" s="85">
        <f t="shared" si="3"/>
        <v>220</v>
      </c>
      <c r="D221" s="85" t="s">
        <v>1314</v>
      </c>
    </row>
    <row r="222" spans="1:4">
      <c r="A222" s="85">
        <v>18</v>
      </c>
      <c r="B222" s="85">
        <v>52</v>
      </c>
      <c r="C222" s="85">
        <f t="shared" ref="C222:C285" si="4">C221+1</f>
        <v>221</v>
      </c>
      <c r="D222" s="85" t="s">
        <v>1315</v>
      </c>
    </row>
    <row r="223" spans="1:4">
      <c r="A223" s="85">
        <v>19</v>
      </c>
      <c r="B223" s="85">
        <v>53</v>
      </c>
      <c r="C223" s="85">
        <f t="shared" si="4"/>
        <v>222</v>
      </c>
      <c r="D223" s="85" t="s">
        <v>1316</v>
      </c>
    </row>
    <row r="224" spans="1:4">
      <c r="A224" s="85">
        <v>19</v>
      </c>
      <c r="B224" s="85">
        <v>53</v>
      </c>
      <c r="C224" s="85">
        <f t="shared" si="4"/>
        <v>223</v>
      </c>
      <c r="D224" s="85" t="s">
        <v>1317</v>
      </c>
    </row>
    <row r="225" spans="1:4">
      <c r="A225" s="85">
        <v>19</v>
      </c>
      <c r="B225" s="85">
        <v>53</v>
      </c>
      <c r="C225" s="85">
        <f t="shared" si="4"/>
        <v>224</v>
      </c>
      <c r="D225" s="85" t="s">
        <v>1318</v>
      </c>
    </row>
    <row r="226" spans="1:4">
      <c r="A226" s="85">
        <v>19</v>
      </c>
      <c r="B226" s="85">
        <v>53</v>
      </c>
      <c r="C226" s="85">
        <f t="shared" si="4"/>
        <v>225</v>
      </c>
      <c r="D226" s="85" t="s">
        <v>1319</v>
      </c>
    </row>
    <row r="227" spans="1:4">
      <c r="A227" s="85">
        <v>20</v>
      </c>
      <c r="B227" s="85">
        <v>54</v>
      </c>
      <c r="C227" s="85">
        <f t="shared" si="4"/>
        <v>226</v>
      </c>
      <c r="D227" s="85" t="s">
        <v>1320</v>
      </c>
    </row>
    <row r="228" spans="1:4">
      <c r="A228" s="85">
        <v>20</v>
      </c>
      <c r="B228" s="85">
        <v>54</v>
      </c>
      <c r="C228" s="85">
        <f t="shared" si="4"/>
        <v>227</v>
      </c>
      <c r="D228" s="85" t="s">
        <v>1321</v>
      </c>
    </row>
    <row r="229" spans="1:4">
      <c r="A229" s="85">
        <v>20</v>
      </c>
      <c r="B229" s="85">
        <v>54</v>
      </c>
      <c r="C229" s="85">
        <f t="shared" si="4"/>
        <v>228</v>
      </c>
      <c r="D229" s="85" t="s">
        <v>1322</v>
      </c>
    </row>
    <row r="230" spans="1:4">
      <c r="A230" s="85">
        <v>20</v>
      </c>
      <c r="B230" s="85">
        <v>54</v>
      </c>
      <c r="C230" s="85">
        <f t="shared" si="4"/>
        <v>229</v>
      </c>
      <c r="D230" s="85" t="s">
        <v>1323</v>
      </c>
    </row>
    <row r="231" spans="1:4">
      <c r="A231" s="85">
        <v>20</v>
      </c>
      <c r="B231" s="85">
        <v>54</v>
      </c>
      <c r="C231" s="85">
        <f t="shared" si="4"/>
        <v>230</v>
      </c>
      <c r="D231" s="85" t="s">
        <v>1324</v>
      </c>
    </row>
    <row r="232" spans="1:4">
      <c r="A232" s="85">
        <v>20</v>
      </c>
      <c r="B232" s="85">
        <v>54</v>
      </c>
      <c r="C232" s="85">
        <f t="shared" si="4"/>
        <v>231</v>
      </c>
      <c r="D232" s="85" t="s">
        <v>1325</v>
      </c>
    </row>
    <row r="233" spans="1:4">
      <c r="A233" s="85">
        <v>20</v>
      </c>
      <c r="B233" s="85">
        <v>54</v>
      </c>
      <c r="C233" s="85">
        <f t="shared" si="4"/>
        <v>232</v>
      </c>
      <c r="D233" s="85" t="s">
        <v>1326</v>
      </c>
    </row>
    <row r="234" spans="1:4">
      <c r="A234" s="85">
        <v>20</v>
      </c>
      <c r="B234" s="85">
        <v>54</v>
      </c>
      <c r="C234" s="85">
        <f t="shared" si="4"/>
        <v>233</v>
      </c>
      <c r="D234" s="85" t="s">
        <v>1327</v>
      </c>
    </row>
    <row r="235" spans="1:4">
      <c r="A235" s="85">
        <v>20</v>
      </c>
      <c r="B235" s="85">
        <v>54</v>
      </c>
      <c r="C235" s="85">
        <f t="shared" si="4"/>
        <v>234</v>
      </c>
      <c r="D235" s="85" t="s">
        <v>1328</v>
      </c>
    </row>
    <row r="236" spans="1:4">
      <c r="A236" s="85">
        <v>20</v>
      </c>
      <c r="B236" s="85">
        <v>54</v>
      </c>
      <c r="C236" s="85">
        <f t="shared" si="4"/>
        <v>235</v>
      </c>
      <c r="D236" s="85" t="s">
        <v>1329</v>
      </c>
    </row>
    <row r="237" spans="1:4">
      <c r="A237" s="85">
        <v>20</v>
      </c>
      <c r="B237" s="85">
        <v>55</v>
      </c>
      <c r="C237" s="85">
        <f t="shared" si="4"/>
        <v>236</v>
      </c>
      <c r="D237" s="85" t="s">
        <v>1330</v>
      </c>
    </row>
    <row r="238" spans="1:4">
      <c r="A238" s="85">
        <v>20</v>
      </c>
      <c r="B238" s="85">
        <v>55</v>
      </c>
      <c r="C238" s="85">
        <f t="shared" si="4"/>
        <v>237</v>
      </c>
      <c r="D238" s="85" t="s">
        <v>1331</v>
      </c>
    </row>
    <row r="239" spans="1:4">
      <c r="A239" s="85">
        <v>20</v>
      </c>
      <c r="B239" s="85">
        <v>55</v>
      </c>
      <c r="C239" s="85">
        <f t="shared" si="4"/>
        <v>238</v>
      </c>
      <c r="D239" s="85" t="s">
        <v>1332</v>
      </c>
    </row>
    <row r="240" spans="1:4">
      <c r="A240" s="85">
        <v>20</v>
      </c>
      <c r="B240" s="85">
        <v>55</v>
      </c>
      <c r="C240" s="85">
        <f t="shared" si="4"/>
        <v>239</v>
      </c>
      <c r="D240" s="85" t="s">
        <v>1333</v>
      </c>
    </row>
    <row r="241" spans="1:4">
      <c r="A241" s="85">
        <v>20</v>
      </c>
      <c r="B241" s="85">
        <v>55</v>
      </c>
      <c r="C241" s="85">
        <f t="shared" si="4"/>
        <v>240</v>
      </c>
      <c r="D241" s="85" t="s">
        <v>1334</v>
      </c>
    </row>
    <row r="242" spans="1:4">
      <c r="A242" s="85">
        <v>20</v>
      </c>
      <c r="B242" s="85">
        <v>55</v>
      </c>
      <c r="C242" s="85">
        <f t="shared" si="4"/>
        <v>241</v>
      </c>
      <c r="D242" s="85" t="s">
        <v>1335</v>
      </c>
    </row>
    <row r="243" spans="1:4">
      <c r="A243" s="85">
        <v>20</v>
      </c>
      <c r="B243" s="85">
        <v>55</v>
      </c>
      <c r="C243" s="85">
        <f t="shared" si="4"/>
        <v>242</v>
      </c>
      <c r="D243" s="85" t="s">
        <v>1336</v>
      </c>
    </row>
    <row r="244" spans="1:4">
      <c r="A244" s="85">
        <v>20</v>
      </c>
      <c r="B244" s="85">
        <v>55</v>
      </c>
      <c r="C244" s="85">
        <f t="shared" si="4"/>
        <v>243</v>
      </c>
      <c r="D244" s="85" t="s">
        <v>1337</v>
      </c>
    </row>
    <row r="245" spans="1:4">
      <c r="A245" s="85">
        <v>20</v>
      </c>
      <c r="B245" s="85">
        <v>55</v>
      </c>
      <c r="C245" s="85">
        <f t="shared" si="4"/>
        <v>244</v>
      </c>
      <c r="D245" s="85" t="s">
        <v>1338</v>
      </c>
    </row>
    <row r="246" spans="1:4">
      <c r="A246" s="85">
        <v>20</v>
      </c>
      <c r="B246" s="85">
        <v>55</v>
      </c>
      <c r="C246" s="85">
        <f t="shared" si="4"/>
        <v>245</v>
      </c>
      <c r="D246" s="85" t="s">
        <v>1339</v>
      </c>
    </row>
    <row r="247" spans="1:4">
      <c r="A247" s="85">
        <v>21</v>
      </c>
      <c r="B247" s="85">
        <v>56</v>
      </c>
      <c r="C247" s="85">
        <f t="shared" si="4"/>
        <v>246</v>
      </c>
      <c r="D247" s="85" t="s">
        <v>1340</v>
      </c>
    </row>
    <row r="248" spans="1:4">
      <c r="A248" s="85">
        <v>21</v>
      </c>
      <c r="B248" s="85">
        <v>56</v>
      </c>
      <c r="C248" s="85">
        <f t="shared" si="4"/>
        <v>247</v>
      </c>
      <c r="D248" s="85" t="s">
        <v>1341</v>
      </c>
    </row>
    <row r="249" spans="1:4">
      <c r="A249" s="85">
        <v>21</v>
      </c>
      <c r="B249" s="85">
        <v>56</v>
      </c>
      <c r="C249" s="85">
        <f t="shared" si="4"/>
        <v>248</v>
      </c>
      <c r="D249" s="85" t="s">
        <v>1342</v>
      </c>
    </row>
    <row r="250" spans="1:4">
      <c r="A250" s="85">
        <v>21</v>
      </c>
      <c r="B250" s="85">
        <v>56</v>
      </c>
      <c r="C250" s="85">
        <f t="shared" si="4"/>
        <v>249</v>
      </c>
      <c r="D250" s="85" t="s">
        <v>1343</v>
      </c>
    </row>
    <row r="251" spans="1:4">
      <c r="A251" s="85">
        <v>21</v>
      </c>
      <c r="B251" s="85">
        <v>57</v>
      </c>
      <c r="C251" s="85">
        <f t="shared" si="4"/>
        <v>250</v>
      </c>
      <c r="D251" s="85" t="s">
        <v>1344</v>
      </c>
    </row>
    <row r="252" spans="1:4">
      <c r="A252" s="85">
        <v>21</v>
      </c>
      <c r="B252" s="85">
        <v>57</v>
      </c>
      <c r="C252" s="85">
        <f t="shared" si="4"/>
        <v>251</v>
      </c>
      <c r="D252" s="85" t="s">
        <v>1345</v>
      </c>
    </row>
    <row r="253" spans="1:4">
      <c r="A253" s="85">
        <v>21</v>
      </c>
      <c r="B253" s="85">
        <v>57</v>
      </c>
      <c r="C253" s="85">
        <f t="shared" si="4"/>
        <v>252</v>
      </c>
      <c r="D253" s="85" t="s">
        <v>1346</v>
      </c>
    </row>
    <row r="254" spans="1:4">
      <c r="A254" s="85">
        <v>21</v>
      </c>
      <c r="B254" s="85">
        <v>57</v>
      </c>
      <c r="C254" s="85">
        <f t="shared" si="4"/>
        <v>253</v>
      </c>
      <c r="D254" s="85" t="s">
        <v>1347</v>
      </c>
    </row>
    <row r="255" spans="1:4">
      <c r="A255" s="85">
        <v>21</v>
      </c>
      <c r="B255" s="85">
        <v>58</v>
      </c>
      <c r="C255" s="85">
        <f t="shared" si="4"/>
        <v>254</v>
      </c>
      <c r="D255" s="85" t="s">
        <v>1348</v>
      </c>
    </row>
    <row r="256" spans="1:4">
      <c r="A256" s="85">
        <v>21</v>
      </c>
      <c r="B256" s="85">
        <v>58</v>
      </c>
      <c r="C256" s="85">
        <f t="shared" si="4"/>
        <v>255</v>
      </c>
      <c r="D256" s="85" t="s">
        <v>1349</v>
      </c>
    </row>
    <row r="257" spans="1:4">
      <c r="A257" s="85">
        <v>21</v>
      </c>
      <c r="B257" s="85">
        <v>58</v>
      </c>
      <c r="C257" s="85">
        <f t="shared" si="4"/>
        <v>256</v>
      </c>
      <c r="D257" s="85" t="s">
        <v>1350</v>
      </c>
    </row>
    <row r="258" spans="1:4">
      <c r="A258" s="85">
        <v>21</v>
      </c>
      <c r="B258" s="85">
        <v>58</v>
      </c>
      <c r="C258" s="85">
        <f t="shared" si="4"/>
        <v>257</v>
      </c>
      <c r="D258" s="85" t="s">
        <v>1351</v>
      </c>
    </row>
    <row r="259" spans="1:4">
      <c r="A259" s="85">
        <v>22</v>
      </c>
      <c r="B259" s="85">
        <v>59</v>
      </c>
      <c r="C259" s="85">
        <f t="shared" si="4"/>
        <v>258</v>
      </c>
      <c r="D259" s="85" t="s">
        <v>1352</v>
      </c>
    </row>
    <row r="260" spans="1:4">
      <c r="A260" s="85">
        <v>22</v>
      </c>
      <c r="B260" s="85">
        <v>59</v>
      </c>
      <c r="C260" s="85">
        <f t="shared" si="4"/>
        <v>259</v>
      </c>
      <c r="D260" s="85" t="s">
        <v>1353</v>
      </c>
    </row>
    <row r="261" spans="1:4">
      <c r="A261" s="85">
        <v>22</v>
      </c>
      <c r="B261" s="85">
        <v>59</v>
      </c>
      <c r="C261" s="85">
        <f t="shared" si="4"/>
        <v>260</v>
      </c>
      <c r="D261" s="85" t="s">
        <v>1354</v>
      </c>
    </row>
    <row r="262" spans="1:4">
      <c r="A262" s="85">
        <v>22</v>
      </c>
      <c r="B262" s="85">
        <v>59</v>
      </c>
      <c r="C262" s="85">
        <f t="shared" si="4"/>
        <v>261</v>
      </c>
      <c r="D262" s="85" t="s">
        <v>1355</v>
      </c>
    </row>
    <row r="263" spans="1:4">
      <c r="A263" s="85">
        <v>22</v>
      </c>
      <c r="B263" s="85">
        <v>60</v>
      </c>
      <c r="C263" s="85">
        <f t="shared" si="4"/>
        <v>262</v>
      </c>
      <c r="D263" s="85" t="s">
        <v>1356</v>
      </c>
    </row>
    <row r="264" spans="1:4">
      <c r="A264" s="85">
        <v>22</v>
      </c>
      <c r="B264" s="85">
        <v>60</v>
      </c>
      <c r="C264" s="85">
        <f t="shared" si="4"/>
        <v>263</v>
      </c>
      <c r="D264" s="85" t="s">
        <v>1357</v>
      </c>
    </row>
    <row r="265" spans="1:4">
      <c r="A265" s="85">
        <v>22</v>
      </c>
      <c r="B265" s="85">
        <v>60</v>
      </c>
      <c r="C265" s="85">
        <f t="shared" si="4"/>
        <v>264</v>
      </c>
      <c r="D265" s="85" t="s">
        <v>1358</v>
      </c>
    </row>
    <row r="266" spans="1:4">
      <c r="A266" s="85">
        <v>22</v>
      </c>
      <c r="B266" s="85">
        <v>60</v>
      </c>
      <c r="C266" s="85">
        <f t="shared" si="4"/>
        <v>265</v>
      </c>
      <c r="D266" s="85" t="s">
        <v>1359</v>
      </c>
    </row>
    <row r="267" spans="1:4">
      <c r="A267" s="85">
        <v>22</v>
      </c>
      <c r="B267" s="85">
        <v>60</v>
      </c>
      <c r="C267" s="85">
        <f t="shared" si="4"/>
        <v>266</v>
      </c>
      <c r="D267" s="85" t="s">
        <v>1360</v>
      </c>
    </row>
    <row r="268" spans="1:4">
      <c r="A268" s="85">
        <v>22</v>
      </c>
      <c r="B268" s="85">
        <v>60</v>
      </c>
      <c r="C268" s="85">
        <f t="shared" si="4"/>
        <v>267</v>
      </c>
      <c r="D268" s="85" t="s">
        <v>1361</v>
      </c>
    </row>
    <row r="269" spans="1:4">
      <c r="A269" s="85">
        <v>22</v>
      </c>
      <c r="B269" s="85">
        <v>60</v>
      </c>
      <c r="C269" s="85">
        <f t="shared" si="4"/>
        <v>268</v>
      </c>
      <c r="D269" s="85" t="s">
        <v>1362</v>
      </c>
    </row>
    <row r="270" spans="1:4">
      <c r="A270" s="85">
        <v>22</v>
      </c>
      <c r="B270" s="85">
        <v>61</v>
      </c>
      <c r="C270" s="85">
        <f t="shared" si="4"/>
        <v>269</v>
      </c>
      <c r="D270" s="85" t="s">
        <v>1363</v>
      </c>
    </row>
    <row r="271" spans="1:4">
      <c r="A271" s="85">
        <v>22</v>
      </c>
      <c r="B271" s="85">
        <v>61</v>
      </c>
      <c r="C271" s="85">
        <f t="shared" si="4"/>
        <v>270</v>
      </c>
      <c r="D271" s="85" t="s">
        <v>1364</v>
      </c>
    </row>
    <row r="272" spans="1:4">
      <c r="A272" s="85">
        <v>22</v>
      </c>
      <c r="B272" s="85">
        <v>61</v>
      </c>
      <c r="C272" s="85">
        <f t="shared" si="4"/>
        <v>271</v>
      </c>
      <c r="D272" s="85" t="s">
        <v>1365</v>
      </c>
    </row>
    <row r="273" spans="1:4">
      <c r="A273" s="85">
        <v>22</v>
      </c>
      <c r="B273" s="85">
        <v>61</v>
      </c>
      <c r="C273" s="85">
        <f t="shared" si="4"/>
        <v>272</v>
      </c>
      <c r="D273" s="85" t="s">
        <v>1366</v>
      </c>
    </row>
    <row r="274" spans="1:4">
      <c r="A274" s="85">
        <v>23</v>
      </c>
      <c r="B274" s="85">
        <v>62</v>
      </c>
      <c r="C274" s="85">
        <f t="shared" si="4"/>
        <v>273</v>
      </c>
      <c r="D274" s="85" t="s">
        <v>1367</v>
      </c>
    </row>
    <row r="275" spans="1:4">
      <c r="A275" s="85">
        <v>23</v>
      </c>
      <c r="B275" s="85">
        <v>62</v>
      </c>
      <c r="C275" s="85">
        <f t="shared" si="4"/>
        <v>274</v>
      </c>
      <c r="D275" s="85" t="s">
        <v>1368</v>
      </c>
    </row>
    <row r="276" spans="1:4">
      <c r="A276" s="85">
        <v>23</v>
      </c>
      <c r="B276" s="85">
        <v>62</v>
      </c>
      <c r="C276" s="85">
        <f t="shared" si="4"/>
        <v>275</v>
      </c>
      <c r="D276" s="85" t="s">
        <v>1369</v>
      </c>
    </row>
    <row r="277" spans="1:4">
      <c r="A277" s="85">
        <v>23</v>
      </c>
      <c r="B277" s="85">
        <v>62</v>
      </c>
      <c r="C277" s="85">
        <f t="shared" si="4"/>
        <v>276</v>
      </c>
      <c r="D277" s="85" t="s">
        <v>1370</v>
      </c>
    </row>
    <row r="278" spans="1:4">
      <c r="A278" s="85">
        <v>23</v>
      </c>
      <c r="B278" s="85">
        <v>62</v>
      </c>
      <c r="C278" s="85">
        <f t="shared" si="4"/>
        <v>277</v>
      </c>
      <c r="D278" s="85" t="s">
        <v>1371</v>
      </c>
    </row>
    <row r="279" spans="1:4">
      <c r="A279" s="85">
        <v>23</v>
      </c>
      <c r="B279" s="85">
        <v>63</v>
      </c>
      <c r="C279" s="85">
        <f t="shared" si="4"/>
        <v>278</v>
      </c>
      <c r="D279" s="85" t="s">
        <v>1372</v>
      </c>
    </row>
    <row r="280" spans="1:4">
      <c r="A280" s="85">
        <v>23</v>
      </c>
      <c r="B280" s="85">
        <v>63</v>
      </c>
      <c r="C280" s="85">
        <f t="shared" si="4"/>
        <v>279</v>
      </c>
      <c r="D280" s="85" t="s">
        <v>1373</v>
      </c>
    </row>
    <row r="281" spans="1:4">
      <c r="A281" s="85">
        <v>23</v>
      </c>
      <c r="B281" s="85">
        <v>64</v>
      </c>
      <c r="C281" s="85">
        <f t="shared" si="4"/>
        <v>280</v>
      </c>
      <c r="D281" s="85" t="s">
        <v>1374</v>
      </c>
    </row>
    <row r="282" spans="1:4">
      <c r="A282" s="85">
        <v>23</v>
      </c>
      <c r="B282" s="85">
        <v>64</v>
      </c>
      <c r="C282" s="85">
        <f t="shared" si="4"/>
        <v>281</v>
      </c>
      <c r="D282" s="85" t="s">
        <v>1375</v>
      </c>
    </row>
    <row r="283" spans="1:4">
      <c r="A283" s="85">
        <v>23</v>
      </c>
      <c r="B283" s="85">
        <v>64</v>
      </c>
      <c r="C283" s="85">
        <f t="shared" si="4"/>
        <v>282</v>
      </c>
      <c r="D283" s="85" t="s">
        <v>1376</v>
      </c>
    </row>
    <row r="284" spans="1:4">
      <c r="A284" s="85">
        <v>23</v>
      </c>
      <c r="B284" s="85">
        <v>64</v>
      </c>
      <c r="C284" s="85">
        <f t="shared" si="4"/>
        <v>283</v>
      </c>
      <c r="D284" s="85" t="s">
        <v>1377</v>
      </c>
    </row>
    <row r="285" spans="1:4">
      <c r="A285" s="85">
        <v>23</v>
      </c>
      <c r="B285" s="85">
        <v>64</v>
      </c>
      <c r="C285" s="85">
        <f t="shared" si="4"/>
        <v>284</v>
      </c>
      <c r="D285" s="85" t="s">
        <v>1378</v>
      </c>
    </row>
    <row r="286" spans="1:4">
      <c r="A286" s="85">
        <v>24</v>
      </c>
      <c r="B286" s="85">
        <v>65</v>
      </c>
      <c r="C286" s="85">
        <f t="shared" ref="C286:C349" si="5">C285+1</f>
        <v>285</v>
      </c>
      <c r="D286" s="85" t="s">
        <v>1379</v>
      </c>
    </row>
    <row r="287" spans="1:4">
      <c r="A287" s="85">
        <v>24</v>
      </c>
      <c r="B287" s="85">
        <v>65</v>
      </c>
      <c r="C287" s="85">
        <f t="shared" si="5"/>
        <v>286</v>
      </c>
      <c r="D287" s="85" t="s">
        <v>1380</v>
      </c>
    </row>
    <row r="288" spans="1:4">
      <c r="A288" s="85">
        <v>24</v>
      </c>
      <c r="B288" s="85">
        <v>65</v>
      </c>
      <c r="C288" s="85">
        <f t="shared" si="5"/>
        <v>287</v>
      </c>
      <c r="D288" s="85" t="s">
        <v>1381</v>
      </c>
    </row>
    <row r="289" spans="1:4">
      <c r="A289" s="85">
        <v>24</v>
      </c>
      <c r="B289" s="85">
        <v>65</v>
      </c>
      <c r="C289" s="85">
        <f t="shared" si="5"/>
        <v>288</v>
      </c>
      <c r="D289" s="85" t="s">
        <v>1382</v>
      </c>
    </row>
    <row r="290" spans="1:4">
      <c r="A290" s="85">
        <v>24</v>
      </c>
      <c r="B290" s="85">
        <v>65</v>
      </c>
      <c r="C290" s="85">
        <f t="shared" si="5"/>
        <v>289</v>
      </c>
      <c r="D290" s="85" t="s">
        <v>1383</v>
      </c>
    </row>
    <row r="291" spans="1:4">
      <c r="A291" s="85">
        <v>24</v>
      </c>
      <c r="B291" s="85">
        <v>66</v>
      </c>
      <c r="C291" s="85">
        <f t="shared" si="5"/>
        <v>290</v>
      </c>
      <c r="D291" s="85" t="s">
        <v>1384</v>
      </c>
    </row>
    <row r="292" spans="1:4">
      <c r="A292" s="85">
        <v>24</v>
      </c>
      <c r="B292" s="85">
        <v>66</v>
      </c>
      <c r="C292" s="85">
        <f t="shared" si="5"/>
        <v>291</v>
      </c>
      <c r="D292" s="85" t="s">
        <v>1385</v>
      </c>
    </row>
    <row r="293" spans="1:4">
      <c r="A293" s="85">
        <v>24</v>
      </c>
      <c r="B293" s="85">
        <v>66</v>
      </c>
      <c r="C293" s="85">
        <f t="shared" si="5"/>
        <v>292</v>
      </c>
      <c r="D293" s="85" t="s">
        <v>1386</v>
      </c>
    </row>
    <row r="294" spans="1:4">
      <c r="A294" s="85">
        <v>24</v>
      </c>
      <c r="B294" s="85">
        <v>67</v>
      </c>
      <c r="C294" s="85">
        <f t="shared" si="5"/>
        <v>293</v>
      </c>
      <c r="D294" s="85" t="s">
        <v>1387</v>
      </c>
    </row>
    <row r="295" spans="1:4">
      <c r="A295" s="85">
        <v>24</v>
      </c>
      <c r="B295" s="85">
        <v>67</v>
      </c>
      <c r="C295" s="85">
        <f t="shared" si="5"/>
        <v>294</v>
      </c>
      <c r="D295" s="85" t="s">
        <v>1388</v>
      </c>
    </row>
    <row r="296" spans="1:4">
      <c r="A296" s="85">
        <v>24</v>
      </c>
      <c r="B296" s="85">
        <v>67</v>
      </c>
      <c r="C296" s="85">
        <f t="shared" si="5"/>
        <v>295</v>
      </c>
      <c r="D296" s="85" t="s">
        <v>1389</v>
      </c>
    </row>
    <row r="297" spans="1:4">
      <c r="A297" s="85">
        <v>25</v>
      </c>
      <c r="B297" s="85">
        <v>68</v>
      </c>
      <c r="C297" s="85">
        <f t="shared" si="5"/>
        <v>296</v>
      </c>
      <c r="D297" s="85" t="s">
        <v>1390</v>
      </c>
    </row>
    <row r="298" spans="1:4">
      <c r="A298" s="85">
        <v>25</v>
      </c>
      <c r="B298" s="85">
        <v>68</v>
      </c>
      <c r="C298" s="85">
        <f t="shared" si="5"/>
        <v>297</v>
      </c>
      <c r="D298" s="85" t="s">
        <v>1391</v>
      </c>
    </row>
    <row r="299" spans="1:4">
      <c r="A299" s="85">
        <v>25</v>
      </c>
      <c r="B299" s="85">
        <v>68</v>
      </c>
      <c r="C299" s="85">
        <f t="shared" si="5"/>
        <v>298</v>
      </c>
      <c r="D299" s="85" t="s">
        <v>1392</v>
      </c>
    </row>
    <row r="300" spans="1:4">
      <c r="A300" s="85">
        <v>25</v>
      </c>
      <c r="B300" s="85">
        <v>68</v>
      </c>
      <c r="C300" s="85">
        <f t="shared" si="5"/>
        <v>299</v>
      </c>
      <c r="D300" s="85" t="s">
        <v>1393</v>
      </c>
    </row>
    <row r="301" spans="1:4">
      <c r="A301" s="85">
        <v>25</v>
      </c>
      <c r="B301" s="85">
        <v>69</v>
      </c>
      <c r="C301" s="85">
        <f t="shared" si="5"/>
        <v>300</v>
      </c>
      <c r="D301" s="85" t="s">
        <v>1394</v>
      </c>
    </row>
    <row r="302" spans="1:4">
      <c r="A302" s="85">
        <v>25</v>
      </c>
      <c r="B302" s="85">
        <v>69</v>
      </c>
      <c r="C302" s="85">
        <f t="shared" si="5"/>
        <v>301</v>
      </c>
      <c r="D302" s="85" t="s">
        <v>1395</v>
      </c>
    </row>
    <row r="303" spans="1:4">
      <c r="A303" s="85">
        <v>25</v>
      </c>
      <c r="B303" s="85">
        <v>69</v>
      </c>
      <c r="C303" s="85">
        <f t="shared" si="5"/>
        <v>302</v>
      </c>
      <c r="D303" s="85" t="s">
        <v>1396</v>
      </c>
    </row>
    <row r="304" spans="1:4">
      <c r="A304" s="85">
        <v>25</v>
      </c>
      <c r="B304" s="85">
        <v>70</v>
      </c>
      <c r="C304" s="85">
        <f t="shared" si="5"/>
        <v>303</v>
      </c>
      <c r="D304" s="85" t="s">
        <v>1397</v>
      </c>
    </row>
    <row r="305" spans="1:4">
      <c r="A305" s="85">
        <v>25</v>
      </c>
      <c r="B305" s="85">
        <v>70</v>
      </c>
      <c r="C305" s="85">
        <f t="shared" si="5"/>
        <v>304</v>
      </c>
      <c r="D305" s="85" t="s">
        <v>1398</v>
      </c>
    </row>
    <row r="306" spans="1:4">
      <c r="A306" s="85">
        <v>25</v>
      </c>
      <c r="B306" s="85">
        <v>70</v>
      </c>
      <c r="C306" s="85">
        <f t="shared" si="5"/>
        <v>305</v>
      </c>
      <c r="D306" s="85" t="s">
        <v>1399</v>
      </c>
    </row>
    <row r="307" spans="1:4">
      <c r="A307" s="85">
        <v>25</v>
      </c>
      <c r="B307" s="85">
        <v>70</v>
      </c>
      <c r="C307" s="85">
        <f t="shared" si="5"/>
        <v>306</v>
      </c>
      <c r="D307" s="85" t="s">
        <v>1400</v>
      </c>
    </row>
    <row r="308" spans="1:4">
      <c r="A308" s="85">
        <v>25</v>
      </c>
      <c r="B308" s="85">
        <v>70</v>
      </c>
      <c r="C308" s="85">
        <f t="shared" si="5"/>
        <v>307</v>
      </c>
      <c r="D308" s="85" t="s">
        <v>1401</v>
      </c>
    </row>
    <row r="309" spans="1:4">
      <c r="A309" s="85">
        <v>26</v>
      </c>
      <c r="B309" s="85">
        <v>71</v>
      </c>
      <c r="C309" s="85">
        <f t="shared" si="5"/>
        <v>308</v>
      </c>
      <c r="D309" s="85" t="s">
        <v>1402</v>
      </c>
    </row>
    <row r="310" spans="1:4">
      <c r="A310" s="85">
        <v>26</v>
      </c>
      <c r="B310" s="85">
        <v>71</v>
      </c>
      <c r="C310" s="85">
        <f t="shared" si="5"/>
        <v>309</v>
      </c>
      <c r="D310" s="85" t="s">
        <v>1403</v>
      </c>
    </row>
    <row r="311" spans="1:4">
      <c r="A311" s="85">
        <v>26</v>
      </c>
      <c r="B311" s="85">
        <v>71</v>
      </c>
      <c r="C311" s="85">
        <f t="shared" si="5"/>
        <v>310</v>
      </c>
      <c r="D311" s="85" t="s">
        <v>1404</v>
      </c>
    </row>
    <row r="312" spans="1:4">
      <c r="A312" s="85">
        <v>26</v>
      </c>
      <c r="B312" s="85">
        <v>71</v>
      </c>
      <c r="C312" s="85">
        <f t="shared" si="5"/>
        <v>311</v>
      </c>
      <c r="D312" s="85" t="s">
        <v>1405</v>
      </c>
    </row>
    <row r="313" spans="1:4">
      <c r="A313" s="85">
        <v>26</v>
      </c>
      <c r="B313" s="85">
        <v>71</v>
      </c>
      <c r="C313" s="85">
        <f t="shared" si="5"/>
        <v>312</v>
      </c>
      <c r="D313" s="85" t="s">
        <v>1406</v>
      </c>
    </row>
    <row r="314" spans="1:4">
      <c r="A314" s="85">
        <v>26</v>
      </c>
      <c r="B314" s="85">
        <v>71</v>
      </c>
      <c r="C314" s="85">
        <f t="shared" si="5"/>
        <v>313</v>
      </c>
      <c r="D314" s="85" t="s">
        <v>1407</v>
      </c>
    </row>
    <row r="315" spans="1:4">
      <c r="A315" s="85">
        <v>26</v>
      </c>
      <c r="B315" s="85">
        <v>72</v>
      </c>
      <c r="C315" s="85">
        <f t="shared" si="5"/>
        <v>314</v>
      </c>
      <c r="D315" s="85" t="s">
        <v>1408</v>
      </c>
    </row>
    <row r="316" spans="1:4">
      <c r="A316" s="85">
        <v>26</v>
      </c>
      <c r="B316" s="85">
        <v>72</v>
      </c>
      <c r="C316" s="85">
        <f t="shared" si="5"/>
        <v>315</v>
      </c>
      <c r="D316" s="85" t="s">
        <v>1409</v>
      </c>
    </row>
    <row r="317" spans="1:4">
      <c r="A317" s="85">
        <v>26</v>
      </c>
      <c r="B317" s="85">
        <v>72</v>
      </c>
      <c r="C317" s="85">
        <f t="shared" si="5"/>
        <v>316</v>
      </c>
      <c r="D317" s="85" t="s">
        <v>1410</v>
      </c>
    </row>
    <row r="318" spans="1:4">
      <c r="A318" s="85">
        <v>26</v>
      </c>
      <c r="B318" s="85">
        <v>73</v>
      </c>
      <c r="C318" s="85">
        <f t="shared" si="5"/>
        <v>317</v>
      </c>
      <c r="D318" s="85" t="s">
        <v>1411</v>
      </c>
    </row>
    <row r="319" spans="1:4">
      <c r="A319" s="85">
        <v>26</v>
      </c>
      <c r="B319" s="85">
        <v>73</v>
      </c>
      <c r="C319" s="85">
        <f t="shared" si="5"/>
        <v>318</v>
      </c>
      <c r="D319" s="85" t="s">
        <v>1412</v>
      </c>
    </row>
    <row r="320" spans="1:4">
      <c r="A320" s="85">
        <v>26</v>
      </c>
      <c r="B320" s="85">
        <v>73</v>
      </c>
      <c r="C320" s="85">
        <f t="shared" si="5"/>
        <v>319</v>
      </c>
      <c r="D320" s="85" t="s">
        <v>1413</v>
      </c>
    </row>
    <row r="321" spans="1:4">
      <c r="A321" s="85">
        <v>26</v>
      </c>
      <c r="B321" s="85">
        <v>73</v>
      </c>
      <c r="C321" s="85">
        <f t="shared" si="5"/>
        <v>320</v>
      </c>
      <c r="D321" s="85" t="s">
        <v>1414</v>
      </c>
    </row>
    <row r="322" spans="1:4">
      <c r="A322" s="85">
        <v>26</v>
      </c>
      <c r="B322" s="85">
        <v>73</v>
      </c>
      <c r="C322" s="85">
        <f t="shared" si="5"/>
        <v>321</v>
      </c>
      <c r="D322" s="85" t="s">
        <v>1415</v>
      </c>
    </row>
    <row r="323" spans="1:4">
      <c r="A323" s="85">
        <v>26</v>
      </c>
      <c r="B323" s="85">
        <v>73</v>
      </c>
      <c r="C323" s="85">
        <f t="shared" si="5"/>
        <v>322</v>
      </c>
      <c r="D323" s="85" t="s">
        <v>1416</v>
      </c>
    </row>
    <row r="324" spans="1:4">
      <c r="A324" s="85">
        <v>27</v>
      </c>
      <c r="B324" s="85">
        <v>74</v>
      </c>
      <c r="C324" s="85">
        <f t="shared" si="5"/>
        <v>323</v>
      </c>
      <c r="D324" s="85" t="s">
        <v>1417</v>
      </c>
    </row>
    <row r="325" spans="1:4">
      <c r="A325" s="85">
        <v>27</v>
      </c>
      <c r="B325" s="85">
        <v>74</v>
      </c>
      <c r="C325" s="85">
        <f t="shared" si="5"/>
        <v>324</v>
      </c>
      <c r="D325" s="85" t="s">
        <v>1418</v>
      </c>
    </row>
    <row r="326" spans="1:4">
      <c r="A326" s="85">
        <v>27</v>
      </c>
      <c r="B326" s="85">
        <v>74</v>
      </c>
      <c r="C326" s="85">
        <f t="shared" si="5"/>
        <v>325</v>
      </c>
      <c r="D326" s="85" t="s">
        <v>1419</v>
      </c>
    </row>
    <row r="327" spans="1:4">
      <c r="A327" s="85">
        <v>27</v>
      </c>
      <c r="B327" s="85">
        <v>74</v>
      </c>
      <c r="C327" s="85">
        <f t="shared" si="5"/>
        <v>326</v>
      </c>
      <c r="D327" s="85" t="s">
        <v>1420</v>
      </c>
    </row>
    <row r="328" spans="1:4">
      <c r="A328" s="85">
        <v>27</v>
      </c>
      <c r="B328" s="85">
        <v>74</v>
      </c>
      <c r="C328" s="85">
        <f t="shared" si="5"/>
        <v>327</v>
      </c>
      <c r="D328" s="85" t="s">
        <v>1421</v>
      </c>
    </row>
    <row r="329" spans="1:4">
      <c r="A329" s="85">
        <v>27</v>
      </c>
      <c r="B329" s="85">
        <v>75</v>
      </c>
      <c r="C329" s="85">
        <f t="shared" si="5"/>
        <v>328</v>
      </c>
      <c r="D329" s="85" t="s">
        <v>1422</v>
      </c>
    </row>
    <row r="330" spans="1:4">
      <c r="A330" s="85">
        <v>27</v>
      </c>
      <c r="B330" s="85">
        <v>75</v>
      </c>
      <c r="C330" s="85">
        <f t="shared" si="5"/>
        <v>329</v>
      </c>
      <c r="D330" s="85" t="s">
        <v>1423</v>
      </c>
    </row>
    <row r="331" spans="1:4">
      <c r="A331" s="85">
        <v>27</v>
      </c>
      <c r="B331" s="85">
        <v>75</v>
      </c>
      <c r="C331" s="85">
        <f t="shared" si="5"/>
        <v>330</v>
      </c>
      <c r="D331" s="85" t="s">
        <v>1424</v>
      </c>
    </row>
    <row r="332" spans="1:4">
      <c r="A332" s="85">
        <v>27</v>
      </c>
      <c r="B332" s="85">
        <v>75</v>
      </c>
      <c r="C332" s="85">
        <f t="shared" si="5"/>
        <v>331</v>
      </c>
      <c r="D332" s="85" t="s">
        <v>1425</v>
      </c>
    </row>
    <row r="333" spans="1:4">
      <c r="A333" s="85">
        <v>27</v>
      </c>
      <c r="B333" s="85">
        <v>76</v>
      </c>
      <c r="C333" s="85">
        <f t="shared" si="5"/>
        <v>332</v>
      </c>
      <c r="D333" s="85" t="s">
        <v>1426</v>
      </c>
    </row>
    <row r="334" spans="1:4">
      <c r="A334" s="85">
        <v>27</v>
      </c>
      <c r="B334" s="85">
        <v>76</v>
      </c>
      <c r="C334" s="85">
        <f t="shared" si="5"/>
        <v>333</v>
      </c>
      <c r="D334" s="85" t="s">
        <v>1427</v>
      </c>
    </row>
    <row r="335" spans="1:4">
      <c r="A335" s="85">
        <v>27</v>
      </c>
      <c r="B335" s="85">
        <v>76</v>
      </c>
      <c r="C335" s="85">
        <f t="shared" si="5"/>
        <v>334</v>
      </c>
      <c r="D335" s="85" t="s">
        <v>1428</v>
      </c>
    </row>
    <row r="336" spans="1:4">
      <c r="A336" s="85">
        <v>27</v>
      </c>
      <c r="B336" s="85">
        <v>76</v>
      </c>
      <c r="C336" s="85">
        <f t="shared" si="5"/>
        <v>335</v>
      </c>
      <c r="D336" s="85" t="s">
        <v>1429</v>
      </c>
    </row>
    <row r="337" spans="1:4">
      <c r="A337" s="85">
        <v>28</v>
      </c>
      <c r="B337" s="85">
        <v>77</v>
      </c>
      <c r="C337" s="85">
        <f t="shared" si="5"/>
        <v>336</v>
      </c>
      <c r="D337" s="85" t="s">
        <v>1430</v>
      </c>
    </row>
    <row r="338" spans="1:4">
      <c r="A338" s="85">
        <v>28</v>
      </c>
      <c r="B338" s="85">
        <v>77</v>
      </c>
      <c r="C338" s="85">
        <f t="shared" si="5"/>
        <v>337</v>
      </c>
      <c r="D338" s="85" t="s">
        <v>1431</v>
      </c>
    </row>
    <row r="339" spans="1:4">
      <c r="A339" s="85">
        <v>28</v>
      </c>
      <c r="B339" s="85">
        <v>77</v>
      </c>
      <c r="C339" s="85">
        <f t="shared" si="5"/>
        <v>338</v>
      </c>
      <c r="D339" s="85" t="s">
        <v>1432</v>
      </c>
    </row>
    <row r="340" spans="1:4">
      <c r="A340" s="85">
        <v>28</v>
      </c>
      <c r="B340" s="85">
        <v>77</v>
      </c>
      <c r="C340" s="85">
        <f t="shared" si="5"/>
        <v>339</v>
      </c>
      <c r="D340" s="85" t="s">
        <v>1433</v>
      </c>
    </row>
    <row r="341" spans="1:4">
      <c r="A341" s="85">
        <v>28</v>
      </c>
      <c r="B341" s="85">
        <v>77</v>
      </c>
      <c r="C341" s="85">
        <f t="shared" si="5"/>
        <v>340</v>
      </c>
      <c r="D341" s="85" t="s">
        <v>1434</v>
      </c>
    </row>
    <row r="342" spans="1:4">
      <c r="A342" s="85">
        <v>28</v>
      </c>
      <c r="B342" s="85">
        <v>77</v>
      </c>
      <c r="C342" s="85">
        <f t="shared" si="5"/>
        <v>341</v>
      </c>
      <c r="D342" s="85" t="s">
        <v>1435</v>
      </c>
    </row>
    <row r="343" spans="1:4">
      <c r="A343" s="85">
        <v>29</v>
      </c>
      <c r="B343" s="85">
        <v>78</v>
      </c>
      <c r="C343" s="85">
        <f t="shared" si="5"/>
        <v>342</v>
      </c>
      <c r="D343" s="85" t="s">
        <v>1436</v>
      </c>
    </row>
    <row r="344" spans="1:4">
      <c r="A344" s="85">
        <v>29</v>
      </c>
      <c r="B344" s="85">
        <v>78</v>
      </c>
      <c r="C344" s="85">
        <f t="shared" si="5"/>
        <v>343</v>
      </c>
      <c r="D344" s="85" t="s">
        <v>1437</v>
      </c>
    </row>
    <row r="345" spans="1:4">
      <c r="A345" s="85">
        <v>29</v>
      </c>
      <c r="B345" s="85">
        <v>78</v>
      </c>
      <c r="C345" s="85">
        <f t="shared" si="5"/>
        <v>344</v>
      </c>
      <c r="D345" s="85" t="s">
        <v>1438</v>
      </c>
    </row>
    <row r="346" spans="1:4">
      <c r="A346" s="85">
        <v>29</v>
      </c>
      <c r="B346" s="85">
        <v>78</v>
      </c>
      <c r="C346" s="85">
        <f t="shared" si="5"/>
        <v>345</v>
      </c>
      <c r="D346" s="85" t="s">
        <v>1439</v>
      </c>
    </row>
    <row r="347" spans="1:4">
      <c r="A347" s="85">
        <v>29</v>
      </c>
      <c r="B347" s="85">
        <v>79</v>
      </c>
      <c r="C347" s="85">
        <f t="shared" si="5"/>
        <v>346</v>
      </c>
      <c r="D347" s="85" t="s">
        <v>1440</v>
      </c>
    </row>
    <row r="348" spans="1:4">
      <c r="A348" s="85">
        <v>29</v>
      </c>
      <c r="B348" s="85">
        <v>79</v>
      </c>
      <c r="C348" s="85">
        <f t="shared" si="5"/>
        <v>347</v>
      </c>
      <c r="D348" s="85" t="s">
        <v>1441</v>
      </c>
    </row>
    <row r="349" spans="1:4">
      <c r="A349" s="85">
        <v>29</v>
      </c>
      <c r="B349" s="85">
        <v>79</v>
      </c>
      <c r="C349" s="85">
        <f t="shared" si="5"/>
        <v>348</v>
      </c>
      <c r="D349" s="85" t="s">
        <v>1442</v>
      </c>
    </row>
    <row r="350" spans="1:4">
      <c r="A350" s="85">
        <v>29</v>
      </c>
      <c r="B350" s="85">
        <v>80</v>
      </c>
      <c r="C350" s="85">
        <f t="shared" ref="C350:C413" si="6">C349+1</f>
        <v>349</v>
      </c>
      <c r="D350" s="85" t="s">
        <v>1443</v>
      </c>
    </row>
    <row r="351" spans="1:4">
      <c r="A351" s="85">
        <v>29</v>
      </c>
      <c r="B351" s="85">
        <v>80</v>
      </c>
      <c r="C351" s="85">
        <f t="shared" si="6"/>
        <v>350</v>
      </c>
      <c r="D351" s="85" t="s">
        <v>1444</v>
      </c>
    </row>
    <row r="352" spans="1:4">
      <c r="A352" s="85">
        <v>29</v>
      </c>
      <c r="B352" s="85">
        <v>80</v>
      </c>
      <c r="C352" s="85">
        <f t="shared" si="6"/>
        <v>351</v>
      </c>
      <c r="D352" s="85" t="s">
        <v>1445</v>
      </c>
    </row>
    <row r="353" spans="1:4">
      <c r="A353" s="85">
        <v>30</v>
      </c>
      <c r="B353" s="85">
        <v>81</v>
      </c>
      <c r="C353" s="85">
        <f t="shared" si="6"/>
        <v>352</v>
      </c>
      <c r="D353" s="85" t="s">
        <v>1446</v>
      </c>
    </row>
    <row r="354" spans="1:4">
      <c r="A354" s="85">
        <v>30</v>
      </c>
      <c r="B354" s="85">
        <v>81</v>
      </c>
      <c r="C354" s="85">
        <f t="shared" si="6"/>
        <v>353</v>
      </c>
      <c r="D354" s="85" t="s">
        <v>1447</v>
      </c>
    </row>
    <row r="355" spans="1:4">
      <c r="A355" s="85">
        <v>30</v>
      </c>
      <c r="B355" s="85">
        <v>81</v>
      </c>
      <c r="C355" s="85">
        <f t="shared" si="6"/>
        <v>354</v>
      </c>
      <c r="D355" s="85" t="s">
        <v>1448</v>
      </c>
    </row>
    <row r="356" spans="1:4">
      <c r="A356" s="85">
        <v>30</v>
      </c>
      <c r="B356" s="85">
        <v>81</v>
      </c>
      <c r="C356" s="85">
        <f t="shared" si="6"/>
        <v>355</v>
      </c>
      <c r="D356" s="85" t="s">
        <v>1449</v>
      </c>
    </row>
    <row r="357" spans="1:4">
      <c r="A357" s="85">
        <v>30</v>
      </c>
      <c r="B357" s="85">
        <v>81</v>
      </c>
      <c r="C357" s="85">
        <f t="shared" si="6"/>
        <v>356</v>
      </c>
      <c r="D357" s="85" t="s">
        <v>1450</v>
      </c>
    </row>
    <row r="358" spans="1:4">
      <c r="A358" s="85">
        <v>30</v>
      </c>
      <c r="B358" s="85">
        <v>81</v>
      </c>
      <c r="C358" s="85">
        <f t="shared" si="6"/>
        <v>357</v>
      </c>
      <c r="D358" s="85" t="s">
        <v>1451</v>
      </c>
    </row>
    <row r="359" spans="1:4">
      <c r="A359" s="85">
        <v>30</v>
      </c>
      <c r="B359" s="85">
        <v>82</v>
      </c>
      <c r="C359" s="85">
        <f t="shared" si="6"/>
        <v>358</v>
      </c>
      <c r="D359" s="85" t="s">
        <v>1452</v>
      </c>
    </row>
    <row r="360" spans="1:4">
      <c r="A360" s="85">
        <v>30</v>
      </c>
      <c r="B360" s="85">
        <v>82</v>
      </c>
      <c r="C360" s="85">
        <f t="shared" si="6"/>
        <v>359</v>
      </c>
      <c r="D360" s="85" t="s">
        <v>1453</v>
      </c>
    </row>
    <row r="361" spans="1:4">
      <c r="A361" s="85">
        <v>30</v>
      </c>
      <c r="B361" s="85">
        <v>82</v>
      </c>
      <c r="C361" s="85">
        <f t="shared" si="6"/>
        <v>360</v>
      </c>
      <c r="D361" s="85" t="s">
        <v>1454</v>
      </c>
    </row>
    <row r="362" spans="1:4">
      <c r="A362" s="85">
        <v>30</v>
      </c>
      <c r="B362" s="85">
        <v>82</v>
      </c>
      <c r="C362" s="85">
        <f t="shared" si="6"/>
        <v>361</v>
      </c>
      <c r="D362" s="85" t="s">
        <v>1455</v>
      </c>
    </row>
    <row r="363" spans="1:4">
      <c r="A363" s="85">
        <v>30</v>
      </c>
      <c r="B363" s="85">
        <v>82</v>
      </c>
      <c r="C363" s="85">
        <f t="shared" si="6"/>
        <v>362</v>
      </c>
      <c r="D363" s="85" t="s">
        <v>1456</v>
      </c>
    </row>
    <row r="364" spans="1:4">
      <c r="A364" s="85">
        <v>30</v>
      </c>
      <c r="B364" s="85">
        <v>82</v>
      </c>
      <c r="C364" s="85">
        <f t="shared" si="6"/>
        <v>363</v>
      </c>
      <c r="D364" s="85" t="s">
        <v>1457</v>
      </c>
    </row>
    <row r="365" spans="1:4">
      <c r="A365" s="85">
        <v>30</v>
      </c>
      <c r="B365" s="85">
        <v>82</v>
      </c>
      <c r="C365" s="85">
        <f t="shared" si="6"/>
        <v>364</v>
      </c>
      <c r="D365" s="85" t="s">
        <v>1458</v>
      </c>
    </row>
    <row r="366" spans="1:4">
      <c r="A366" s="85">
        <v>30</v>
      </c>
      <c r="B366" s="85">
        <v>82</v>
      </c>
      <c r="C366" s="85">
        <f t="shared" si="6"/>
        <v>365</v>
      </c>
      <c r="D366" s="85" t="s">
        <v>1459</v>
      </c>
    </row>
    <row r="367" spans="1:4">
      <c r="A367" s="85">
        <v>30</v>
      </c>
      <c r="B367" s="85">
        <v>82</v>
      </c>
      <c r="C367" s="85">
        <f t="shared" si="6"/>
        <v>366</v>
      </c>
      <c r="D367" s="85" t="s">
        <v>1460</v>
      </c>
    </row>
    <row r="368" spans="1:4">
      <c r="A368" s="85">
        <v>30</v>
      </c>
      <c r="B368" s="85">
        <v>82</v>
      </c>
      <c r="C368" s="85">
        <f t="shared" si="6"/>
        <v>367</v>
      </c>
      <c r="D368" s="85" t="s">
        <v>1461</v>
      </c>
    </row>
    <row r="369" spans="1:4">
      <c r="A369" s="85">
        <v>31</v>
      </c>
      <c r="B369" s="85">
        <v>83</v>
      </c>
      <c r="C369" s="85">
        <f t="shared" si="6"/>
        <v>368</v>
      </c>
      <c r="D369" s="85" t="s">
        <v>1462</v>
      </c>
    </row>
    <row r="370" spans="1:4">
      <c r="A370" s="85">
        <v>31</v>
      </c>
      <c r="B370" s="85">
        <v>83</v>
      </c>
      <c r="C370" s="85">
        <f t="shared" si="6"/>
        <v>369</v>
      </c>
      <c r="D370" s="85" t="s">
        <v>1463</v>
      </c>
    </row>
    <row r="371" spans="1:4">
      <c r="A371" s="85">
        <v>31</v>
      </c>
      <c r="B371" s="85">
        <v>83</v>
      </c>
      <c r="C371" s="85">
        <f t="shared" si="6"/>
        <v>370</v>
      </c>
      <c r="D371" s="85" t="s">
        <v>1464</v>
      </c>
    </row>
    <row r="372" spans="1:4">
      <c r="A372" s="85">
        <v>31</v>
      </c>
      <c r="B372" s="85">
        <v>83</v>
      </c>
      <c r="C372" s="85">
        <f t="shared" si="6"/>
        <v>371</v>
      </c>
      <c r="D372" s="85" t="s">
        <v>1465</v>
      </c>
    </row>
    <row r="373" spans="1:4">
      <c r="A373" s="85">
        <v>31</v>
      </c>
      <c r="B373" s="85">
        <v>84</v>
      </c>
      <c r="C373" s="85">
        <f t="shared" si="6"/>
        <v>372</v>
      </c>
      <c r="D373" s="85" t="s">
        <v>1466</v>
      </c>
    </row>
    <row r="374" spans="1:4">
      <c r="A374" s="85">
        <v>31</v>
      </c>
      <c r="B374" s="85">
        <v>84</v>
      </c>
      <c r="C374" s="85">
        <f t="shared" si="6"/>
        <v>373</v>
      </c>
      <c r="D374" s="85" t="s">
        <v>1467</v>
      </c>
    </row>
    <row r="375" spans="1:4">
      <c r="A375" s="85">
        <v>31</v>
      </c>
      <c r="B375" s="85">
        <v>84</v>
      </c>
      <c r="C375" s="85">
        <f t="shared" si="6"/>
        <v>374</v>
      </c>
      <c r="D375" s="85" t="s">
        <v>1468</v>
      </c>
    </row>
    <row r="376" spans="1:4">
      <c r="A376" s="85">
        <v>31</v>
      </c>
      <c r="B376" s="85">
        <v>85</v>
      </c>
      <c r="C376" s="85">
        <f t="shared" si="6"/>
        <v>375</v>
      </c>
      <c r="D376" s="85" t="s">
        <v>1469</v>
      </c>
    </row>
    <row r="377" spans="1:4">
      <c r="A377" s="85">
        <v>31</v>
      </c>
      <c r="B377" s="85">
        <v>85</v>
      </c>
      <c r="C377" s="85">
        <f t="shared" si="6"/>
        <v>376</v>
      </c>
      <c r="D377" s="85" t="s">
        <v>1470</v>
      </c>
    </row>
    <row r="378" spans="1:4">
      <c r="A378" s="85">
        <v>31</v>
      </c>
      <c r="B378" s="85">
        <v>85</v>
      </c>
      <c r="C378" s="85">
        <f t="shared" si="6"/>
        <v>377</v>
      </c>
      <c r="D378" s="85" t="s">
        <v>1471</v>
      </c>
    </row>
    <row r="379" spans="1:4">
      <c r="A379" s="85">
        <v>31</v>
      </c>
      <c r="B379" s="85">
        <v>85</v>
      </c>
      <c r="C379" s="85">
        <f t="shared" si="6"/>
        <v>378</v>
      </c>
      <c r="D379" s="85" t="s">
        <v>1472</v>
      </c>
    </row>
    <row r="380" spans="1:4">
      <c r="A380" s="85">
        <v>32</v>
      </c>
      <c r="B380" s="85">
        <v>86</v>
      </c>
      <c r="C380" s="85">
        <f t="shared" si="6"/>
        <v>379</v>
      </c>
      <c r="D380" s="85" t="s">
        <v>1473</v>
      </c>
    </row>
    <row r="381" spans="1:4">
      <c r="A381" s="85">
        <v>32</v>
      </c>
      <c r="B381" s="85">
        <v>86</v>
      </c>
      <c r="C381" s="85">
        <f t="shared" si="6"/>
        <v>380</v>
      </c>
      <c r="D381" s="85" t="s">
        <v>1474</v>
      </c>
    </row>
    <row r="382" spans="1:4">
      <c r="A382" s="85">
        <v>32</v>
      </c>
      <c r="B382" s="85">
        <v>86</v>
      </c>
      <c r="C382" s="85">
        <f t="shared" si="6"/>
        <v>381</v>
      </c>
      <c r="D382" s="85" t="s">
        <v>1475</v>
      </c>
    </row>
    <row r="383" spans="1:4">
      <c r="A383" s="85">
        <v>32</v>
      </c>
      <c r="B383" s="85">
        <v>86</v>
      </c>
      <c r="C383" s="85">
        <f t="shared" si="6"/>
        <v>382</v>
      </c>
      <c r="D383" s="85" t="s">
        <v>1476</v>
      </c>
    </row>
    <row r="384" spans="1:4">
      <c r="A384" s="85">
        <v>32</v>
      </c>
      <c r="B384" s="85">
        <v>87</v>
      </c>
      <c r="C384" s="85">
        <f t="shared" si="6"/>
        <v>383</v>
      </c>
      <c r="D384" s="85" t="s">
        <v>1477</v>
      </c>
    </row>
    <row r="385" spans="1:4">
      <c r="A385" s="85">
        <v>32</v>
      </c>
      <c r="B385" s="85">
        <v>87</v>
      </c>
      <c r="C385" s="85">
        <f t="shared" si="6"/>
        <v>384</v>
      </c>
      <c r="D385" s="85" t="s">
        <v>1478</v>
      </c>
    </row>
    <row r="386" spans="1:4">
      <c r="A386" s="85">
        <v>32</v>
      </c>
      <c r="B386" s="85">
        <v>87</v>
      </c>
      <c r="C386" s="85">
        <f t="shared" si="6"/>
        <v>385</v>
      </c>
      <c r="D386" s="85" t="s">
        <v>1479</v>
      </c>
    </row>
    <row r="387" spans="1:4">
      <c r="A387" s="85">
        <v>32</v>
      </c>
      <c r="B387" s="85">
        <v>87</v>
      </c>
      <c r="C387" s="85">
        <f t="shared" si="6"/>
        <v>386</v>
      </c>
      <c r="D387" s="85" t="s">
        <v>1480</v>
      </c>
    </row>
    <row r="388" spans="1:4">
      <c r="A388" s="85">
        <v>32</v>
      </c>
      <c r="B388" s="85">
        <v>87</v>
      </c>
      <c r="C388" s="85">
        <f t="shared" si="6"/>
        <v>387</v>
      </c>
      <c r="D388" s="85" t="s">
        <v>1481</v>
      </c>
    </row>
    <row r="389" spans="1:4">
      <c r="A389" s="85">
        <v>32</v>
      </c>
      <c r="B389" s="85">
        <v>87</v>
      </c>
      <c r="C389" s="85">
        <f t="shared" si="6"/>
        <v>388</v>
      </c>
      <c r="D389" s="85" t="s">
        <v>1482</v>
      </c>
    </row>
    <row r="390" spans="1:4">
      <c r="A390" s="85">
        <v>33</v>
      </c>
      <c r="B390" s="85">
        <v>88</v>
      </c>
      <c r="C390" s="85">
        <f t="shared" si="6"/>
        <v>389</v>
      </c>
      <c r="D390" s="85" t="s">
        <v>1483</v>
      </c>
    </row>
    <row r="391" spans="1:4">
      <c r="A391" s="85">
        <v>33</v>
      </c>
      <c r="B391" s="85">
        <v>88</v>
      </c>
      <c r="C391" s="85">
        <f t="shared" si="6"/>
        <v>390</v>
      </c>
      <c r="D391" s="85" t="s">
        <v>1484</v>
      </c>
    </row>
    <row r="392" spans="1:4">
      <c r="A392" s="85">
        <v>33</v>
      </c>
      <c r="B392" s="85">
        <v>88</v>
      </c>
      <c r="C392" s="85">
        <f t="shared" si="6"/>
        <v>391</v>
      </c>
      <c r="D392" s="85" t="s">
        <v>1485</v>
      </c>
    </row>
    <row r="393" spans="1:4">
      <c r="A393" s="85">
        <v>33</v>
      </c>
      <c r="B393" s="85">
        <v>88</v>
      </c>
      <c r="C393" s="85">
        <f t="shared" si="6"/>
        <v>392</v>
      </c>
      <c r="D393" s="85" t="s">
        <v>1486</v>
      </c>
    </row>
    <row r="394" spans="1:4">
      <c r="A394" s="85">
        <v>33</v>
      </c>
      <c r="B394" s="85">
        <v>88</v>
      </c>
      <c r="C394" s="85">
        <f t="shared" si="6"/>
        <v>393</v>
      </c>
      <c r="D394" s="85" t="s">
        <v>1487</v>
      </c>
    </row>
    <row r="395" spans="1:4">
      <c r="A395" s="85">
        <v>33</v>
      </c>
      <c r="B395" s="85">
        <v>89</v>
      </c>
      <c r="C395" s="85">
        <f t="shared" si="6"/>
        <v>394</v>
      </c>
      <c r="D395" s="85" t="s">
        <v>1488</v>
      </c>
    </row>
    <row r="396" spans="1:4">
      <c r="A396" s="85">
        <v>33</v>
      </c>
      <c r="B396" s="85">
        <v>89</v>
      </c>
      <c r="C396" s="85">
        <f t="shared" si="6"/>
        <v>395</v>
      </c>
      <c r="D396" s="85" t="s">
        <v>1489</v>
      </c>
    </row>
    <row r="397" spans="1:4">
      <c r="A397" s="85">
        <v>33</v>
      </c>
      <c r="B397" s="85">
        <v>89</v>
      </c>
      <c r="C397" s="85">
        <f t="shared" si="6"/>
        <v>396</v>
      </c>
      <c r="D397" s="85" t="s">
        <v>1490</v>
      </c>
    </row>
    <row r="398" spans="1:4">
      <c r="A398" s="85">
        <v>34</v>
      </c>
      <c r="B398" s="85">
        <v>90</v>
      </c>
      <c r="C398" s="85">
        <f t="shared" si="6"/>
        <v>397</v>
      </c>
      <c r="D398" s="85" t="s">
        <v>1491</v>
      </c>
    </row>
    <row r="399" spans="1:4">
      <c r="A399" s="85">
        <v>34</v>
      </c>
      <c r="B399" s="85">
        <v>90</v>
      </c>
      <c r="C399" s="85">
        <f t="shared" si="6"/>
        <v>398</v>
      </c>
      <c r="D399" s="85" t="s">
        <v>1492</v>
      </c>
    </row>
    <row r="400" spans="1:4">
      <c r="A400" s="85">
        <v>34</v>
      </c>
      <c r="B400" s="85">
        <v>91</v>
      </c>
      <c r="C400" s="85">
        <f t="shared" si="6"/>
        <v>399</v>
      </c>
      <c r="D400" s="85" t="s">
        <v>1493</v>
      </c>
    </row>
    <row r="401" spans="1:4">
      <c r="A401" s="85">
        <v>34</v>
      </c>
      <c r="B401" s="85">
        <v>91</v>
      </c>
      <c r="C401" s="85">
        <f t="shared" si="6"/>
        <v>400</v>
      </c>
      <c r="D401" s="85" t="s">
        <v>1494</v>
      </c>
    </row>
    <row r="402" spans="1:4">
      <c r="A402" s="85">
        <v>34</v>
      </c>
      <c r="B402" s="85">
        <v>91</v>
      </c>
      <c r="C402" s="85">
        <f t="shared" si="6"/>
        <v>401</v>
      </c>
      <c r="D402" s="85" t="s">
        <v>1495</v>
      </c>
    </row>
    <row r="403" spans="1:4">
      <c r="A403" s="85">
        <v>34</v>
      </c>
      <c r="B403" s="85">
        <v>91</v>
      </c>
      <c r="C403" s="85">
        <f t="shared" si="6"/>
        <v>402</v>
      </c>
      <c r="D403" s="85" t="s">
        <v>1496</v>
      </c>
    </row>
    <row r="404" spans="1:4">
      <c r="A404" s="85">
        <v>34</v>
      </c>
      <c r="B404" s="85">
        <v>91</v>
      </c>
      <c r="C404" s="85">
        <f t="shared" si="6"/>
        <v>403</v>
      </c>
      <c r="D404" s="85" t="s">
        <v>1497</v>
      </c>
    </row>
    <row r="405" spans="1:4">
      <c r="A405" s="85">
        <v>34</v>
      </c>
      <c r="B405" s="85">
        <v>92</v>
      </c>
      <c r="C405" s="85">
        <f t="shared" si="6"/>
        <v>404</v>
      </c>
      <c r="D405" s="85" t="s">
        <v>1498</v>
      </c>
    </row>
    <row r="406" spans="1:4">
      <c r="A406" s="85">
        <v>34</v>
      </c>
      <c r="B406" s="85">
        <v>92</v>
      </c>
      <c r="C406" s="85">
        <f t="shared" si="6"/>
        <v>405</v>
      </c>
      <c r="D406" s="85" t="s">
        <v>1499</v>
      </c>
    </row>
    <row r="407" spans="1:4">
      <c r="A407" s="85">
        <v>34</v>
      </c>
      <c r="B407" s="85">
        <v>92</v>
      </c>
      <c r="C407" s="85">
        <f t="shared" si="6"/>
        <v>406</v>
      </c>
      <c r="D407" s="85" t="s">
        <v>1500</v>
      </c>
    </row>
    <row r="408" spans="1:4">
      <c r="A408" s="85">
        <v>34</v>
      </c>
      <c r="B408" s="85">
        <v>92</v>
      </c>
      <c r="C408" s="85">
        <f t="shared" si="6"/>
        <v>407</v>
      </c>
      <c r="D408" s="85" t="s">
        <v>1501</v>
      </c>
    </row>
    <row r="409" spans="1:4">
      <c r="A409" s="85">
        <v>35</v>
      </c>
      <c r="B409" s="85">
        <v>93</v>
      </c>
      <c r="C409" s="85">
        <f t="shared" si="6"/>
        <v>408</v>
      </c>
      <c r="D409" s="85" t="s">
        <v>1502</v>
      </c>
    </row>
    <row r="410" spans="1:4">
      <c r="A410" s="85">
        <v>35</v>
      </c>
      <c r="B410" s="85">
        <v>93</v>
      </c>
      <c r="C410" s="85">
        <f t="shared" si="6"/>
        <v>409</v>
      </c>
      <c r="D410" s="85" t="s">
        <v>1503</v>
      </c>
    </row>
    <row r="411" spans="1:4">
      <c r="A411" s="85">
        <v>35</v>
      </c>
      <c r="B411" s="85">
        <v>93</v>
      </c>
      <c r="C411" s="85">
        <f t="shared" si="6"/>
        <v>410</v>
      </c>
      <c r="D411" s="85" t="s">
        <v>1504</v>
      </c>
    </row>
    <row r="412" spans="1:4">
      <c r="A412" s="85">
        <v>35</v>
      </c>
      <c r="B412" s="85">
        <v>93</v>
      </c>
      <c r="C412" s="85">
        <f t="shared" si="6"/>
        <v>411</v>
      </c>
      <c r="D412" s="85" t="s">
        <v>1505</v>
      </c>
    </row>
    <row r="413" spans="1:4">
      <c r="A413" s="85">
        <v>35</v>
      </c>
      <c r="B413" s="85">
        <v>94</v>
      </c>
      <c r="C413" s="85">
        <f t="shared" si="6"/>
        <v>412</v>
      </c>
      <c r="D413" s="85" t="s">
        <v>1506</v>
      </c>
    </row>
    <row r="414" spans="1:4">
      <c r="A414" s="85">
        <v>35</v>
      </c>
      <c r="B414" s="85">
        <v>94</v>
      </c>
      <c r="C414" s="85">
        <f t="shared" ref="C414:C477" si="7">C413+1</f>
        <v>413</v>
      </c>
      <c r="D414" s="85" t="s">
        <v>1507</v>
      </c>
    </row>
    <row r="415" spans="1:4">
      <c r="A415" s="85">
        <v>35</v>
      </c>
      <c r="B415" s="85">
        <v>95</v>
      </c>
      <c r="C415" s="85">
        <f t="shared" si="7"/>
        <v>414</v>
      </c>
      <c r="D415" s="85" t="s">
        <v>1508</v>
      </c>
    </row>
    <row r="416" spans="1:4">
      <c r="A416" s="85">
        <v>35</v>
      </c>
      <c r="B416" s="85">
        <v>95</v>
      </c>
      <c r="C416" s="85">
        <f t="shared" si="7"/>
        <v>415</v>
      </c>
      <c r="D416" s="85" t="s">
        <v>1509</v>
      </c>
    </row>
    <row r="417" spans="1:4">
      <c r="A417" s="85">
        <v>35</v>
      </c>
      <c r="B417" s="85">
        <v>96</v>
      </c>
      <c r="C417" s="85">
        <f t="shared" si="7"/>
        <v>416</v>
      </c>
      <c r="D417" s="85" t="s">
        <v>1510</v>
      </c>
    </row>
    <row r="418" spans="1:4">
      <c r="A418" s="85">
        <v>35</v>
      </c>
      <c r="B418" s="85">
        <v>96</v>
      </c>
      <c r="C418" s="85">
        <f t="shared" si="7"/>
        <v>417</v>
      </c>
      <c r="D418" s="85" t="s">
        <v>1511</v>
      </c>
    </row>
    <row r="419" spans="1:4">
      <c r="A419" s="85">
        <v>35</v>
      </c>
      <c r="B419" s="85">
        <v>96</v>
      </c>
      <c r="C419" s="85">
        <f t="shared" si="7"/>
        <v>418</v>
      </c>
      <c r="D419" s="85" t="s">
        <v>1512</v>
      </c>
    </row>
    <row r="420" spans="1:4">
      <c r="A420" s="85">
        <v>35</v>
      </c>
      <c r="B420" s="85">
        <v>96</v>
      </c>
      <c r="C420" s="85">
        <f t="shared" si="7"/>
        <v>419</v>
      </c>
      <c r="D420" s="85" t="s">
        <v>1513</v>
      </c>
    </row>
    <row r="421" spans="1:4">
      <c r="A421" s="85">
        <v>36</v>
      </c>
      <c r="B421" s="85">
        <v>97</v>
      </c>
      <c r="C421" s="85">
        <f t="shared" si="7"/>
        <v>420</v>
      </c>
      <c r="D421" s="85" t="s">
        <v>1514</v>
      </c>
    </row>
    <row r="422" spans="1:4">
      <c r="A422" s="85">
        <v>36</v>
      </c>
      <c r="B422" s="85">
        <v>97</v>
      </c>
      <c r="C422" s="85">
        <f t="shared" si="7"/>
        <v>421</v>
      </c>
      <c r="D422" s="85" t="s">
        <v>1515</v>
      </c>
    </row>
    <row r="423" spans="1:4">
      <c r="A423" s="85">
        <v>36</v>
      </c>
      <c r="B423" s="85">
        <v>97</v>
      </c>
      <c r="C423" s="85">
        <f t="shared" si="7"/>
        <v>422</v>
      </c>
      <c r="D423" s="85" t="s">
        <v>1516</v>
      </c>
    </row>
    <row r="424" spans="1:4">
      <c r="A424" s="85">
        <v>36</v>
      </c>
      <c r="B424" s="85">
        <v>97</v>
      </c>
      <c r="C424" s="85">
        <f t="shared" si="7"/>
        <v>423</v>
      </c>
      <c r="D424" s="85" t="s">
        <v>1517</v>
      </c>
    </row>
    <row r="425" spans="1:4">
      <c r="A425" s="85">
        <v>36</v>
      </c>
      <c r="B425" s="85">
        <v>97</v>
      </c>
      <c r="C425" s="85">
        <f t="shared" si="7"/>
        <v>424</v>
      </c>
      <c r="D425" s="85" t="s">
        <v>1518</v>
      </c>
    </row>
    <row r="426" spans="1:4">
      <c r="A426" s="85">
        <v>36</v>
      </c>
      <c r="B426" s="85">
        <v>97</v>
      </c>
      <c r="C426" s="85">
        <f t="shared" si="7"/>
        <v>425</v>
      </c>
      <c r="D426" s="85" t="s">
        <v>1519</v>
      </c>
    </row>
    <row r="427" spans="1:4">
      <c r="A427" s="85">
        <v>36</v>
      </c>
      <c r="B427" s="85">
        <v>98</v>
      </c>
      <c r="C427" s="85">
        <f t="shared" si="7"/>
        <v>426</v>
      </c>
      <c r="D427" s="85" t="s">
        <v>1520</v>
      </c>
    </row>
    <row r="428" spans="1:4">
      <c r="A428" s="85">
        <v>36</v>
      </c>
      <c r="B428" s="85">
        <v>98</v>
      </c>
      <c r="C428" s="85">
        <f t="shared" si="7"/>
        <v>427</v>
      </c>
      <c r="D428" s="85" t="s">
        <v>1521</v>
      </c>
    </row>
    <row r="429" spans="1:4">
      <c r="A429" s="85">
        <v>36</v>
      </c>
      <c r="B429" s="85">
        <v>98</v>
      </c>
      <c r="C429" s="85">
        <f t="shared" si="7"/>
        <v>428</v>
      </c>
      <c r="D429" s="85" t="s">
        <v>1522</v>
      </c>
    </row>
    <row r="430" spans="1:4">
      <c r="A430" s="85">
        <v>36</v>
      </c>
      <c r="B430" s="85">
        <v>98</v>
      </c>
      <c r="C430" s="85">
        <f t="shared" si="7"/>
        <v>429</v>
      </c>
      <c r="D430" s="85" t="s">
        <v>1523</v>
      </c>
    </row>
    <row r="431" spans="1:4">
      <c r="A431" s="85">
        <v>36</v>
      </c>
      <c r="B431" s="85">
        <v>98</v>
      </c>
      <c r="C431" s="85">
        <f t="shared" si="7"/>
        <v>430</v>
      </c>
      <c r="D431" s="85" t="s">
        <v>1524</v>
      </c>
    </row>
    <row r="432" spans="1:4">
      <c r="A432" s="85">
        <v>36</v>
      </c>
      <c r="B432" s="85">
        <v>98</v>
      </c>
      <c r="C432" s="85">
        <f t="shared" si="7"/>
        <v>431</v>
      </c>
      <c r="D432" s="85" t="s">
        <v>1525</v>
      </c>
    </row>
    <row r="433" spans="1:4">
      <c r="A433" s="85">
        <v>36</v>
      </c>
      <c r="B433" s="85">
        <v>99</v>
      </c>
      <c r="C433" s="85">
        <f t="shared" si="7"/>
        <v>432</v>
      </c>
      <c r="D433" s="85" t="s">
        <v>1526</v>
      </c>
    </row>
    <row r="434" spans="1:4">
      <c r="A434" s="85">
        <v>36</v>
      </c>
      <c r="B434" s="85">
        <v>99</v>
      </c>
      <c r="C434" s="85">
        <f t="shared" si="7"/>
        <v>433</v>
      </c>
      <c r="D434" s="85" t="s">
        <v>1527</v>
      </c>
    </row>
    <row r="435" spans="1:4">
      <c r="A435" s="85">
        <v>36</v>
      </c>
      <c r="B435" s="85">
        <v>99</v>
      </c>
      <c r="C435" s="85">
        <f t="shared" si="7"/>
        <v>434</v>
      </c>
      <c r="D435" s="85" t="s">
        <v>1528</v>
      </c>
    </row>
    <row r="436" spans="1:4">
      <c r="A436" s="85">
        <v>36</v>
      </c>
      <c r="B436" s="85">
        <v>99</v>
      </c>
      <c r="C436" s="85">
        <f t="shared" si="7"/>
        <v>435</v>
      </c>
      <c r="D436" s="85" t="s">
        <v>1529</v>
      </c>
    </row>
    <row r="437" spans="1:4">
      <c r="A437" s="85">
        <v>36</v>
      </c>
      <c r="B437" s="85">
        <v>99</v>
      </c>
      <c r="C437" s="85">
        <f t="shared" si="7"/>
        <v>436</v>
      </c>
      <c r="D437" s="85" t="s">
        <v>1530</v>
      </c>
    </row>
    <row r="438" spans="1:4">
      <c r="A438" s="85">
        <v>37</v>
      </c>
      <c r="B438" s="85">
        <v>100</v>
      </c>
      <c r="C438" s="85">
        <f t="shared" si="7"/>
        <v>437</v>
      </c>
      <c r="D438" s="85" t="s">
        <v>1531</v>
      </c>
    </row>
    <row r="439" spans="1:4">
      <c r="A439" s="85">
        <v>37</v>
      </c>
      <c r="B439" s="85">
        <v>100</v>
      </c>
      <c r="C439" s="85">
        <f t="shared" si="7"/>
        <v>438</v>
      </c>
      <c r="D439" s="85" t="s">
        <v>1532</v>
      </c>
    </row>
    <row r="440" spans="1:4">
      <c r="A440" s="85">
        <v>37</v>
      </c>
      <c r="B440" s="85">
        <v>100</v>
      </c>
      <c r="C440" s="85">
        <f t="shared" si="7"/>
        <v>439</v>
      </c>
      <c r="D440" s="85" t="s">
        <v>1533</v>
      </c>
    </row>
    <row r="441" spans="1:4">
      <c r="A441" s="85">
        <v>37</v>
      </c>
      <c r="B441" s="85">
        <v>101</v>
      </c>
      <c r="C441" s="85">
        <f t="shared" si="7"/>
        <v>440</v>
      </c>
      <c r="D441" s="85" t="s">
        <v>1534</v>
      </c>
    </row>
    <row r="442" spans="1:4">
      <c r="A442" s="85">
        <v>37</v>
      </c>
      <c r="B442" s="85">
        <v>101</v>
      </c>
      <c r="C442" s="85">
        <f t="shared" si="7"/>
        <v>441</v>
      </c>
      <c r="D442" s="85" t="s">
        <v>1535</v>
      </c>
    </row>
    <row r="443" spans="1:4">
      <c r="A443" s="85">
        <v>37</v>
      </c>
      <c r="B443" s="85">
        <v>101</v>
      </c>
      <c r="C443" s="85">
        <f t="shared" si="7"/>
        <v>442</v>
      </c>
      <c r="D443" s="85" t="s">
        <v>1536</v>
      </c>
    </row>
    <row r="444" spans="1:4">
      <c r="A444" s="85">
        <v>37</v>
      </c>
      <c r="B444" s="85">
        <v>101</v>
      </c>
      <c r="C444" s="85">
        <f t="shared" si="7"/>
        <v>443</v>
      </c>
      <c r="D444" s="85" t="s">
        <v>1537</v>
      </c>
    </row>
    <row r="445" spans="1:4">
      <c r="A445" s="85">
        <v>37</v>
      </c>
      <c r="B445" s="85">
        <v>101</v>
      </c>
      <c r="C445" s="85">
        <f t="shared" si="7"/>
        <v>444</v>
      </c>
      <c r="D445" s="85" t="s">
        <v>1538</v>
      </c>
    </row>
    <row r="446" spans="1:4">
      <c r="A446" s="85">
        <v>37</v>
      </c>
      <c r="B446" s="85">
        <v>102</v>
      </c>
      <c r="C446" s="85">
        <f t="shared" si="7"/>
        <v>445</v>
      </c>
      <c r="D446" s="85" t="s">
        <v>1539</v>
      </c>
    </row>
    <row r="447" spans="1:4">
      <c r="A447" s="85">
        <v>37</v>
      </c>
      <c r="B447" s="85">
        <v>102</v>
      </c>
      <c r="C447" s="85">
        <f t="shared" si="7"/>
        <v>446</v>
      </c>
      <c r="D447" s="85" t="s">
        <v>1540</v>
      </c>
    </row>
    <row r="448" spans="1:4">
      <c r="A448" s="85">
        <v>37</v>
      </c>
      <c r="B448" s="85">
        <v>102</v>
      </c>
      <c r="C448" s="85">
        <f t="shared" si="7"/>
        <v>447</v>
      </c>
      <c r="D448" s="85" t="s">
        <v>1541</v>
      </c>
    </row>
    <row r="449" spans="1:4">
      <c r="A449" s="85">
        <v>37</v>
      </c>
      <c r="B449" s="85">
        <v>102</v>
      </c>
      <c r="C449" s="85">
        <f t="shared" si="7"/>
        <v>448</v>
      </c>
      <c r="D449" s="85" t="s">
        <v>1542</v>
      </c>
    </row>
    <row r="450" spans="1:4">
      <c r="A450" s="85">
        <v>37</v>
      </c>
      <c r="B450" s="85">
        <v>102</v>
      </c>
      <c r="C450" s="85">
        <f t="shared" si="7"/>
        <v>449</v>
      </c>
      <c r="D450" s="85" t="s">
        <v>1543</v>
      </c>
    </row>
    <row r="451" spans="1:4">
      <c r="A451" s="85">
        <v>38</v>
      </c>
      <c r="B451" s="85">
        <v>103</v>
      </c>
      <c r="C451" s="85">
        <f t="shared" si="7"/>
        <v>450</v>
      </c>
      <c r="D451" s="85" t="s">
        <v>1544</v>
      </c>
    </row>
    <row r="452" spans="1:4">
      <c r="A452" s="85">
        <v>38</v>
      </c>
      <c r="B452" s="85">
        <v>103</v>
      </c>
      <c r="C452" s="85">
        <f t="shared" si="7"/>
        <v>451</v>
      </c>
      <c r="D452" s="85" t="s">
        <v>1545</v>
      </c>
    </row>
    <row r="453" spans="1:4">
      <c r="A453" s="85">
        <v>38</v>
      </c>
      <c r="B453" s="85">
        <v>103</v>
      </c>
      <c r="C453" s="85">
        <f t="shared" si="7"/>
        <v>452</v>
      </c>
      <c r="D453" s="85" t="s">
        <v>1546</v>
      </c>
    </row>
    <row r="454" spans="1:4">
      <c r="A454" s="85">
        <v>38</v>
      </c>
      <c r="B454" s="85">
        <v>103</v>
      </c>
      <c r="C454" s="85">
        <f t="shared" si="7"/>
        <v>453</v>
      </c>
      <c r="D454" s="85" t="s">
        <v>1547</v>
      </c>
    </row>
    <row r="455" spans="1:4">
      <c r="A455" s="85">
        <v>38</v>
      </c>
      <c r="B455" s="85">
        <v>104</v>
      </c>
      <c r="C455" s="85">
        <f t="shared" si="7"/>
        <v>454</v>
      </c>
      <c r="D455" s="85" t="s">
        <v>1548</v>
      </c>
    </row>
    <row r="456" spans="1:4">
      <c r="A456" s="85">
        <v>38</v>
      </c>
      <c r="B456" s="85">
        <v>104</v>
      </c>
      <c r="C456" s="85">
        <f t="shared" si="7"/>
        <v>455</v>
      </c>
      <c r="D456" s="85" t="s">
        <v>1549</v>
      </c>
    </row>
    <row r="457" spans="1:4">
      <c r="A457" s="85">
        <v>38</v>
      </c>
      <c r="B457" s="85">
        <v>104</v>
      </c>
      <c r="C457" s="85">
        <f t="shared" si="7"/>
        <v>456</v>
      </c>
      <c r="D457" s="85" t="s">
        <v>1550</v>
      </c>
    </row>
    <row r="458" spans="1:4">
      <c r="A458" s="85">
        <v>38</v>
      </c>
      <c r="B458" s="85">
        <v>104</v>
      </c>
      <c r="C458" s="85">
        <f t="shared" si="7"/>
        <v>457</v>
      </c>
      <c r="D458" s="85" t="s">
        <v>1551</v>
      </c>
    </row>
    <row r="459" spans="1:4">
      <c r="A459" s="85">
        <v>38</v>
      </c>
      <c r="B459" s="85">
        <v>104</v>
      </c>
      <c r="C459" s="85">
        <f t="shared" si="7"/>
        <v>458</v>
      </c>
      <c r="D459" s="85" t="s">
        <v>1552</v>
      </c>
    </row>
    <row r="460" spans="1:4">
      <c r="A460" s="85">
        <v>38</v>
      </c>
      <c r="B460" s="85">
        <v>104</v>
      </c>
      <c r="C460" s="85">
        <f t="shared" si="7"/>
        <v>459</v>
      </c>
      <c r="D460" s="85" t="s">
        <v>1553</v>
      </c>
    </row>
    <row r="461" spans="1:4">
      <c r="A461" s="85">
        <v>38</v>
      </c>
      <c r="B461" s="85">
        <v>104</v>
      </c>
      <c r="C461" s="85">
        <f t="shared" si="7"/>
        <v>460</v>
      </c>
      <c r="D461" s="85" t="s">
        <v>1554</v>
      </c>
    </row>
    <row r="462" spans="1:4">
      <c r="A462" s="85">
        <v>38</v>
      </c>
      <c r="B462" s="85">
        <v>104</v>
      </c>
      <c r="C462" s="85">
        <f t="shared" si="7"/>
        <v>461</v>
      </c>
      <c r="D462" s="85" t="s">
        <v>1555</v>
      </c>
    </row>
    <row r="463" spans="1:4">
      <c r="A463" s="85">
        <v>39</v>
      </c>
      <c r="B463" s="85">
        <v>105</v>
      </c>
      <c r="C463" s="85">
        <f t="shared" si="7"/>
        <v>462</v>
      </c>
      <c r="D463" s="85" t="s">
        <v>1556</v>
      </c>
    </row>
    <row r="464" spans="1:4">
      <c r="A464" s="85">
        <v>39</v>
      </c>
      <c r="B464" s="85">
        <v>105</v>
      </c>
      <c r="C464" s="85">
        <f t="shared" si="7"/>
        <v>463</v>
      </c>
      <c r="D464" s="85" t="s">
        <v>1557</v>
      </c>
    </row>
    <row r="465" spans="1:4">
      <c r="A465" s="85">
        <v>39</v>
      </c>
      <c r="B465" s="85">
        <v>105</v>
      </c>
      <c r="C465" s="85">
        <f t="shared" si="7"/>
        <v>464</v>
      </c>
      <c r="D465" s="85" t="s">
        <v>1558</v>
      </c>
    </row>
    <row r="466" spans="1:4">
      <c r="A466" s="85">
        <v>39</v>
      </c>
      <c r="B466" s="85">
        <v>105</v>
      </c>
      <c r="C466" s="85">
        <f t="shared" si="7"/>
        <v>465</v>
      </c>
      <c r="D466" s="85" t="s">
        <v>1559</v>
      </c>
    </row>
    <row r="467" spans="1:4">
      <c r="A467" s="85">
        <v>39</v>
      </c>
      <c r="B467" s="85">
        <v>105</v>
      </c>
      <c r="C467" s="85">
        <f t="shared" si="7"/>
        <v>466</v>
      </c>
      <c r="D467" s="85" t="s">
        <v>1560</v>
      </c>
    </row>
    <row r="468" spans="1:4">
      <c r="A468" s="85">
        <v>39</v>
      </c>
      <c r="B468" s="85">
        <v>105</v>
      </c>
      <c r="C468" s="85">
        <f t="shared" si="7"/>
        <v>467</v>
      </c>
      <c r="D468" s="85" t="s">
        <v>1561</v>
      </c>
    </row>
    <row r="469" spans="1:4">
      <c r="A469" s="85">
        <v>39</v>
      </c>
      <c r="B469" s="85">
        <v>105</v>
      </c>
      <c r="C469" s="85">
        <f t="shared" si="7"/>
        <v>468</v>
      </c>
      <c r="D469" s="85" t="s">
        <v>1562</v>
      </c>
    </row>
    <row r="470" spans="1:4">
      <c r="A470" s="85">
        <v>39</v>
      </c>
      <c r="B470" s="85">
        <v>106</v>
      </c>
      <c r="C470" s="85">
        <f t="shared" si="7"/>
        <v>469</v>
      </c>
      <c r="D470" s="85" t="s">
        <v>1563</v>
      </c>
    </row>
    <row r="471" spans="1:4">
      <c r="A471" s="85">
        <v>39</v>
      </c>
      <c r="B471" s="85">
        <v>106</v>
      </c>
      <c r="C471" s="85">
        <f t="shared" si="7"/>
        <v>470</v>
      </c>
      <c r="D471" s="85" t="s">
        <v>1564</v>
      </c>
    </row>
    <row r="472" spans="1:4">
      <c r="A472" s="85">
        <v>39</v>
      </c>
      <c r="B472" s="85">
        <v>106</v>
      </c>
      <c r="C472" s="85">
        <f t="shared" si="7"/>
        <v>471</v>
      </c>
      <c r="D472" s="85" t="s">
        <v>1565</v>
      </c>
    </row>
    <row r="473" spans="1:4">
      <c r="A473" s="85">
        <v>40</v>
      </c>
      <c r="B473" s="85">
        <v>107</v>
      </c>
      <c r="C473" s="85">
        <f t="shared" si="7"/>
        <v>472</v>
      </c>
      <c r="D473" s="85" t="s">
        <v>1566</v>
      </c>
    </row>
    <row r="474" spans="1:4">
      <c r="A474" s="85">
        <v>40</v>
      </c>
      <c r="B474" s="85">
        <v>107</v>
      </c>
      <c r="C474" s="85">
        <f t="shared" si="7"/>
        <v>473</v>
      </c>
      <c r="D474" s="85" t="s">
        <v>1567</v>
      </c>
    </row>
    <row r="475" spans="1:4">
      <c r="A475" s="85">
        <v>40</v>
      </c>
      <c r="B475" s="85">
        <v>107</v>
      </c>
      <c r="C475" s="85">
        <f t="shared" si="7"/>
        <v>474</v>
      </c>
      <c r="D475" s="85" t="s">
        <v>1568</v>
      </c>
    </row>
    <row r="476" spans="1:4">
      <c r="A476" s="85">
        <v>40</v>
      </c>
      <c r="B476" s="85">
        <v>107</v>
      </c>
      <c r="C476" s="85">
        <f t="shared" si="7"/>
        <v>475</v>
      </c>
      <c r="D476" s="85" t="s">
        <v>1569</v>
      </c>
    </row>
    <row r="477" spans="1:4">
      <c r="A477" s="85">
        <v>40</v>
      </c>
      <c r="B477" s="85">
        <v>107</v>
      </c>
      <c r="C477" s="85">
        <f t="shared" si="7"/>
        <v>476</v>
      </c>
      <c r="D477" s="85" t="s">
        <v>1570</v>
      </c>
    </row>
    <row r="478" spans="1:4">
      <c r="A478" s="85">
        <v>40</v>
      </c>
      <c r="B478" s="85">
        <v>107</v>
      </c>
      <c r="C478" s="85">
        <f t="shared" ref="C478:C541" si="8">C477+1</f>
        <v>477</v>
      </c>
      <c r="D478" s="85" t="s">
        <v>1571</v>
      </c>
    </row>
    <row r="479" spans="1:4">
      <c r="A479" s="85">
        <v>40</v>
      </c>
      <c r="B479" s="85">
        <v>107</v>
      </c>
      <c r="C479" s="85">
        <f t="shared" si="8"/>
        <v>478</v>
      </c>
      <c r="D479" s="85" t="s">
        <v>1572</v>
      </c>
    </row>
    <row r="480" spans="1:4">
      <c r="A480" s="85">
        <v>40</v>
      </c>
      <c r="B480" s="85">
        <v>108</v>
      </c>
      <c r="C480" s="85">
        <f t="shared" si="8"/>
        <v>479</v>
      </c>
      <c r="D480" s="85" t="s">
        <v>1573</v>
      </c>
    </row>
    <row r="481" spans="1:4">
      <c r="A481" s="85">
        <v>40</v>
      </c>
      <c r="B481" s="85">
        <v>108</v>
      </c>
      <c r="C481" s="85">
        <f t="shared" si="8"/>
        <v>480</v>
      </c>
      <c r="D481" s="85" t="s">
        <v>1574</v>
      </c>
    </row>
    <row r="482" spans="1:4">
      <c r="A482" s="85">
        <v>40</v>
      </c>
      <c r="B482" s="85">
        <v>108</v>
      </c>
      <c r="C482" s="85">
        <f t="shared" si="8"/>
        <v>481</v>
      </c>
      <c r="D482" s="85" t="s">
        <v>1575</v>
      </c>
    </row>
    <row r="483" spans="1:4">
      <c r="A483" s="85">
        <v>40</v>
      </c>
      <c r="B483" s="85">
        <v>108</v>
      </c>
      <c r="C483" s="85">
        <f t="shared" si="8"/>
        <v>482</v>
      </c>
      <c r="D483" s="85" t="s">
        <v>1576</v>
      </c>
    </row>
    <row r="484" spans="1:4">
      <c r="A484" s="85">
        <v>40</v>
      </c>
      <c r="B484" s="85">
        <v>108</v>
      </c>
      <c r="C484" s="85">
        <f t="shared" si="8"/>
        <v>483</v>
      </c>
      <c r="D484" s="85" t="s">
        <v>1577</v>
      </c>
    </row>
    <row r="485" spans="1:4">
      <c r="A485" s="85">
        <v>40</v>
      </c>
      <c r="B485" s="85">
        <v>108</v>
      </c>
      <c r="C485" s="85">
        <f t="shared" si="8"/>
        <v>484</v>
      </c>
      <c r="D485" s="85" t="s">
        <v>1578</v>
      </c>
    </row>
    <row r="486" spans="1:4">
      <c r="A486" s="85">
        <v>41</v>
      </c>
      <c r="B486" s="85">
        <v>109</v>
      </c>
      <c r="C486" s="85">
        <f t="shared" si="8"/>
        <v>485</v>
      </c>
      <c r="D486" s="85" t="s">
        <v>1579</v>
      </c>
    </row>
    <row r="487" spans="1:4">
      <c r="A487" s="85">
        <v>41</v>
      </c>
      <c r="B487" s="85">
        <v>109</v>
      </c>
      <c r="C487" s="85">
        <f t="shared" si="8"/>
        <v>486</v>
      </c>
      <c r="D487" s="85" t="s">
        <v>1580</v>
      </c>
    </row>
    <row r="488" spans="1:4">
      <c r="A488" s="85">
        <v>41</v>
      </c>
      <c r="B488" s="85">
        <v>109</v>
      </c>
      <c r="C488" s="85">
        <f t="shared" si="8"/>
        <v>487</v>
      </c>
      <c r="D488" s="85" t="s">
        <v>1581</v>
      </c>
    </row>
    <row r="489" spans="1:4">
      <c r="A489" s="85">
        <v>41</v>
      </c>
      <c r="B489" s="85">
        <v>109</v>
      </c>
      <c r="C489" s="85">
        <f t="shared" si="8"/>
        <v>488</v>
      </c>
      <c r="D489" s="85" t="s">
        <v>1582</v>
      </c>
    </row>
    <row r="490" spans="1:4">
      <c r="A490" s="85">
        <v>41</v>
      </c>
      <c r="B490" s="85">
        <v>109</v>
      </c>
      <c r="C490" s="85">
        <f t="shared" si="8"/>
        <v>489</v>
      </c>
      <c r="D490" s="85" t="s">
        <v>1583</v>
      </c>
    </row>
    <row r="491" spans="1:4">
      <c r="A491" s="85">
        <v>41</v>
      </c>
      <c r="B491" s="85">
        <v>109</v>
      </c>
      <c r="C491" s="85">
        <f t="shared" si="8"/>
        <v>490</v>
      </c>
      <c r="D491" s="85" t="s">
        <v>1584</v>
      </c>
    </row>
    <row r="492" spans="1:4">
      <c r="A492" s="85">
        <v>41</v>
      </c>
      <c r="B492" s="85">
        <v>109</v>
      </c>
      <c r="C492" s="85">
        <f t="shared" si="8"/>
        <v>491</v>
      </c>
      <c r="D492" s="85" t="s">
        <v>1585</v>
      </c>
    </row>
    <row r="493" spans="1:4">
      <c r="A493" s="85">
        <v>41</v>
      </c>
      <c r="B493" s="85">
        <v>109</v>
      </c>
      <c r="C493" s="85">
        <f t="shared" si="8"/>
        <v>492</v>
      </c>
      <c r="D493" s="85" t="s">
        <v>1586</v>
      </c>
    </row>
    <row r="494" spans="1:4">
      <c r="A494" s="85">
        <v>41</v>
      </c>
      <c r="B494" s="85">
        <v>110</v>
      </c>
      <c r="C494" s="85">
        <f t="shared" si="8"/>
        <v>493</v>
      </c>
      <c r="D494" s="85" t="s">
        <v>1587</v>
      </c>
    </row>
    <row r="495" spans="1:4">
      <c r="A495" s="85">
        <v>41</v>
      </c>
      <c r="B495" s="85">
        <v>111</v>
      </c>
      <c r="C495" s="85">
        <f t="shared" si="8"/>
        <v>494</v>
      </c>
      <c r="D495" s="85" t="s">
        <v>1588</v>
      </c>
    </row>
    <row r="496" spans="1:4">
      <c r="A496" s="85">
        <v>41</v>
      </c>
      <c r="B496" s="85">
        <v>111</v>
      </c>
      <c r="C496" s="85">
        <f t="shared" si="8"/>
        <v>495</v>
      </c>
      <c r="D496" s="85" t="s">
        <v>1589</v>
      </c>
    </row>
    <row r="497" spans="1:4">
      <c r="A497" s="85">
        <v>41</v>
      </c>
      <c r="B497" s="85">
        <v>111</v>
      </c>
      <c r="C497" s="85">
        <f t="shared" si="8"/>
        <v>496</v>
      </c>
      <c r="D497" s="85" t="s">
        <v>1590</v>
      </c>
    </row>
    <row r="498" spans="1:4">
      <c r="A498" s="85">
        <v>41</v>
      </c>
      <c r="B498" s="85">
        <v>111</v>
      </c>
      <c r="C498" s="85">
        <f t="shared" si="8"/>
        <v>497</v>
      </c>
      <c r="D498" s="85" t="s">
        <v>1591</v>
      </c>
    </row>
    <row r="499" spans="1:4">
      <c r="A499" s="85">
        <v>42</v>
      </c>
      <c r="B499" s="85">
        <v>112</v>
      </c>
      <c r="C499" s="85">
        <f t="shared" si="8"/>
        <v>498</v>
      </c>
      <c r="D499" s="85" t="s">
        <v>1592</v>
      </c>
    </row>
    <row r="500" spans="1:4">
      <c r="A500" s="85">
        <v>42</v>
      </c>
      <c r="B500" s="85">
        <v>112</v>
      </c>
      <c r="C500" s="85">
        <f t="shared" si="8"/>
        <v>499</v>
      </c>
      <c r="D500" s="85" t="s">
        <v>1593</v>
      </c>
    </row>
    <row r="501" spans="1:4">
      <c r="A501" s="85">
        <v>42</v>
      </c>
      <c r="B501" s="85">
        <v>112</v>
      </c>
      <c r="C501" s="85">
        <f t="shared" si="8"/>
        <v>500</v>
      </c>
      <c r="D501" s="85" t="s">
        <v>1594</v>
      </c>
    </row>
    <row r="502" spans="1:4">
      <c r="A502" s="85">
        <v>42</v>
      </c>
      <c r="B502" s="85">
        <v>112</v>
      </c>
      <c r="C502" s="85">
        <f t="shared" si="8"/>
        <v>501</v>
      </c>
      <c r="D502" s="85" t="s">
        <v>1595</v>
      </c>
    </row>
    <row r="503" spans="1:4">
      <c r="A503" s="85">
        <v>42</v>
      </c>
      <c r="B503" s="85">
        <v>112</v>
      </c>
      <c r="C503" s="85">
        <f t="shared" si="8"/>
        <v>502</v>
      </c>
      <c r="D503" s="85" t="s">
        <v>1596</v>
      </c>
    </row>
    <row r="504" spans="1:4">
      <c r="A504" s="85">
        <v>42</v>
      </c>
      <c r="B504" s="85">
        <v>113</v>
      </c>
      <c r="C504" s="85">
        <f t="shared" si="8"/>
        <v>503</v>
      </c>
      <c r="D504" s="85" t="s">
        <v>1597</v>
      </c>
    </row>
    <row r="505" spans="1:4">
      <c r="A505" s="85">
        <v>42</v>
      </c>
      <c r="B505" s="85">
        <v>113</v>
      </c>
      <c r="C505" s="85">
        <f t="shared" si="8"/>
        <v>504</v>
      </c>
      <c r="D505" s="85" t="s">
        <v>1598</v>
      </c>
    </row>
    <row r="506" spans="1:4">
      <c r="A506" s="85">
        <v>42</v>
      </c>
      <c r="B506" s="85">
        <v>113</v>
      </c>
      <c r="C506" s="85">
        <f t="shared" si="8"/>
        <v>505</v>
      </c>
      <c r="D506" s="85" t="s">
        <v>1599</v>
      </c>
    </row>
    <row r="507" spans="1:4">
      <c r="A507" s="85">
        <v>42</v>
      </c>
      <c r="B507" s="85">
        <v>113</v>
      </c>
      <c r="C507" s="85">
        <f t="shared" si="8"/>
        <v>506</v>
      </c>
      <c r="D507" s="85" t="s">
        <v>1600</v>
      </c>
    </row>
    <row r="508" spans="1:4">
      <c r="A508" s="85">
        <v>42</v>
      </c>
      <c r="B508" s="85">
        <v>113</v>
      </c>
      <c r="C508" s="85">
        <f t="shared" si="8"/>
        <v>507</v>
      </c>
      <c r="D508" s="85" t="s">
        <v>1601</v>
      </c>
    </row>
    <row r="509" spans="1:4">
      <c r="A509" s="85">
        <v>42</v>
      </c>
      <c r="B509" s="85">
        <v>113</v>
      </c>
      <c r="C509" s="85">
        <f t="shared" si="8"/>
        <v>508</v>
      </c>
      <c r="D509" s="85" t="s">
        <v>1602</v>
      </c>
    </row>
    <row r="510" spans="1:4">
      <c r="A510" s="85">
        <v>42</v>
      </c>
      <c r="B510" s="85">
        <v>114</v>
      </c>
      <c r="C510" s="85">
        <f t="shared" si="8"/>
        <v>509</v>
      </c>
      <c r="D510" s="85" t="s">
        <v>1603</v>
      </c>
    </row>
    <row r="511" spans="1:4">
      <c r="A511" s="85">
        <v>42</v>
      </c>
      <c r="B511" s="85">
        <v>114</v>
      </c>
      <c r="C511" s="85">
        <f t="shared" si="8"/>
        <v>510</v>
      </c>
      <c r="D511" s="85" t="s">
        <v>1604</v>
      </c>
    </row>
    <row r="512" spans="1:4">
      <c r="A512" s="85">
        <v>42</v>
      </c>
      <c r="B512" s="85">
        <v>114</v>
      </c>
      <c r="C512" s="85">
        <f t="shared" si="8"/>
        <v>511</v>
      </c>
      <c r="D512" s="85" t="s">
        <v>1605</v>
      </c>
    </row>
    <row r="513" spans="1:4">
      <c r="A513" s="85">
        <v>43</v>
      </c>
      <c r="B513" s="85">
        <v>115</v>
      </c>
      <c r="C513" s="85">
        <f t="shared" si="8"/>
        <v>512</v>
      </c>
      <c r="D513" s="85" t="s">
        <v>1606</v>
      </c>
    </row>
    <row r="514" spans="1:4">
      <c r="A514" s="85">
        <v>43</v>
      </c>
      <c r="B514" s="85">
        <v>115</v>
      </c>
      <c r="C514" s="85">
        <f t="shared" si="8"/>
        <v>513</v>
      </c>
      <c r="D514" s="85" t="s">
        <v>1607</v>
      </c>
    </row>
    <row r="515" spans="1:4">
      <c r="A515" s="85">
        <v>43</v>
      </c>
      <c r="B515" s="85">
        <v>115</v>
      </c>
      <c r="C515" s="85">
        <f t="shared" si="8"/>
        <v>514</v>
      </c>
      <c r="D515" s="85" t="s">
        <v>1608</v>
      </c>
    </row>
    <row r="516" spans="1:4">
      <c r="A516" s="85">
        <v>43</v>
      </c>
      <c r="B516" s="85">
        <v>115</v>
      </c>
      <c r="C516" s="85">
        <f t="shared" si="8"/>
        <v>515</v>
      </c>
      <c r="D516" s="85" t="s">
        <v>1609</v>
      </c>
    </row>
    <row r="517" spans="1:4">
      <c r="A517" s="85">
        <v>43</v>
      </c>
      <c r="B517" s="85">
        <v>115</v>
      </c>
      <c r="C517" s="85">
        <f t="shared" si="8"/>
        <v>516</v>
      </c>
      <c r="D517" s="85" t="s">
        <v>1610</v>
      </c>
    </row>
    <row r="518" spans="1:4">
      <c r="A518" s="85">
        <v>43</v>
      </c>
      <c r="B518" s="85">
        <v>115</v>
      </c>
      <c r="C518" s="85">
        <f t="shared" si="8"/>
        <v>517</v>
      </c>
      <c r="D518" s="85" t="s">
        <v>1611</v>
      </c>
    </row>
    <row r="519" spans="1:4">
      <c r="A519" s="85">
        <v>43</v>
      </c>
      <c r="B519" s="85">
        <v>115</v>
      </c>
      <c r="C519" s="85">
        <f t="shared" si="8"/>
        <v>518</v>
      </c>
      <c r="D519" s="85" t="s">
        <v>1612</v>
      </c>
    </row>
    <row r="520" spans="1:4">
      <c r="A520" s="85">
        <v>43</v>
      </c>
      <c r="B520" s="85">
        <v>116</v>
      </c>
      <c r="C520" s="85">
        <f t="shared" si="8"/>
        <v>519</v>
      </c>
      <c r="D520" s="85" t="s">
        <v>1613</v>
      </c>
    </row>
    <row r="521" spans="1:4">
      <c r="A521" s="85">
        <v>43</v>
      </c>
      <c r="B521" s="85">
        <v>116</v>
      </c>
      <c r="C521" s="85">
        <f t="shared" si="8"/>
        <v>520</v>
      </c>
      <c r="D521" s="85" t="s">
        <v>1614</v>
      </c>
    </row>
    <row r="522" spans="1:4">
      <c r="A522" s="85">
        <v>43</v>
      </c>
      <c r="B522" s="85">
        <v>116</v>
      </c>
      <c r="C522" s="85">
        <f t="shared" si="8"/>
        <v>521</v>
      </c>
      <c r="D522" s="85" t="s">
        <v>1615</v>
      </c>
    </row>
    <row r="523" spans="1:4">
      <c r="A523" s="85">
        <v>43</v>
      </c>
      <c r="B523" s="85">
        <v>116</v>
      </c>
      <c r="C523" s="85">
        <f t="shared" si="8"/>
        <v>522</v>
      </c>
      <c r="D523" s="85" t="s">
        <v>1616</v>
      </c>
    </row>
    <row r="524" spans="1:4">
      <c r="A524" s="85">
        <v>43</v>
      </c>
      <c r="B524" s="85">
        <v>116</v>
      </c>
      <c r="C524" s="85">
        <f t="shared" si="8"/>
        <v>523</v>
      </c>
      <c r="D524" s="85" t="s">
        <v>1617</v>
      </c>
    </row>
    <row r="525" spans="1:4">
      <c r="A525" s="85">
        <v>43</v>
      </c>
      <c r="B525" s="85">
        <v>116</v>
      </c>
      <c r="C525" s="85">
        <f t="shared" si="8"/>
        <v>524</v>
      </c>
      <c r="D525" s="85" t="s">
        <v>1618</v>
      </c>
    </row>
    <row r="526" spans="1:4">
      <c r="A526" s="85">
        <v>43</v>
      </c>
      <c r="B526" s="85">
        <v>116</v>
      </c>
      <c r="C526" s="85">
        <f t="shared" si="8"/>
        <v>525</v>
      </c>
      <c r="D526" s="85" t="s">
        <v>1619</v>
      </c>
    </row>
    <row r="527" spans="1:4">
      <c r="A527" s="85">
        <v>43</v>
      </c>
      <c r="B527" s="85">
        <v>116</v>
      </c>
      <c r="C527" s="85">
        <f t="shared" si="8"/>
        <v>526</v>
      </c>
      <c r="D527" s="85" t="s">
        <v>1620</v>
      </c>
    </row>
    <row r="528" spans="1:4">
      <c r="A528" s="85">
        <v>43</v>
      </c>
      <c r="B528" s="85">
        <v>116</v>
      </c>
      <c r="C528" s="85">
        <f t="shared" si="8"/>
        <v>527</v>
      </c>
      <c r="D528" s="85" t="s">
        <v>1621</v>
      </c>
    </row>
    <row r="529" spans="1:4">
      <c r="A529" s="85">
        <v>44</v>
      </c>
      <c r="B529" s="85">
        <v>117</v>
      </c>
      <c r="C529" s="85">
        <f t="shared" si="8"/>
        <v>528</v>
      </c>
      <c r="D529" s="85" t="s">
        <v>1622</v>
      </c>
    </row>
    <row r="530" spans="1:4">
      <c r="A530" s="85">
        <v>44</v>
      </c>
      <c r="B530" s="85">
        <v>117</v>
      </c>
      <c r="C530" s="85">
        <f t="shared" si="8"/>
        <v>529</v>
      </c>
      <c r="D530" s="85" t="s">
        <v>1623</v>
      </c>
    </row>
    <row r="531" spans="1:4">
      <c r="A531" s="85">
        <v>44</v>
      </c>
      <c r="B531" s="85">
        <v>117</v>
      </c>
      <c r="C531" s="85">
        <f t="shared" si="8"/>
        <v>530</v>
      </c>
      <c r="D531" s="85" t="s">
        <v>1624</v>
      </c>
    </row>
    <row r="532" spans="1:4">
      <c r="A532" s="85">
        <v>44</v>
      </c>
      <c r="B532" s="85">
        <v>117</v>
      </c>
      <c r="C532" s="85">
        <f t="shared" si="8"/>
        <v>531</v>
      </c>
      <c r="D532" s="85" t="s">
        <v>1625</v>
      </c>
    </row>
    <row r="533" spans="1:4">
      <c r="A533" s="85">
        <v>44</v>
      </c>
      <c r="B533" s="85">
        <v>117</v>
      </c>
      <c r="C533" s="85">
        <f t="shared" si="8"/>
        <v>532</v>
      </c>
      <c r="D533" s="85" t="s">
        <v>1626</v>
      </c>
    </row>
    <row r="534" spans="1:4">
      <c r="A534" s="85">
        <v>44</v>
      </c>
      <c r="B534" s="85">
        <v>117</v>
      </c>
      <c r="C534" s="85">
        <f t="shared" si="8"/>
        <v>533</v>
      </c>
      <c r="D534" s="85" t="s">
        <v>1627</v>
      </c>
    </row>
    <row r="535" spans="1:4">
      <c r="A535" s="85">
        <v>44</v>
      </c>
      <c r="B535" s="85">
        <v>117</v>
      </c>
      <c r="C535" s="85">
        <f t="shared" si="8"/>
        <v>534</v>
      </c>
      <c r="D535" s="85" t="s">
        <v>1628</v>
      </c>
    </row>
    <row r="536" spans="1:4">
      <c r="A536" s="85">
        <v>44</v>
      </c>
      <c r="B536" s="85">
        <v>117</v>
      </c>
      <c r="C536" s="85">
        <f t="shared" si="8"/>
        <v>535</v>
      </c>
      <c r="D536" s="85" t="s">
        <v>1629</v>
      </c>
    </row>
    <row r="537" spans="1:4">
      <c r="A537" s="85">
        <v>44</v>
      </c>
      <c r="B537" s="85">
        <v>117</v>
      </c>
      <c r="C537" s="85">
        <f t="shared" si="8"/>
        <v>536</v>
      </c>
      <c r="D537" s="85" t="s">
        <v>1630</v>
      </c>
    </row>
    <row r="538" spans="1:4">
      <c r="A538" s="85">
        <v>44</v>
      </c>
      <c r="B538" s="85">
        <v>118</v>
      </c>
      <c r="C538" s="85">
        <f t="shared" si="8"/>
        <v>537</v>
      </c>
      <c r="D538" s="85" t="s">
        <v>1631</v>
      </c>
    </row>
    <row r="539" spans="1:4">
      <c r="A539" s="85">
        <v>44</v>
      </c>
      <c r="B539" s="85">
        <v>118</v>
      </c>
      <c r="C539" s="85">
        <f t="shared" si="8"/>
        <v>538</v>
      </c>
      <c r="D539" s="85" t="s">
        <v>1632</v>
      </c>
    </row>
    <row r="540" spans="1:4">
      <c r="A540" s="85">
        <v>44</v>
      </c>
      <c r="B540" s="85">
        <v>118</v>
      </c>
      <c r="C540" s="85">
        <f t="shared" si="8"/>
        <v>539</v>
      </c>
      <c r="D540" s="85" t="s">
        <v>1633</v>
      </c>
    </row>
    <row r="541" spans="1:4">
      <c r="A541" s="85">
        <v>44</v>
      </c>
      <c r="B541" s="85">
        <v>118</v>
      </c>
      <c r="C541" s="85">
        <f t="shared" si="8"/>
        <v>540</v>
      </c>
      <c r="D541" s="85" t="s">
        <v>1634</v>
      </c>
    </row>
    <row r="542" spans="1:4">
      <c r="A542" s="85">
        <v>44</v>
      </c>
      <c r="B542" s="85">
        <v>118</v>
      </c>
      <c r="C542" s="85">
        <f t="shared" ref="C542:C605" si="9">C541+1</f>
        <v>541</v>
      </c>
      <c r="D542" s="85" t="s">
        <v>1635</v>
      </c>
    </row>
    <row r="543" spans="1:4">
      <c r="A543" s="85">
        <v>44</v>
      </c>
      <c r="B543" s="85">
        <v>118</v>
      </c>
      <c r="C543" s="85">
        <f t="shared" si="9"/>
        <v>542</v>
      </c>
      <c r="D543" s="85" t="s">
        <v>1636</v>
      </c>
    </row>
    <row r="544" spans="1:4">
      <c r="A544" s="85">
        <v>45</v>
      </c>
      <c r="B544" s="85">
        <v>119</v>
      </c>
      <c r="C544" s="85">
        <f t="shared" si="9"/>
        <v>543</v>
      </c>
      <c r="D544" s="85" t="s">
        <v>1637</v>
      </c>
    </row>
    <row r="545" spans="1:4">
      <c r="A545" s="85">
        <v>45</v>
      </c>
      <c r="B545" s="85">
        <v>119</v>
      </c>
      <c r="C545" s="85">
        <f t="shared" si="9"/>
        <v>544</v>
      </c>
      <c r="D545" s="85" t="s">
        <v>1638</v>
      </c>
    </row>
    <row r="546" spans="1:4">
      <c r="A546" s="85">
        <v>45</v>
      </c>
      <c r="B546" s="85">
        <v>119</v>
      </c>
      <c r="C546" s="85">
        <f t="shared" si="9"/>
        <v>545</v>
      </c>
      <c r="D546" s="85" t="s">
        <v>1639</v>
      </c>
    </row>
    <row r="547" spans="1:4">
      <c r="A547" s="85">
        <v>45</v>
      </c>
      <c r="B547" s="85">
        <v>120</v>
      </c>
      <c r="C547" s="85">
        <f t="shared" si="9"/>
        <v>546</v>
      </c>
      <c r="D547" s="85" t="s">
        <v>1640</v>
      </c>
    </row>
    <row r="548" spans="1:4">
      <c r="A548" s="85">
        <v>45</v>
      </c>
      <c r="B548" s="85">
        <v>120</v>
      </c>
      <c r="C548" s="85">
        <f t="shared" si="9"/>
        <v>547</v>
      </c>
      <c r="D548" s="85" t="s">
        <v>1641</v>
      </c>
    </row>
    <row r="549" spans="1:4">
      <c r="A549" s="85">
        <v>45</v>
      </c>
      <c r="B549" s="85">
        <v>120</v>
      </c>
      <c r="C549" s="85">
        <f t="shared" si="9"/>
        <v>548</v>
      </c>
      <c r="D549" s="85" t="s">
        <v>1642</v>
      </c>
    </row>
    <row r="550" spans="1:4">
      <c r="A550" s="85">
        <v>45</v>
      </c>
      <c r="B550" s="85">
        <v>120</v>
      </c>
      <c r="C550" s="85">
        <f t="shared" si="9"/>
        <v>549</v>
      </c>
      <c r="D550" s="85" t="s">
        <v>1643</v>
      </c>
    </row>
    <row r="551" spans="1:4">
      <c r="A551" s="85">
        <v>45</v>
      </c>
      <c r="B551" s="85">
        <v>120</v>
      </c>
      <c r="C551" s="85">
        <f t="shared" si="9"/>
        <v>550</v>
      </c>
      <c r="D551" s="85" t="s">
        <v>1644</v>
      </c>
    </row>
    <row r="552" spans="1:4">
      <c r="A552" s="85">
        <v>45</v>
      </c>
      <c r="B552" s="85">
        <v>120</v>
      </c>
      <c r="C552" s="85">
        <f t="shared" si="9"/>
        <v>551</v>
      </c>
      <c r="D552" s="85" t="s">
        <v>1645</v>
      </c>
    </row>
    <row r="553" spans="1:4">
      <c r="A553" s="85">
        <v>45</v>
      </c>
      <c r="B553" s="85">
        <v>120</v>
      </c>
      <c r="C553" s="85">
        <f t="shared" si="9"/>
        <v>552</v>
      </c>
      <c r="D553" s="85" t="s">
        <v>1646</v>
      </c>
    </row>
    <row r="554" spans="1:4">
      <c r="A554" s="85">
        <v>45</v>
      </c>
      <c r="B554" s="85">
        <v>120</v>
      </c>
      <c r="C554" s="85">
        <f t="shared" si="9"/>
        <v>553</v>
      </c>
      <c r="D554" s="85" t="s">
        <v>1647</v>
      </c>
    </row>
    <row r="555" spans="1:4">
      <c r="A555" s="85">
        <v>45</v>
      </c>
      <c r="B555" s="85">
        <v>120</v>
      </c>
      <c r="C555" s="85">
        <f t="shared" si="9"/>
        <v>554</v>
      </c>
      <c r="D555" s="85" t="s">
        <v>1648</v>
      </c>
    </row>
    <row r="556" spans="1:4">
      <c r="A556" s="85">
        <v>45</v>
      </c>
      <c r="B556" s="85">
        <v>120</v>
      </c>
      <c r="C556" s="85">
        <f t="shared" si="9"/>
        <v>555</v>
      </c>
      <c r="D556" s="85" t="s">
        <v>1649</v>
      </c>
    </row>
    <row r="557" spans="1:4">
      <c r="A557" s="85">
        <v>45</v>
      </c>
      <c r="B557" s="85">
        <v>120</v>
      </c>
      <c r="C557" s="85">
        <f t="shared" si="9"/>
        <v>556</v>
      </c>
      <c r="D557" s="85" t="s">
        <v>1650</v>
      </c>
    </row>
    <row r="558" spans="1:4">
      <c r="A558" s="85">
        <v>45</v>
      </c>
      <c r="B558" s="85">
        <v>120</v>
      </c>
      <c r="C558" s="85">
        <f t="shared" si="9"/>
        <v>557</v>
      </c>
      <c r="D558" s="85" t="s">
        <v>1651</v>
      </c>
    </row>
    <row r="559" spans="1:4">
      <c r="A559" s="85">
        <v>45</v>
      </c>
      <c r="B559" s="85">
        <v>120</v>
      </c>
      <c r="C559" s="85">
        <f t="shared" si="9"/>
        <v>558</v>
      </c>
      <c r="D559" s="85" t="s">
        <v>1652</v>
      </c>
    </row>
    <row r="560" spans="1:4">
      <c r="A560" s="85">
        <v>46</v>
      </c>
      <c r="B560" s="85">
        <v>121</v>
      </c>
      <c r="C560" s="85">
        <f t="shared" si="9"/>
        <v>559</v>
      </c>
      <c r="D560" s="85" t="s">
        <v>1653</v>
      </c>
    </row>
    <row r="561" spans="1:4">
      <c r="A561" s="85">
        <v>46</v>
      </c>
      <c r="B561" s="85">
        <v>121</v>
      </c>
      <c r="C561" s="85">
        <f t="shared" si="9"/>
        <v>560</v>
      </c>
      <c r="D561" s="85" t="s">
        <v>1654</v>
      </c>
    </row>
    <row r="562" spans="1:4">
      <c r="A562" s="85">
        <v>46</v>
      </c>
      <c r="B562" s="85">
        <v>121</v>
      </c>
      <c r="C562" s="85">
        <f t="shared" si="9"/>
        <v>561</v>
      </c>
      <c r="D562" s="85" t="s">
        <v>1655</v>
      </c>
    </row>
    <row r="563" spans="1:4">
      <c r="A563" s="85">
        <v>46</v>
      </c>
      <c r="B563" s="85">
        <v>122</v>
      </c>
      <c r="C563" s="85">
        <f t="shared" si="9"/>
        <v>562</v>
      </c>
      <c r="D563" s="85" t="s">
        <v>1656</v>
      </c>
    </row>
    <row r="564" spans="1:4">
      <c r="A564" s="85">
        <v>46</v>
      </c>
      <c r="B564" s="85">
        <v>122</v>
      </c>
      <c r="C564" s="85">
        <f t="shared" si="9"/>
        <v>563</v>
      </c>
      <c r="D564" s="85" t="s">
        <v>1657</v>
      </c>
    </row>
    <row r="565" spans="1:4">
      <c r="A565" s="85">
        <v>46</v>
      </c>
      <c r="B565" s="85">
        <v>122</v>
      </c>
      <c r="C565" s="85">
        <f t="shared" si="9"/>
        <v>564</v>
      </c>
      <c r="D565" s="85" t="s">
        <v>1658</v>
      </c>
    </row>
    <row r="566" spans="1:4">
      <c r="A566" s="85">
        <v>46</v>
      </c>
      <c r="B566" s="85">
        <v>123</v>
      </c>
      <c r="C566" s="85">
        <f t="shared" si="9"/>
        <v>565</v>
      </c>
      <c r="D566" s="85" t="s">
        <v>1659</v>
      </c>
    </row>
    <row r="567" spans="1:4">
      <c r="A567" s="85">
        <v>46</v>
      </c>
      <c r="B567" s="85">
        <v>123</v>
      </c>
      <c r="C567" s="85">
        <f t="shared" si="9"/>
        <v>566</v>
      </c>
      <c r="D567" s="85" t="s">
        <v>1660</v>
      </c>
    </row>
    <row r="568" spans="1:4">
      <c r="A568" s="85">
        <v>46</v>
      </c>
      <c r="B568" s="85">
        <v>123</v>
      </c>
      <c r="C568" s="85">
        <f t="shared" si="9"/>
        <v>567</v>
      </c>
      <c r="D568" s="85" t="s">
        <v>1661</v>
      </c>
    </row>
    <row r="569" spans="1:4">
      <c r="A569" s="85">
        <v>46</v>
      </c>
      <c r="B569" s="85">
        <v>123</v>
      </c>
      <c r="C569" s="85">
        <f t="shared" si="9"/>
        <v>568</v>
      </c>
      <c r="D569" s="85" t="s">
        <v>1662</v>
      </c>
    </row>
    <row r="570" spans="1:4">
      <c r="A570" s="85">
        <v>47</v>
      </c>
      <c r="B570" s="85">
        <v>124</v>
      </c>
      <c r="C570" s="85">
        <f t="shared" si="9"/>
        <v>569</v>
      </c>
      <c r="D570" s="85" t="s">
        <v>1663</v>
      </c>
    </row>
    <row r="571" spans="1:4">
      <c r="A571" s="85">
        <v>47</v>
      </c>
      <c r="B571" s="85">
        <v>124</v>
      </c>
      <c r="C571" s="85">
        <f t="shared" si="9"/>
        <v>570</v>
      </c>
      <c r="D571" s="85" t="s">
        <v>1664</v>
      </c>
    </row>
    <row r="572" spans="1:4">
      <c r="A572" s="85">
        <v>47</v>
      </c>
      <c r="B572" s="85">
        <v>124</v>
      </c>
      <c r="C572" s="85">
        <f t="shared" si="9"/>
        <v>571</v>
      </c>
      <c r="D572" s="85" t="s">
        <v>1665</v>
      </c>
    </row>
    <row r="573" spans="1:4">
      <c r="A573" s="85">
        <v>47</v>
      </c>
      <c r="B573" s="85">
        <v>124</v>
      </c>
      <c r="C573" s="85">
        <f t="shared" si="9"/>
        <v>572</v>
      </c>
      <c r="D573" s="85" t="s">
        <v>1666</v>
      </c>
    </row>
    <row r="574" spans="1:4">
      <c r="A574" s="85">
        <v>47</v>
      </c>
      <c r="B574" s="85">
        <v>125</v>
      </c>
      <c r="C574" s="85">
        <f t="shared" si="9"/>
        <v>573</v>
      </c>
      <c r="D574" s="85" t="s">
        <v>1667</v>
      </c>
    </row>
    <row r="575" spans="1:4">
      <c r="A575" s="85">
        <v>47</v>
      </c>
      <c r="B575" s="85">
        <v>125</v>
      </c>
      <c r="C575" s="85">
        <f t="shared" si="9"/>
        <v>574</v>
      </c>
      <c r="D575" s="85" t="s">
        <v>1668</v>
      </c>
    </row>
    <row r="576" spans="1:4">
      <c r="A576" s="85">
        <v>47</v>
      </c>
      <c r="B576" s="85">
        <v>125</v>
      </c>
      <c r="C576" s="85">
        <f t="shared" si="9"/>
        <v>575</v>
      </c>
      <c r="D576" s="85" t="s">
        <v>1669</v>
      </c>
    </row>
    <row r="577" spans="1:4">
      <c r="A577" s="85">
        <v>47</v>
      </c>
      <c r="B577" s="85">
        <v>125</v>
      </c>
      <c r="C577" s="85">
        <f t="shared" si="9"/>
        <v>576</v>
      </c>
      <c r="D577" s="85" t="s">
        <v>1670</v>
      </c>
    </row>
    <row r="578" spans="1:4">
      <c r="A578" s="85">
        <v>47</v>
      </c>
      <c r="B578" s="85">
        <v>125</v>
      </c>
      <c r="C578" s="85">
        <f t="shared" si="9"/>
        <v>577</v>
      </c>
      <c r="D578" s="85" t="s">
        <v>1671</v>
      </c>
    </row>
    <row r="579" spans="1:4">
      <c r="A579" s="85">
        <v>47</v>
      </c>
      <c r="B579" s="85">
        <v>125</v>
      </c>
      <c r="C579" s="85">
        <f t="shared" si="9"/>
        <v>578</v>
      </c>
      <c r="D579" s="85" t="s">
        <v>1672</v>
      </c>
    </row>
    <row r="580" spans="1:4">
      <c r="A580" s="85">
        <v>47</v>
      </c>
      <c r="B580" s="85">
        <v>126</v>
      </c>
      <c r="C580" s="85">
        <f t="shared" si="9"/>
        <v>579</v>
      </c>
      <c r="D580" s="85" t="s">
        <v>1673</v>
      </c>
    </row>
    <row r="581" spans="1:4">
      <c r="A581" s="85">
        <v>47</v>
      </c>
      <c r="B581" s="85">
        <v>126</v>
      </c>
      <c r="C581" s="85">
        <f t="shared" si="9"/>
        <v>580</v>
      </c>
      <c r="D581" s="85" t="s">
        <v>1674</v>
      </c>
    </row>
    <row r="582" spans="1:4">
      <c r="A582" s="85">
        <v>47</v>
      </c>
      <c r="B582" s="85">
        <v>126</v>
      </c>
      <c r="C582" s="85">
        <f t="shared" si="9"/>
        <v>581</v>
      </c>
      <c r="D582" s="85" t="s">
        <v>1675</v>
      </c>
    </row>
    <row r="583" spans="1:4">
      <c r="A583" s="87">
        <v>47</v>
      </c>
      <c r="B583" s="85">
        <v>126</v>
      </c>
      <c r="C583" s="87">
        <f>C582+1</f>
        <v>582</v>
      </c>
      <c r="D583" s="85" t="s">
        <v>1676</v>
      </c>
    </row>
    <row r="584" spans="1:4">
      <c r="A584" s="87">
        <v>47</v>
      </c>
      <c r="B584" s="85">
        <v>126</v>
      </c>
      <c r="C584" s="87"/>
      <c r="D584" s="85" t="s">
        <v>1677</v>
      </c>
    </row>
    <row r="585" spans="1:4">
      <c r="A585" s="85">
        <v>48</v>
      </c>
      <c r="B585" s="85">
        <v>127</v>
      </c>
      <c r="C585" s="85">
        <f>C583+1</f>
        <v>583</v>
      </c>
      <c r="D585" s="85" t="s">
        <v>1678</v>
      </c>
    </row>
    <row r="586" spans="1:4">
      <c r="A586" s="85">
        <v>48</v>
      </c>
      <c r="B586" s="85">
        <v>127</v>
      </c>
      <c r="C586" s="85">
        <f t="shared" si="9"/>
        <v>584</v>
      </c>
      <c r="D586" s="85" t="s">
        <v>1679</v>
      </c>
    </row>
    <row r="587" spans="1:4">
      <c r="A587" s="85">
        <v>48</v>
      </c>
      <c r="B587" s="85">
        <v>127</v>
      </c>
      <c r="C587" s="85">
        <f t="shared" si="9"/>
        <v>585</v>
      </c>
      <c r="D587" s="85" t="s">
        <v>1680</v>
      </c>
    </row>
    <row r="588" spans="1:4">
      <c r="A588" s="85">
        <v>48</v>
      </c>
      <c r="B588" s="85">
        <v>127</v>
      </c>
      <c r="C588" s="85">
        <f t="shared" si="9"/>
        <v>586</v>
      </c>
      <c r="D588" s="85" t="s">
        <v>1681</v>
      </c>
    </row>
    <row r="589" spans="1:4">
      <c r="A589" s="85">
        <v>48</v>
      </c>
      <c r="B589" s="85">
        <v>127</v>
      </c>
      <c r="C589" s="85">
        <f t="shared" si="9"/>
        <v>587</v>
      </c>
      <c r="D589" s="85" t="s">
        <v>1682</v>
      </c>
    </row>
    <row r="590" spans="1:4">
      <c r="A590" s="85">
        <v>48</v>
      </c>
      <c r="B590" s="85">
        <v>127</v>
      </c>
      <c r="C590" s="85">
        <f t="shared" si="9"/>
        <v>588</v>
      </c>
      <c r="D590" s="85" t="s">
        <v>1683</v>
      </c>
    </row>
    <row r="591" spans="1:4">
      <c r="A591" s="85">
        <v>48</v>
      </c>
      <c r="B591" s="85">
        <v>127</v>
      </c>
      <c r="C591" s="85">
        <f t="shared" si="9"/>
        <v>589</v>
      </c>
      <c r="D591" s="85" t="s">
        <v>1684</v>
      </c>
    </row>
    <row r="592" spans="1:4">
      <c r="A592" s="85">
        <v>48</v>
      </c>
      <c r="B592" s="85">
        <v>128</v>
      </c>
      <c r="C592" s="85">
        <f t="shared" si="9"/>
        <v>590</v>
      </c>
      <c r="D592" s="85" t="s">
        <v>1685</v>
      </c>
    </row>
    <row r="593" spans="1:4">
      <c r="A593" s="85">
        <v>48</v>
      </c>
      <c r="B593" s="85">
        <v>128</v>
      </c>
      <c r="C593" s="85">
        <f t="shared" si="9"/>
        <v>591</v>
      </c>
      <c r="D593" s="85" t="s">
        <v>1686</v>
      </c>
    </row>
    <row r="594" spans="1:4">
      <c r="A594" s="85">
        <v>48</v>
      </c>
      <c r="B594" s="85">
        <v>128</v>
      </c>
      <c r="C594" s="85">
        <f t="shared" si="9"/>
        <v>592</v>
      </c>
      <c r="D594" s="85" t="s">
        <v>1687</v>
      </c>
    </row>
    <row r="595" spans="1:4">
      <c r="A595" s="85">
        <v>48</v>
      </c>
      <c r="B595" s="85">
        <v>128</v>
      </c>
      <c r="C595" s="85">
        <f t="shared" si="9"/>
        <v>593</v>
      </c>
      <c r="D595" s="85" t="s">
        <v>1688</v>
      </c>
    </row>
    <row r="596" spans="1:4">
      <c r="A596" s="85">
        <v>48</v>
      </c>
      <c r="B596" s="85">
        <v>128</v>
      </c>
      <c r="C596" s="85">
        <f t="shared" si="9"/>
        <v>594</v>
      </c>
      <c r="D596" s="85" t="s">
        <v>1689</v>
      </c>
    </row>
    <row r="597" spans="1:4">
      <c r="A597" s="85">
        <v>48</v>
      </c>
      <c r="B597" s="85">
        <v>128</v>
      </c>
      <c r="C597" s="85">
        <f t="shared" si="9"/>
        <v>595</v>
      </c>
      <c r="D597" s="85" t="s">
        <v>1690</v>
      </c>
    </row>
    <row r="598" spans="1:4">
      <c r="A598" s="85">
        <v>48</v>
      </c>
      <c r="B598" s="85">
        <v>128</v>
      </c>
      <c r="C598" s="85">
        <f t="shared" si="9"/>
        <v>596</v>
      </c>
      <c r="D598" s="85" t="s">
        <v>1691</v>
      </c>
    </row>
    <row r="599" spans="1:4">
      <c r="A599" s="85">
        <v>48</v>
      </c>
      <c r="B599" s="85">
        <v>128</v>
      </c>
      <c r="C599" s="85">
        <f t="shared" si="9"/>
        <v>597</v>
      </c>
      <c r="D599" s="85" t="s">
        <v>1692</v>
      </c>
    </row>
    <row r="600" spans="1:4">
      <c r="A600" s="85">
        <v>49</v>
      </c>
      <c r="B600" s="85">
        <v>129</v>
      </c>
      <c r="C600" s="85">
        <f t="shared" si="9"/>
        <v>598</v>
      </c>
      <c r="D600" s="85" t="s">
        <v>1693</v>
      </c>
    </row>
    <row r="601" spans="1:4">
      <c r="A601" s="85">
        <v>49</v>
      </c>
      <c r="B601" s="85">
        <v>129</v>
      </c>
      <c r="C601" s="85">
        <f t="shared" si="9"/>
        <v>599</v>
      </c>
      <c r="D601" s="85" t="s">
        <v>1694</v>
      </c>
    </row>
    <row r="602" spans="1:4">
      <c r="A602" s="85">
        <v>49</v>
      </c>
      <c r="B602" s="85">
        <v>129</v>
      </c>
      <c r="C602" s="85">
        <f t="shared" si="9"/>
        <v>600</v>
      </c>
      <c r="D602" s="85" t="s">
        <v>1695</v>
      </c>
    </row>
    <row r="603" spans="1:4">
      <c r="A603" s="85">
        <v>49</v>
      </c>
      <c r="B603" s="85">
        <v>129</v>
      </c>
      <c r="C603" s="85">
        <f t="shared" si="9"/>
        <v>601</v>
      </c>
      <c r="D603" s="85" t="s">
        <v>1696</v>
      </c>
    </row>
    <row r="604" spans="1:4">
      <c r="A604" s="85">
        <v>49</v>
      </c>
      <c r="B604" s="85">
        <v>129</v>
      </c>
      <c r="C604" s="85">
        <f t="shared" si="9"/>
        <v>602</v>
      </c>
      <c r="D604" s="85" t="s">
        <v>1697</v>
      </c>
    </row>
    <row r="605" spans="1:4">
      <c r="A605" s="85">
        <v>49</v>
      </c>
      <c r="B605" s="85">
        <v>129</v>
      </c>
      <c r="C605" s="85">
        <f t="shared" si="9"/>
        <v>603</v>
      </c>
      <c r="D605" s="85" t="s">
        <v>1698</v>
      </c>
    </row>
    <row r="606" spans="1:4">
      <c r="A606" s="85">
        <v>49</v>
      </c>
      <c r="B606" s="85">
        <v>130</v>
      </c>
      <c r="C606" s="85">
        <f t="shared" ref="C606:C669" si="10">C605+1</f>
        <v>604</v>
      </c>
      <c r="D606" s="85" t="s">
        <v>1699</v>
      </c>
    </row>
    <row r="607" spans="1:4">
      <c r="A607" s="85">
        <v>49</v>
      </c>
      <c r="B607" s="85">
        <v>130</v>
      </c>
      <c r="C607" s="85">
        <f t="shared" si="10"/>
        <v>605</v>
      </c>
      <c r="D607" s="85" t="s">
        <v>1700</v>
      </c>
    </row>
    <row r="608" spans="1:4">
      <c r="A608" s="85">
        <v>49</v>
      </c>
      <c r="B608" s="85">
        <v>130</v>
      </c>
      <c r="C608" s="85">
        <f t="shared" si="10"/>
        <v>606</v>
      </c>
      <c r="D608" s="85" t="s">
        <v>1701</v>
      </c>
    </row>
    <row r="609" spans="1:4">
      <c r="A609" s="85">
        <v>49</v>
      </c>
      <c r="B609" s="85">
        <v>130</v>
      </c>
      <c r="C609" s="85">
        <f t="shared" si="10"/>
        <v>607</v>
      </c>
      <c r="D609" s="85" t="s">
        <v>1702</v>
      </c>
    </row>
    <row r="610" spans="1:4">
      <c r="A610" s="85">
        <v>49</v>
      </c>
      <c r="B610" s="85">
        <v>131</v>
      </c>
      <c r="C610" s="85">
        <f t="shared" si="10"/>
        <v>608</v>
      </c>
      <c r="D610" s="85" t="s">
        <v>1703</v>
      </c>
    </row>
    <row r="611" spans="1:4">
      <c r="A611" s="85">
        <v>49</v>
      </c>
      <c r="B611" s="85">
        <v>131</v>
      </c>
      <c r="C611" s="85">
        <f t="shared" si="10"/>
        <v>609</v>
      </c>
      <c r="D611" s="85" t="s">
        <v>1704</v>
      </c>
    </row>
    <row r="612" spans="1:4">
      <c r="A612" s="85">
        <v>49</v>
      </c>
      <c r="B612" s="85">
        <v>131</v>
      </c>
      <c r="C612" s="85">
        <f t="shared" si="10"/>
        <v>610</v>
      </c>
      <c r="D612" s="85" t="s">
        <v>1705</v>
      </c>
    </row>
    <row r="613" spans="1:4">
      <c r="A613" s="85">
        <v>49</v>
      </c>
      <c r="B613" s="85">
        <v>131</v>
      </c>
      <c r="C613" s="85">
        <f t="shared" si="10"/>
        <v>611</v>
      </c>
      <c r="D613" s="85" t="s">
        <v>1706</v>
      </c>
    </row>
    <row r="614" spans="1:4">
      <c r="A614" s="85">
        <v>49</v>
      </c>
      <c r="B614" s="85">
        <v>131</v>
      </c>
      <c r="C614" s="85">
        <f t="shared" si="10"/>
        <v>612</v>
      </c>
      <c r="D614" s="85" t="s">
        <v>1707</v>
      </c>
    </row>
    <row r="615" spans="1:4">
      <c r="A615" s="85">
        <v>50</v>
      </c>
      <c r="B615" s="85">
        <v>132</v>
      </c>
      <c r="C615" s="85">
        <f t="shared" si="10"/>
        <v>613</v>
      </c>
      <c r="D615" s="85" t="s">
        <v>1708</v>
      </c>
    </row>
    <row r="616" spans="1:4">
      <c r="A616" s="85">
        <v>50</v>
      </c>
      <c r="B616" s="85">
        <v>132</v>
      </c>
      <c r="C616" s="85">
        <f t="shared" si="10"/>
        <v>614</v>
      </c>
      <c r="D616" s="85" t="s">
        <v>1709</v>
      </c>
    </row>
    <row r="617" spans="1:4">
      <c r="A617" s="85">
        <v>50</v>
      </c>
      <c r="B617" s="85">
        <v>132</v>
      </c>
      <c r="C617" s="85">
        <f t="shared" si="10"/>
        <v>615</v>
      </c>
      <c r="D617" s="85" t="s">
        <v>1710</v>
      </c>
    </row>
    <row r="618" spans="1:4">
      <c r="A618" s="85">
        <v>50</v>
      </c>
      <c r="B618" s="85">
        <v>132</v>
      </c>
      <c r="C618" s="85">
        <f t="shared" si="10"/>
        <v>616</v>
      </c>
      <c r="D618" s="85" t="s">
        <v>1711</v>
      </c>
    </row>
    <row r="619" spans="1:4">
      <c r="A619" s="85">
        <v>50</v>
      </c>
      <c r="B619" s="85">
        <v>132</v>
      </c>
      <c r="C619" s="85">
        <f t="shared" si="10"/>
        <v>617</v>
      </c>
      <c r="D619" s="85" t="s">
        <v>1712</v>
      </c>
    </row>
    <row r="620" spans="1:4">
      <c r="A620" s="85">
        <v>50</v>
      </c>
      <c r="B620" s="85">
        <v>132</v>
      </c>
      <c r="C620" s="85">
        <f t="shared" si="10"/>
        <v>618</v>
      </c>
      <c r="D620" s="85" t="s">
        <v>1713</v>
      </c>
    </row>
    <row r="621" spans="1:4">
      <c r="A621" s="85">
        <v>50</v>
      </c>
      <c r="B621" s="85">
        <v>132</v>
      </c>
      <c r="C621" s="85">
        <f t="shared" si="10"/>
        <v>619</v>
      </c>
      <c r="D621" s="85" t="s">
        <v>1714</v>
      </c>
    </row>
    <row r="622" spans="1:4">
      <c r="A622" s="85">
        <v>50</v>
      </c>
      <c r="B622" s="85">
        <v>133</v>
      </c>
      <c r="C622" s="85">
        <f t="shared" si="10"/>
        <v>620</v>
      </c>
      <c r="D622" s="85" t="s">
        <v>1715</v>
      </c>
    </row>
    <row r="623" spans="1:4">
      <c r="A623" s="85">
        <v>50</v>
      </c>
      <c r="B623" s="85">
        <v>133</v>
      </c>
      <c r="C623" s="85">
        <f t="shared" si="10"/>
        <v>621</v>
      </c>
      <c r="D623" s="85" t="s">
        <v>1716</v>
      </c>
    </row>
    <row r="624" spans="1:4">
      <c r="A624" s="85">
        <v>50</v>
      </c>
      <c r="B624" s="85">
        <v>133</v>
      </c>
      <c r="C624" s="85">
        <f t="shared" si="10"/>
        <v>622</v>
      </c>
      <c r="D624" s="85" t="s">
        <v>1717</v>
      </c>
    </row>
    <row r="625" spans="1:4">
      <c r="A625" s="85">
        <v>50</v>
      </c>
      <c r="B625" s="85">
        <v>134</v>
      </c>
      <c r="C625" s="85">
        <f t="shared" si="10"/>
        <v>623</v>
      </c>
      <c r="D625" s="85" t="s">
        <v>1718</v>
      </c>
    </row>
    <row r="626" spans="1:4">
      <c r="A626" s="85">
        <v>50</v>
      </c>
      <c r="B626" s="85">
        <v>134</v>
      </c>
      <c r="C626" s="85">
        <f t="shared" si="10"/>
        <v>624</v>
      </c>
      <c r="D626" s="85" t="s">
        <v>1719</v>
      </c>
    </row>
    <row r="627" spans="1:4">
      <c r="A627" s="85">
        <v>50</v>
      </c>
      <c r="B627" s="85">
        <v>134</v>
      </c>
      <c r="C627" s="85">
        <f t="shared" si="10"/>
        <v>625</v>
      </c>
      <c r="D627" s="85" t="s">
        <v>1720</v>
      </c>
    </row>
    <row r="628" spans="1:4">
      <c r="A628" s="85">
        <v>51</v>
      </c>
      <c r="B628" s="85">
        <v>135</v>
      </c>
      <c r="C628" s="85">
        <f t="shared" si="10"/>
        <v>626</v>
      </c>
      <c r="D628" s="85" t="s">
        <v>1721</v>
      </c>
    </row>
    <row r="629" spans="1:4">
      <c r="A629" s="85">
        <v>51</v>
      </c>
      <c r="B629" s="85">
        <v>135</v>
      </c>
      <c r="C629" s="85">
        <f t="shared" si="10"/>
        <v>627</v>
      </c>
      <c r="D629" s="85" t="s">
        <v>1722</v>
      </c>
    </row>
    <row r="630" spans="1:4">
      <c r="A630" s="85">
        <v>51</v>
      </c>
      <c r="B630" s="85">
        <v>135</v>
      </c>
      <c r="C630" s="85">
        <f t="shared" si="10"/>
        <v>628</v>
      </c>
      <c r="D630" s="85" t="s">
        <v>1723</v>
      </c>
    </row>
    <row r="631" spans="1:4">
      <c r="A631" s="85">
        <v>51</v>
      </c>
      <c r="B631" s="85">
        <v>136</v>
      </c>
      <c r="C631" s="85">
        <f t="shared" si="10"/>
        <v>629</v>
      </c>
      <c r="D631" s="85" t="s">
        <v>1724</v>
      </c>
    </row>
    <row r="632" spans="1:4">
      <c r="A632" s="85">
        <v>51</v>
      </c>
      <c r="B632" s="85">
        <v>136</v>
      </c>
      <c r="C632" s="85">
        <f t="shared" si="10"/>
        <v>630</v>
      </c>
      <c r="D632" s="85" t="s">
        <v>1725</v>
      </c>
    </row>
    <row r="633" spans="1:4">
      <c r="A633" s="85">
        <v>51</v>
      </c>
      <c r="B633" s="85">
        <v>136</v>
      </c>
      <c r="C633" s="85">
        <f t="shared" si="10"/>
        <v>631</v>
      </c>
      <c r="D633" s="85" t="s">
        <v>1726</v>
      </c>
    </row>
    <row r="634" spans="1:4">
      <c r="A634" s="85">
        <v>51</v>
      </c>
      <c r="B634" s="85">
        <v>136</v>
      </c>
      <c r="C634" s="85">
        <f t="shared" si="10"/>
        <v>632</v>
      </c>
      <c r="D634" s="85" t="s">
        <v>1727</v>
      </c>
    </row>
    <row r="635" spans="1:4">
      <c r="A635" s="85">
        <v>51</v>
      </c>
      <c r="B635" s="85">
        <v>136</v>
      </c>
      <c r="C635" s="85">
        <f t="shared" si="10"/>
        <v>633</v>
      </c>
      <c r="D635" s="85" t="s">
        <v>1728</v>
      </c>
    </row>
    <row r="636" spans="1:4">
      <c r="A636" s="85">
        <v>51</v>
      </c>
      <c r="B636" s="85">
        <v>136</v>
      </c>
      <c r="C636" s="85">
        <f t="shared" si="10"/>
        <v>634</v>
      </c>
      <c r="D636" s="85" t="s">
        <v>1729</v>
      </c>
    </row>
    <row r="637" spans="1:4">
      <c r="A637" s="85">
        <v>51</v>
      </c>
      <c r="B637" s="85">
        <v>137</v>
      </c>
      <c r="C637" s="85">
        <f t="shared" si="10"/>
        <v>635</v>
      </c>
      <c r="D637" s="85" t="s">
        <v>1730</v>
      </c>
    </row>
    <row r="638" spans="1:4">
      <c r="A638" s="85">
        <v>51</v>
      </c>
      <c r="B638" s="85">
        <v>137</v>
      </c>
      <c r="C638" s="85">
        <f t="shared" si="10"/>
        <v>636</v>
      </c>
      <c r="D638" s="85" t="s">
        <v>1731</v>
      </c>
    </row>
    <row r="639" spans="1:4">
      <c r="A639" s="85">
        <v>51</v>
      </c>
      <c r="B639" s="85">
        <v>137</v>
      </c>
      <c r="C639" s="85">
        <f t="shared" si="10"/>
        <v>637</v>
      </c>
      <c r="D639" s="85" t="s">
        <v>1732</v>
      </c>
    </row>
    <row r="640" spans="1:4">
      <c r="A640" s="85">
        <v>51</v>
      </c>
      <c r="B640" s="85">
        <v>137</v>
      </c>
      <c r="C640" s="85">
        <f t="shared" si="10"/>
        <v>638</v>
      </c>
      <c r="D640" s="85" t="s">
        <v>1733</v>
      </c>
    </row>
    <row r="641" spans="1:4">
      <c r="A641" s="85">
        <v>52</v>
      </c>
      <c r="B641" s="85">
        <v>138</v>
      </c>
      <c r="C641" s="85">
        <f t="shared" si="10"/>
        <v>639</v>
      </c>
      <c r="D641" s="85" t="s">
        <v>1734</v>
      </c>
    </row>
    <row r="642" spans="1:4">
      <c r="A642" s="85">
        <v>52</v>
      </c>
      <c r="B642" s="85">
        <v>138</v>
      </c>
      <c r="C642" s="85">
        <f t="shared" si="10"/>
        <v>640</v>
      </c>
      <c r="D642" s="85" t="s">
        <v>1735</v>
      </c>
    </row>
    <row r="643" spans="1:4">
      <c r="A643" s="85">
        <v>52</v>
      </c>
      <c r="B643" s="85">
        <v>138</v>
      </c>
      <c r="C643" s="85">
        <f t="shared" si="10"/>
        <v>641</v>
      </c>
      <c r="D643" s="85" t="s">
        <v>1736</v>
      </c>
    </row>
    <row r="644" spans="1:4">
      <c r="A644" s="85">
        <v>52</v>
      </c>
      <c r="B644" s="85">
        <v>138</v>
      </c>
      <c r="C644" s="85">
        <f t="shared" si="10"/>
        <v>642</v>
      </c>
      <c r="D644" s="85" t="s">
        <v>1737</v>
      </c>
    </row>
    <row r="645" spans="1:4">
      <c r="A645" s="85">
        <v>52</v>
      </c>
      <c r="B645" s="85">
        <v>139</v>
      </c>
      <c r="C645" s="85">
        <f t="shared" si="10"/>
        <v>643</v>
      </c>
      <c r="D645" s="85" t="s">
        <v>1738</v>
      </c>
    </row>
    <row r="646" spans="1:4">
      <c r="A646" s="85">
        <v>52</v>
      </c>
      <c r="B646" s="85">
        <v>139</v>
      </c>
      <c r="C646" s="85">
        <f t="shared" si="10"/>
        <v>644</v>
      </c>
      <c r="D646" s="85" t="s">
        <v>1739</v>
      </c>
    </row>
    <row r="647" spans="1:4">
      <c r="A647" s="85">
        <v>52</v>
      </c>
      <c r="B647" s="85">
        <v>139</v>
      </c>
      <c r="C647" s="85">
        <f t="shared" si="10"/>
        <v>645</v>
      </c>
      <c r="D647" s="85" t="s">
        <v>1740</v>
      </c>
    </row>
    <row r="648" spans="1:4">
      <c r="A648" s="85">
        <v>52</v>
      </c>
      <c r="B648" s="85">
        <v>139</v>
      </c>
      <c r="C648" s="85">
        <f t="shared" si="10"/>
        <v>646</v>
      </c>
      <c r="D648" s="85" t="s">
        <v>1741</v>
      </c>
    </row>
    <row r="649" spans="1:4">
      <c r="A649" s="85">
        <v>52</v>
      </c>
      <c r="B649" s="85">
        <v>139</v>
      </c>
      <c r="C649" s="85">
        <f t="shared" si="10"/>
        <v>647</v>
      </c>
      <c r="D649" s="85" t="s">
        <v>1742</v>
      </c>
    </row>
    <row r="650" spans="1:4">
      <c r="A650" s="85">
        <v>52</v>
      </c>
      <c r="B650" s="85">
        <v>139</v>
      </c>
      <c r="C650" s="85">
        <f t="shared" si="10"/>
        <v>648</v>
      </c>
      <c r="D650" s="85" t="s">
        <v>1743</v>
      </c>
    </row>
    <row r="651" spans="1:4">
      <c r="A651" s="85">
        <v>52</v>
      </c>
      <c r="B651" s="85">
        <v>140</v>
      </c>
      <c r="C651" s="85">
        <f t="shared" si="10"/>
        <v>649</v>
      </c>
      <c r="D651" s="85" t="s">
        <v>1744</v>
      </c>
    </row>
    <row r="652" spans="1:4">
      <c r="A652" s="85">
        <v>52</v>
      </c>
      <c r="B652" s="85">
        <v>140</v>
      </c>
      <c r="C652" s="85">
        <f t="shared" si="10"/>
        <v>650</v>
      </c>
      <c r="D652" s="85" t="s">
        <v>1745</v>
      </c>
    </row>
    <row r="653" spans="1:4">
      <c r="A653" s="85">
        <v>52</v>
      </c>
      <c r="B653" s="85">
        <v>140</v>
      </c>
      <c r="C653" s="85">
        <f t="shared" si="10"/>
        <v>651</v>
      </c>
      <c r="D653" s="85" t="s">
        <v>1746</v>
      </c>
    </row>
    <row r="654" spans="1:4">
      <c r="A654" s="85">
        <v>53</v>
      </c>
      <c r="B654" s="85">
        <v>141</v>
      </c>
      <c r="C654" s="85">
        <f t="shared" si="10"/>
        <v>652</v>
      </c>
      <c r="D654" s="85" t="s">
        <v>1747</v>
      </c>
    </row>
    <row r="655" spans="1:4">
      <c r="A655" s="85">
        <v>53</v>
      </c>
      <c r="B655" s="85">
        <v>141</v>
      </c>
      <c r="C655" s="85">
        <f t="shared" si="10"/>
        <v>653</v>
      </c>
      <c r="D655" s="85" t="s">
        <v>1748</v>
      </c>
    </row>
    <row r="656" spans="1:4">
      <c r="A656" s="85">
        <v>53</v>
      </c>
      <c r="B656" s="85">
        <v>141</v>
      </c>
      <c r="C656" s="85">
        <f t="shared" si="10"/>
        <v>654</v>
      </c>
      <c r="D656" s="85" t="s">
        <v>1749</v>
      </c>
    </row>
    <row r="657" spans="1:4">
      <c r="A657" s="85">
        <v>53</v>
      </c>
      <c r="B657" s="85">
        <v>141</v>
      </c>
      <c r="C657" s="85">
        <f t="shared" si="10"/>
        <v>655</v>
      </c>
      <c r="D657" s="85" t="s">
        <v>1750</v>
      </c>
    </row>
    <row r="658" spans="1:4">
      <c r="A658" s="85">
        <v>53</v>
      </c>
      <c r="B658" s="85">
        <v>141</v>
      </c>
      <c r="C658" s="85">
        <f t="shared" si="10"/>
        <v>656</v>
      </c>
      <c r="D658" s="85" t="s">
        <v>1751</v>
      </c>
    </row>
    <row r="659" spans="1:4">
      <c r="A659" s="85">
        <v>53</v>
      </c>
      <c r="B659" s="85">
        <v>141</v>
      </c>
      <c r="C659" s="85">
        <f t="shared" si="10"/>
        <v>657</v>
      </c>
      <c r="D659" s="85" t="s">
        <v>1752</v>
      </c>
    </row>
    <row r="660" spans="1:4">
      <c r="A660" s="85">
        <v>53</v>
      </c>
      <c r="B660" s="85">
        <v>142</v>
      </c>
      <c r="C660" s="85">
        <f t="shared" si="10"/>
        <v>658</v>
      </c>
      <c r="D660" s="85" t="s">
        <v>1753</v>
      </c>
    </row>
    <row r="661" spans="1:4">
      <c r="A661" s="85">
        <v>53</v>
      </c>
      <c r="B661" s="85">
        <v>142</v>
      </c>
      <c r="C661" s="85">
        <f t="shared" si="10"/>
        <v>659</v>
      </c>
      <c r="D661" s="85" t="s">
        <v>1754</v>
      </c>
    </row>
    <row r="662" spans="1:4">
      <c r="A662" s="85">
        <v>53</v>
      </c>
      <c r="B662" s="85">
        <v>142</v>
      </c>
      <c r="C662" s="85">
        <f t="shared" si="10"/>
        <v>660</v>
      </c>
      <c r="D662" s="85" t="s">
        <v>1755</v>
      </c>
    </row>
    <row r="663" spans="1:4">
      <c r="A663" s="85">
        <v>53</v>
      </c>
      <c r="B663" s="85">
        <v>142</v>
      </c>
      <c r="C663" s="85">
        <f t="shared" si="10"/>
        <v>661</v>
      </c>
      <c r="D663" s="85" t="s">
        <v>1756</v>
      </c>
    </row>
    <row r="664" spans="1:4">
      <c r="A664" s="85">
        <v>53</v>
      </c>
      <c r="B664" s="85">
        <v>143</v>
      </c>
      <c r="C664" s="85">
        <f t="shared" si="10"/>
        <v>662</v>
      </c>
      <c r="D664" s="85" t="s">
        <v>1757</v>
      </c>
    </row>
    <row r="665" spans="1:4">
      <c r="A665" s="85">
        <v>53</v>
      </c>
      <c r="B665" s="85">
        <v>143</v>
      </c>
      <c r="C665" s="85">
        <f t="shared" si="10"/>
        <v>663</v>
      </c>
      <c r="D665" s="85" t="s">
        <v>1758</v>
      </c>
    </row>
    <row r="666" spans="1:4">
      <c r="A666" s="85">
        <v>53</v>
      </c>
      <c r="B666" s="85">
        <v>143</v>
      </c>
      <c r="C666" s="85">
        <f t="shared" si="10"/>
        <v>664</v>
      </c>
      <c r="D666" s="85" t="s">
        <v>1759</v>
      </c>
    </row>
    <row r="667" spans="1:4">
      <c r="A667" s="85">
        <v>53</v>
      </c>
      <c r="B667" s="85">
        <v>143</v>
      </c>
      <c r="C667" s="85">
        <f t="shared" si="10"/>
        <v>665</v>
      </c>
      <c r="D667" s="85" t="s">
        <v>1760</v>
      </c>
    </row>
    <row r="668" spans="1:4">
      <c r="A668" s="85">
        <v>53</v>
      </c>
      <c r="B668" s="85">
        <v>143</v>
      </c>
      <c r="C668" s="85">
        <f t="shared" si="10"/>
        <v>666</v>
      </c>
      <c r="D668" s="85" t="s">
        <v>1761</v>
      </c>
    </row>
    <row r="669" spans="1:4">
      <c r="A669" s="85">
        <v>53</v>
      </c>
      <c r="B669" s="85">
        <v>143</v>
      </c>
      <c r="C669" s="85">
        <f t="shared" si="10"/>
        <v>667</v>
      </c>
      <c r="D669" s="85" t="s">
        <v>1762</v>
      </c>
    </row>
    <row r="670" spans="1:4">
      <c r="A670" s="85">
        <v>53</v>
      </c>
      <c r="B670" s="85">
        <v>143</v>
      </c>
      <c r="C670" s="85">
        <f t="shared" ref="C670:C733" si="11">C669+1</f>
        <v>668</v>
      </c>
      <c r="D670" s="85" t="s">
        <v>1763</v>
      </c>
    </row>
    <row r="671" spans="1:4">
      <c r="A671" s="85">
        <v>54</v>
      </c>
      <c r="B671" s="85">
        <v>144</v>
      </c>
      <c r="C671" s="85">
        <f t="shared" si="11"/>
        <v>669</v>
      </c>
      <c r="D671" s="85" t="s">
        <v>1764</v>
      </c>
    </row>
    <row r="672" spans="1:4">
      <c r="A672" s="85">
        <v>54</v>
      </c>
      <c r="B672" s="85">
        <v>144</v>
      </c>
      <c r="C672" s="85">
        <f t="shared" si="11"/>
        <v>670</v>
      </c>
      <c r="D672" s="85" t="s">
        <v>1765</v>
      </c>
    </row>
    <row r="673" spans="1:4">
      <c r="A673" s="85">
        <v>54</v>
      </c>
      <c r="B673" s="85">
        <v>144</v>
      </c>
      <c r="C673" s="85">
        <f t="shared" si="11"/>
        <v>671</v>
      </c>
      <c r="D673" s="85" t="s">
        <v>1766</v>
      </c>
    </row>
    <row r="674" spans="1:4">
      <c r="A674" s="85">
        <v>54</v>
      </c>
      <c r="B674" s="85">
        <v>144</v>
      </c>
      <c r="C674" s="85">
        <f t="shared" si="11"/>
        <v>672</v>
      </c>
      <c r="D674" s="85" t="s">
        <v>1767</v>
      </c>
    </row>
    <row r="675" spans="1:4">
      <c r="A675" s="85">
        <v>54</v>
      </c>
      <c r="B675" s="85">
        <v>145</v>
      </c>
      <c r="C675" s="85">
        <f t="shared" si="11"/>
        <v>673</v>
      </c>
      <c r="D675" s="85" t="s">
        <v>1768</v>
      </c>
    </row>
    <row r="676" spans="1:4">
      <c r="A676" s="85">
        <v>54</v>
      </c>
      <c r="B676" s="85">
        <v>145</v>
      </c>
      <c r="C676" s="85">
        <f t="shared" si="11"/>
        <v>674</v>
      </c>
      <c r="D676" s="85" t="s">
        <v>1769</v>
      </c>
    </row>
    <row r="677" spans="1:4">
      <c r="A677" s="85">
        <v>54</v>
      </c>
      <c r="B677" s="85">
        <v>145</v>
      </c>
      <c r="C677" s="85">
        <f t="shared" si="11"/>
        <v>675</v>
      </c>
      <c r="D677" s="85" t="s">
        <v>1770</v>
      </c>
    </row>
    <row r="678" spans="1:4">
      <c r="A678" s="85">
        <v>54</v>
      </c>
      <c r="B678" s="85">
        <v>146</v>
      </c>
      <c r="C678" s="85">
        <f t="shared" si="11"/>
        <v>676</v>
      </c>
      <c r="D678" s="85" t="s">
        <v>1771</v>
      </c>
    </row>
    <row r="679" spans="1:4">
      <c r="A679" s="85">
        <v>54</v>
      </c>
      <c r="B679" s="85">
        <v>146</v>
      </c>
      <c r="C679" s="85">
        <f t="shared" si="11"/>
        <v>677</v>
      </c>
      <c r="D679" s="85" t="s">
        <v>1772</v>
      </c>
    </row>
    <row r="680" spans="1:4">
      <c r="A680" s="85">
        <v>54</v>
      </c>
      <c r="B680" s="85">
        <v>146</v>
      </c>
      <c r="C680" s="85">
        <f t="shared" si="11"/>
        <v>678</v>
      </c>
      <c r="D680" s="85" t="s">
        <v>1773</v>
      </c>
    </row>
    <row r="681" spans="1:4">
      <c r="A681" s="85">
        <v>54</v>
      </c>
      <c r="B681" s="85">
        <v>146</v>
      </c>
      <c r="C681" s="85">
        <f t="shared" si="11"/>
        <v>679</v>
      </c>
      <c r="D681" s="85" t="s">
        <v>1774</v>
      </c>
    </row>
    <row r="682" spans="1:4">
      <c r="A682" s="85">
        <v>54</v>
      </c>
      <c r="B682" s="85">
        <v>146</v>
      </c>
      <c r="C682" s="85">
        <f t="shared" si="11"/>
        <v>680</v>
      </c>
      <c r="D682" s="85" t="s">
        <v>1775</v>
      </c>
    </row>
    <row r="683" spans="1:4">
      <c r="A683" s="85">
        <v>55</v>
      </c>
      <c r="B683" s="85">
        <v>147</v>
      </c>
      <c r="C683" s="85">
        <f t="shared" si="11"/>
        <v>681</v>
      </c>
      <c r="D683" s="85" t="s">
        <v>1776</v>
      </c>
    </row>
    <row r="684" spans="1:4">
      <c r="A684" s="85">
        <v>55</v>
      </c>
      <c r="B684" s="85">
        <v>147</v>
      </c>
      <c r="C684" s="85">
        <f t="shared" si="11"/>
        <v>682</v>
      </c>
      <c r="D684" s="85" t="s">
        <v>1777</v>
      </c>
    </row>
    <row r="685" spans="1:4">
      <c r="A685" s="85">
        <v>55</v>
      </c>
      <c r="B685" s="85">
        <v>147</v>
      </c>
      <c r="C685" s="85">
        <f t="shared" si="11"/>
        <v>683</v>
      </c>
      <c r="D685" s="85" t="s">
        <v>1778</v>
      </c>
    </row>
    <row r="686" spans="1:4">
      <c r="A686" s="85">
        <v>55</v>
      </c>
      <c r="B686" s="85">
        <v>147</v>
      </c>
      <c r="C686" s="85">
        <f t="shared" si="11"/>
        <v>684</v>
      </c>
      <c r="D686" s="85" t="s">
        <v>1779</v>
      </c>
    </row>
    <row r="687" spans="1:4">
      <c r="A687" s="85">
        <v>55</v>
      </c>
      <c r="B687" s="85">
        <v>147</v>
      </c>
      <c r="C687" s="85">
        <f t="shared" si="11"/>
        <v>685</v>
      </c>
      <c r="D687" s="85" t="s">
        <v>1780</v>
      </c>
    </row>
    <row r="688" spans="1:4">
      <c r="A688" s="85">
        <v>55</v>
      </c>
      <c r="B688" s="85">
        <v>148</v>
      </c>
      <c r="C688" s="85">
        <f t="shared" si="11"/>
        <v>686</v>
      </c>
      <c r="D688" s="85" t="s">
        <v>1781</v>
      </c>
    </row>
    <row r="689" spans="1:4">
      <c r="A689" s="85">
        <v>55</v>
      </c>
      <c r="B689" s="85">
        <v>148</v>
      </c>
      <c r="C689" s="85">
        <f t="shared" si="11"/>
        <v>687</v>
      </c>
      <c r="D689" s="85" t="s">
        <v>1782</v>
      </c>
    </row>
    <row r="690" spans="1:4">
      <c r="A690" s="85">
        <v>55</v>
      </c>
      <c r="B690" s="85">
        <v>148</v>
      </c>
      <c r="C690" s="85">
        <f t="shared" si="11"/>
        <v>688</v>
      </c>
      <c r="D690" s="85" t="s">
        <v>1783</v>
      </c>
    </row>
    <row r="691" spans="1:4">
      <c r="A691" s="85">
        <v>55</v>
      </c>
      <c r="B691" s="85">
        <v>148</v>
      </c>
      <c r="C691" s="85">
        <f t="shared" si="11"/>
        <v>689</v>
      </c>
      <c r="D691" s="85" t="s">
        <v>1784</v>
      </c>
    </row>
    <row r="692" spans="1:4">
      <c r="A692" s="85">
        <v>55</v>
      </c>
      <c r="B692" s="85">
        <v>148</v>
      </c>
      <c r="C692" s="85">
        <f t="shared" si="11"/>
        <v>690</v>
      </c>
      <c r="D692" s="85" t="s">
        <v>1785</v>
      </c>
    </row>
    <row r="693" spans="1:4">
      <c r="A693" s="85">
        <v>55</v>
      </c>
      <c r="B693" s="85">
        <v>149</v>
      </c>
      <c r="C693" s="85">
        <f t="shared" si="11"/>
        <v>691</v>
      </c>
      <c r="D693" s="85" t="s">
        <v>1786</v>
      </c>
    </row>
    <row r="694" spans="1:4">
      <c r="A694" s="85">
        <v>55</v>
      </c>
      <c r="B694" s="85">
        <v>149</v>
      </c>
      <c r="C694" s="85">
        <f t="shared" si="11"/>
        <v>692</v>
      </c>
      <c r="D694" s="85" t="s">
        <v>1787</v>
      </c>
    </row>
    <row r="695" spans="1:4">
      <c r="A695" s="85">
        <v>55</v>
      </c>
      <c r="B695" s="85">
        <v>149</v>
      </c>
      <c r="C695" s="85">
        <f t="shared" si="11"/>
        <v>693</v>
      </c>
      <c r="D695" s="85" t="s">
        <v>1788</v>
      </c>
    </row>
    <row r="696" spans="1:4">
      <c r="A696" s="85">
        <v>55</v>
      </c>
      <c r="B696" s="85">
        <v>149</v>
      </c>
      <c r="C696" s="85">
        <f t="shared" si="11"/>
        <v>694</v>
      </c>
      <c r="D696" s="85" t="s">
        <v>1789</v>
      </c>
    </row>
    <row r="697" spans="1:4">
      <c r="A697" s="85">
        <v>56</v>
      </c>
      <c r="B697" s="85">
        <v>150</v>
      </c>
      <c r="C697" s="85">
        <f t="shared" si="11"/>
        <v>695</v>
      </c>
      <c r="D697" s="85" t="s">
        <v>1790</v>
      </c>
    </row>
    <row r="698" spans="1:4">
      <c r="A698" s="85">
        <v>56</v>
      </c>
      <c r="B698" s="85">
        <v>150</v>
      </c>
      <c r="C698" s="85">
        <f t="shared" si="11"/>
        <v>696</v>
      </c>
      <c r="D698" s="85" t="s">
        <v>1791</v>
      </c>
    </row>
    <row r="699" spans="1:4">
      <c r="A699" s="85">
        <v>56</v>
      </c>
      <c r="B699" s="85">
        <v>150</v>
      </c>
      <c r="C699" s="85">
        <f t="shared" si="11"/>
        <v>697</v>
      </c>
      <c r="D699" s="85" t="s">
        <v>1792</v>
      </c>
    </row>
    <row r="700" spans="1:4">
      <c r="A700" s="85">
        <v>56</v>
      </c>
      <c r="B700" s="85">
        <v>150</v>
      </c>
      <c r="C700" s="85">
        <f t="shared" si="11"/>
        <v>698</v>
      </c>
      <c r="D700" s="85" t="s">
        <v>1793</v>
      </c>
    </row>
    <row r="701" spans="1:4">
      <c r="A701" s="85">
        <v>56</v>
      </c>
      <c r="B701" s="85">
        <v>151</v>
      </c>
      <c r="C701" s="85">
        <f t="shared" si="11"/>
        <v>699</v>
      </c>
      <c r="D701" s="85" t="s">
        <v>1794</v>
      </c>
    </row>
    <row r="702" spans="1:4">
      <c r="A702" s="85">
        <v>56</v>
      </c>
      <c r="B702" s="85">
        <v>151</v>
      </c>
      <c r="C702" s="85">
        <f t="shared" si="11"/>
        <v>700</v>
      </c>
      <c r="D702" s="85" t="s">
        <v>1795</v>
      </c>
    </row>
    <row r="703" spans="1:4">
      <c r="A703" s="85">
        <v>56</v>
      </c>
      <c r="B703" s="85">
        <v>151</v>
      </c>
      <c r="C703" s="85">
        <f t="shared" si="11"/>
        <v>701</v>
      </c>
      <c r="D703" s="85" t="s">
        <v>1796</v>
      </c>
    </row>
    <row r="704" spans="1:4">
      <c r="A704" s="85">
        <v>56</v>
      </c>
      <c r="B704" s="85">
        <v>151</v>
      </c>
      <c r="C704" s="85">
        <f t="shared" si="11"/>
        <v>702</v>
      </c>
      <c r="D704" s="85" t="s">
        <v>1797</v>
      </c>
    </row>
    <row r="705" spans="1:4">
      <c r="A705" s="85">
        <v>56</v>
      </c>
      <c r="B705" s="85">
        <v>152</v>
      </c>
      <c r="C705" s="85">
        <f t="shared" si="11"/>
        <v>703</v>
      </c>
      <c r="D705" s="85" t="s">
        <v>1798</v>
      </c>
    </row>
    <row r="706" spans="1:4">
      <c r="A706" s="85">
        <v>56</v>
      </c>
      <c r="B706" s="85">
        <v>152</v>
      </c>
      <c r="C706" s="85">
        <f t="shared" si="11"/>
        <v>704</v>
      </c>
      <c r="D706" s="85" t="s">
        <v>1799</v>
      </c>
    </row>
    <row r="707" spans="1:4">
      <c r="A707" s="85">
        <v>56</v>
      </c>
      <c r="B707" s="85">
        <v>152</v>
      </c>
      <c r="C707" s="85">
        <f t="shared" si="11"/>
        <v>705</v>
      </c>
      <c r="D707" s="85" t="s">
        <v>1800</v>
      </c>
    </row>
    <row r="708" spans="1:4">
      <c r="A708" s="85">
        <v>56</v>
      </c>
      <c r="B708" s="85">
        <v>152</v>
      </c>
      <c r="C708" s="85">
        <f t="shared" si="11"/>
        <v>706</v>
      </c>
      <c r="D708" s="85" t="s">
        <v>1801</v>
      </c>
    </row>
    <row r="709" spans="1:4">
      <c r="A709" s="85">
        <v>57</v>
      </c>
      <c r="B709" s="85">
        <v>153</v>
      </c>
      <c r="C709" s="85">
        <f t="shared" si="11"/>
        <v>707</v>
      </c>
      <c r="D709" s="85" t="s">
        <v>1802</v>
      </c>
    </row>
    <row r="710" spans="1:4">
      <c r="A710" s="85">
        <v>57</v>
      </c>
      <c r="B710" s="85">
        <v>153</v>
      </c>
      <c r="C710" s="85">
        <f t="shared" si="11"/>
        <v>708</v>
      </c>
      <c r="D710" s="85" t="s">
        <v>1803</v>
      </c>
    </row>
    <row r="711" spans="1:4">
      <c r="A711" s="85">
        <v>57</v>
      </c>
      <c r="B711" s="85">
        <v>153</v>
      </c>
      <c r="C711" s="85">
        <f t="shared" si="11"/>
        <v>709</v>
      </c>
      <c r="D711" s="85" t="s">
        <v>1804</v>
      </c>
    </row>
    <row r="712" spans="1:4">
      <c r="A712" s="85">
        <v>57</v>
      </c>
      <c r="B712" s="85">
        <v>153</v>
      </c>
      <c r="C712" s="85">
        <f t="shared" si="11"/>
        <v>710</v>
      </c>
      <c r="D712" s="85" t="s">
        <v>1805</v>
      </c>
    </row>
    <row r="713" spans="1:4">
      <c r="A713" s="85">
        <v>57</v>
      </c>
      <c r="B713" s="85">
        <v>153</v>
      </c>
      <c r="C713" s="85">
        <f t="shared" si="11"/>
        <v>711</v>
      </c>
      <c r="D713" s="85" t="s">
        <v>1806</v>
      </c>
    </row>
    <row r="714" spans="1:4">
      <c r="A714" s="85">
        <v>57</v>
      </c>
      <c r="B714" s="85">
        <v>153</v>
      </c>
      <c r="C714" s="85">
        <f t="shared" si="11"/>
        <v>712</v>
      </c>
      <c r="D714" s="85" t="s">
        <v>1807</v>
      </c>
    </row>
    <row r="715" spans="1:4">
      <c r="A715" s="85">
        <v>57</v>
      </c>
      <c r="B715" s="85">
        <v>153</v>
      </c>
      <c r="C715" s="85">
        <f t="shared" si="11"/>
        <v>713</v>
      </c>
      <c r="D715" s="85" t="s">
        <v>1808</v>
      </c>
    </row>
    <row r="716" spans="1:4">
      <c r="A716" s="85">
        <v>57</v>
      </c>
      <c r="B716" s="85">
        <v>153</v>
      </c>
      <c r="C716" s="85">
        <f t="shared" si="11"/>
        <v>714</v>
      </c>
      <c r="D716" s="85" t="s">
        <v>1809</v>
      </c>
    </row>
    <row r="717" spans="1:4">
      <c r="A717" s="85">
        <v>57</v>
      </c>
      <c r="B717" s="85">
        <v>153</v>
      </c>
      <c r="C717" s="85">
        <f t="shared" si="11"/>
        <v>715</v>
      </c>
      <c r="D717" s="85" t="s">
        <v>1810</v>
      </c>
    </row>
    <row r="718" spans="1:4">
      <c r="A718" s="85">
        <v>57</v>
      </c>
      <c r="B718" s="85">
        <v>154</v>
      </c>
      <c r="C718" s="85">
        <f t="shared" si="11"/>
        <v>716</v>
      </c>
      <c r="D718" s="85" t="s">
        <v>1811</v>
      </c>
    </row>
    <row r="719" spans="1:4">
      <c r="A719" s="85">
        <v>58</v>
      </c>
      <c r="B719" s="85">
        <v>155</v>
      </c>
      <c r="C719" s="85">
        <f t="shared" si="11"/>
        <v>717</v>
      </c>
      <c r="D719" s="85" t="s">
        <v>1812</v>
      </c>
    </row>
    <row r="720" spans="1:4">
      <c r="A720" s="85">
        <v>58</v>
      </c>
      <c r="B720" s="85">
        <v>155</v>
      </c>
      <c r="C720" s="85">
        <f t="shared" si="11"/>
        <v>718</v>
      </c>
      <c r="D720" s="85" t="s">
        <v>1813</v>
      </c>
    </row>
    <row r="721" spans="1:4">
      <c r="A721" s="85">
        <v>58</v>
      </c>
      <c r="B721" s="85">
        <v>155</v>
      </c>
      <c r="C721" s="85">
        <f t="shared" si="11"/>
        <v>719</v>
      </c>
      <c r="D721" s="85" t="s">
        <v>1814</v>
      </c>
    </row>
    <row r="722" spans="1:4">
      <c r="A722" s="85">
        <v>58</v>
      </c>
      <c r="B722" s="85">
        <v>155</v>
      </c>
      <c r="C722" s="85">
        <f t="shared" si="11"/>
        <v>720</v>
      </c>
      <c r="D722" s="85" t="s">
        <v>1815</v>
      </c>
    </row>
    <row r="723" spans="1:4">
      <c r="A723" s="85">
        <v>58</v>
      </c>
      <c r="B723" s="85">
        <v>155</v>
      </c>
      <c r="C723" s="85">
        <f t="shared" si="11"/>
        <v>721</v>
      </c>
      <c r="D723" s="85" t="s">
        <v>1816</v>
      </c>
    </row>
    <row r="724" spans="1:4">
      <c r="A724" s="85">
        <v>58</v>
      </c>
      <c r="B724" s="85">
        <v>155</v>
      </c>
      <c r="C724" s="85">
        <f t="shared" si="11"/>
        <v>722</v>
      </c>
      <c r="D724" s="85" t="s">
        <v>1817</v>
      </c>
    </row>
    <row r="725" spans="1:4">
      <c r="A725" s="85">
        <v>58</v>
      </c>
      <c r="B725" s="85">
        <v>155</v>
      </c>
      <c r="C725" s="85">
        <f t="shared" si="11"/>
        <v>723</v>
      </c>
      <c r="D725" s="85" t="s">
        <v>1818</v>
      </c>
    </row>
    <row r="726" spans="1:4">
      <c r="A726" s="85">
        <v>58</v>
      </c>
      <c r="B726" s="85">
        <v>155</v>
      </c>
      <c r="C726" s="85">
        <f t="shared" si="11"/>
        <v>724</v>
      </c>
      <c r="D726" s="85" t="s">
        <v>1819</v>
      </c>
    </row>
    <row r="727" spans="1:4">
      <c r="A727" s="85">
        <v>58</v>
      </c>
      <c r="B727" s="85">
        <v>155</v>
      </c>
      <c r="C727" s="85">
        <f t="shared" si="11"/>
        <v>725</v>
      </c>
      <c r="D727" s="85" t="s">
        <v>1820</v>
      </c>
    </row>
    <row r="728" spans="1:4">
      <c r="A728" s="85">
        <v>58</v>
      </c>
      <c r="B728" s="85">
        <v>156</v>
      </c>
      <c r="C728" s="85">
        <f t="shared" si="11"/>
        <v>726</v>
      </c>
      <c r="D728" s="85" t="s">
        <v>1821</v>
      </c>
    </row>
    <row r="729" spans="1:4">
      <c r="A729" s="85">
        <v>58</v>
      </c>
      <c r="B729" s="85">
        <v>156</v>
      </c>
      <c r="C729" s="85">
        <f t="shared" si="11"/>
        <v>727</v>
      </c>
      <c r="D729" s="85" t="s">
        <v>1822</v>
      </c>
    </row>
    <row r="730" spans="1:4">
      <c r="A730" s="85">
        <v>58</v>
      </c>
      <c r="B730" s="85">
        <v>156</v>
      </c>
      <c r="C730" s="85">
        <f t="shared" si="11"/>
        <v>728</v>
      </c>
      <c r="D730" s="85" t="s">
        <v>1823</v>
      </c>
    </row>
    <row r="731" spans="1:4">
      <c r="A731" s="85">
        <v>58</v>
      </c>
      <c r="B731" s="85">
        <v>156</v>
      </c>
      <c r="C731" s="85">
        <f t="shared" si="11"/>
        <v>729</v>
      </c>
      <c r="D731" s="85" t="s">
        <v>1824</v>
      </c>
    </row>
    <row r="732" spans="1:4">
      <c r="A732" s="85">
        <v>58</v>
      </c>
      <c r="B732" s="85">
        <v>156</v>
      </c>
      <c r="C732" s="85">
        <f t="shared" si="11"/>
        <v>730</v>
      </c>
      <c r="D732" s="85" t="s">
        <v>1825</v>
      </c>
    </row>
    <row r="733" spans="1:4">
      <c r="A733" s="85">
        <v>58</v>
      </c>
      <c r="B733" s="85">
        <v>156</v>
      </c>
      <c r="C733" s="85">
        <f t="shared" si="11"/>
        <v>731</v>
      </c>
      <c r="D733" s="85" t="s">
        <v>1826</v>
      </c>
    </row>
    <row r="734" spans="1:4">
      <c r="A734" s="85">
        <v>59</v>
      </c>
      <c r="B734" s="85">
        <v>157</v>
      </c>
      <c r="C734" s="85">
        <f t="shared" ref="C734:C797" si="12">C733+1</f>
        <v>732</v>
      </c>
      <c r="D734" s="85" t="s">
        <v>1827</v>
      </c>
    </row>
    <row r="735" spans="1:4">
      <c r="A735" s="85">
        <v>59</v>
      </c>
      <c r="B735" s="85">
        <v>157</v>
      </c>
      <c r="C735" s="85">
        <f t="shared" si="12"/>
        <v>733</v>
      </c>
      <c r="D735" s="85" t="s">
        <v>1828</v>
      </c>
    </row>
    <row r="736" spans="1:4">
      <c r="A736" s="85">
        <v>59</v>
      </c>
      <c r="B736" s="85">
        <v>157</v>
      </c>
      <c r="C736" s="85">
        <f t="shared" si="12"/>
        <v>734</v>
      </c>
      <c r="D736" s="85" t="s">
        <v>1829</v>
      </c>
    </row>
    <row r="737" spans="1:4">
      <c r="A737" s="85">
        <v>59</v>
      </c>
      <c r="B737" s="85">
        <v>157</v>
      </c>
      <c r="C737" s="85">
        <f t="shared" si="12"/>
        <v>735</v>
      </c>
      <c r="D737" s="85" t="s">
        <v>1830</v>
      </c>
    </row>
    <row r="738" spans="1:4">
      <c r="A738" s="85">
        <v>59</v>
      </c>
      <c r="B738" s="85">
        <v>157</v>
      </c>
      <c r="C738" s="85">
        <f t="shared" si="12"/>
        <v>736</v>
      </c>
      <c r="D738" s="85" t="s">
        <v>1831</v>
      </c>
    </row>
    <row r="739" spans="1:4">
      <c r="A739" s="85">
        <v>59</v>
      </c>
      <c r="B739" s="85">
        <v>157</v>
      </c>
      <c r="C739" s="85">
        <f t="shared" si="12"/>
        <v>737</v>
      </c>
      <c r="D739" s="85" t="s">
        <v>1832</v>
      </c>
    </row>
    <row r="740" spans="1:4">
      <c r="A740" s="85">
        <v>59</v>
      </c>
      <c r="B740" s="85">
        <v>157</v>
      </c>
      <c r="C740" s="85">
        <f t="shared" si="12"/>
        <v>738</v>
      </c>
      <c r="D740" s="85" t="s">
        <v>1833</v>
      </c>
    </row>
    <row r="741" spans="1:4">
      <c r="A741" s="85">
        <v>59</v>
      </c>
      <c r="B741" s="85">
        <v>158</v>
      </c>
      <c r="C741" s="85">
        <f t="shared" si="12"/>
        <v>739</v>
      </c>
      <c r="D741" s="85" t="s">
        <v>1834</v>
      </c>
    </row>
    <row r="742" spans="1:4">
      <c r="A742" s="85">
        <v>59</v>
      </c>
      <c r="B742" s="85">
        <v>158</v>
      </c>
      <c r="C742" s="85">
        <f t="shared" si="12"/>
        <v>740</v>
      </c>
      <c r="D742" s="85" t="s">
        <v>1835</v>
      </c>
    </row>
    <row r="743" spans="1:4">
      <c r="A743" s="85">
        <v>59</v>
      </c>
      <c r="B743" s="85">
        <v>158</v>
      </c>
      <c r="C743" s="85">
        <f t="shared" si="12"/>
        <v>741</v>
      </c>
      <c r="D743" s="85" t="s">
        <v>1836</v>
      </c>
    </row>
    <row r="744" spans="1:4">
      <c r="A744" s="85">
        <v>59</v>
      </c>
      <c r="B744" s="85">
        <v>158</v>
      </c>
      <c r="C744" s="85">
        <f t="shared" si="12"/>
        <v>742</v>
      </c>
      <c r="D744" s="85" t="s">
        <v>1837</v>
      </c>
    </row>
    <row r="745" spans="1:4">
      <c r="A745" s="85">
        <v>59</v>
      </c>
      <c r="B745" s="85">
        <v>159</v>
      </c>
      <c r="C745" s="85">
        <f t="shared" si="12"/>
        <v>743</v>
      </c>
      <c r="D745" s="85" t="s">
        <v>1838</v>
      </c>
    </row>
    <row r="746" spans="1:4">
      <c r="A746" s="85">
        <v>59</v>
      </c>
      <c r="B746" s="85">
        <v>159</v>
      </c>
      <c r="C746" s="85">
        <f t="shared" si="12"/>
        <v>744</v>
      </c>
      <c r="D746" s="85" t="s">
        <v>1839</v>
      </c>
    </row>
    <row r="747" spans="1:4">
      <c r="A747" s="85">
        <v>59</v>
      </c>
      <c r="B747" s="85">
        <v>159</v>
      </c>
      <c r="C747" s="85">
        <f t="shared" si="12"/>
        <v>745</v>
      </c>
      <c r="D747" s="85" t="s">
        <v>1840</v>
      </c>
    </row>
    <row r="748" spans="1:4">
      <c r="A748" s="85">
        <v>59</v>
      </c>
      <c r="B748" s="85">
        <v>159</v>
      </c>
      <c r="C748" s="85">
        <f t="shared" si="12"/>
        <v>746</v>
      </c>
      <c r="D748" s="85" t="s">
        <v>1841</v>
      </c>
    </row>
    <row r="749" spans="1:4">
      <c r="A749" s="85">
        <v>60</v>
      </c>
      <c r="B749" s="85">
        <v>160</v>
      </c>
      <c r="C749" s="85">
        <f t="shared" si="12"/>
        <v>747</v>
      </c>
      <c r="D749" s="85" t="s">
        <v>1842</v>
      </c>
    </row>
    <row r="750" spans="1:4">
      <c r="A750" s="85">
        <v>60</v>
      </c>
      <c r="B750" s="85">
        <v>160</v>
      </c>
      <c r="C750" s="85">
        <f t="shared" si="12"/>
        <v>748</v>
      </c>
      <c r="D750" s="85" t="s">
        <v>1843</v>
      </c>
    </row>
    <row r="751" spans="1:4">
      <c r="A751" s="85">
        <v>60</v>
      </c>
      <c r="B751" s="85">
        <v>161</v>
      </c>
      <c r="C751" s="85">
        <f t="shared" si="12"/>
        <v>749</v>
      </c>
      <c r="D751" s="85" t="s">
        <v>1844</v>
      </c>
    </row>
    <row r="752" spans="1:4">
      <c r="A752" s="85">
        <v>60</v>
      </c>
      <c r="B752" s="85">
        <v>161</v>
      </c>
      <c r="C752" s="85">
        <f t="shared" si="12"/>
        <v>750</v>
      </c>
      <c r="D752" s="85" t="s">
        <v>1845</v>
      </c>
    </row>
    <row r="753" spans="1:4">
      <c r="A753" s="85">
        <v>60</v>
      </c>
      <c r="B753" s="85">
        <v>162</v>
      </c>
      <c r="C753" s="85">
        <f t="shared" si="12"/>
        <v>751</v>
      </c>
      <c r="D753" s="85" t="s">
        <v>1846</v>
      </c>
    </row>
    <row r="754" spans="1:4">
      <c r="A754" s="85">
        <v>60</v>
      </c>
      <c r="B754" s="85">
        <v>162</v>
      </c>
      <c r="C754" s="85">
        <f t="shared" si="12"/>
        <v>752</v>
      </c>
      <c r="D754" s="85" t="s">
        <v>1847</v>
      </c>
    </row>
    <row r="755" spans="1:4">
      <c r="A755" s="85">
        <v>60</v>
      </c>
      <c r="B755" s="85">
        <v>162</v>
      </c>
      <c r="C755" s="85">
        <f t="shared" si="12"/>
        <v>753</v>
      </c>
      <c r="D755" s="85" t="s">
        <v>1848</v>
      </c>
    </row>
    <row r="756" spans="1:4">
      <c r="A756" s="85">
        <v>60</v>
      </c>
      <c r="B756" s="85">
        <v>162</v>
      </c>
      <c r="C756" s="85">
        <f t="shared" si="12"/>
        <v>754</v>
      </c>
      <c r="D756" s="85" t="s">
        <v>1849</v>
      </c>
    </row>
    <row r="757" spans="1:4">
      <c r="A757" s="85">
        <v>60</v>
      </c>
      <c r="B757" s="85">
        <v>162</v>
      </c>
      <c r="C757" s="85">
        <f t="shared" si="12"/>
        <v>755</v>
      </c>
      <c r="D757" s="85" t="s">
        <v>1850</v>
      </c>
    </row>
    <row r="758" spans="1:4">
      <c r="A758" s="85">
        <v>60</v>
      </c>
      <c r="B758" s="85">
        <v>163</v>
      </c>
      <c r="C758" s="85">
        <f t="shared" si="12"/>
        <v>756</v>
      </c>
      <c r="D758" s="85" t="s">
        <v>1851</v>
      </c>
    </row>
    <row r="759" spans="1:4">
      <c r="A759" s="85">
        <v>60</v>
      </c>
      <c r="B759" s="85">
        <v>163</v>
      </c>
      <c r="C759" s="85">
        <f t="shared" si="12"/>
        <v>757</v>
      </c>
      <c r="D759" s="85" t="s">
        <v>1852</v>
      </c>
    </row>
    <row r="760" spans="1:4">
      <c r="A760" s="85">
        <v>60</v>
      </c>
      <c r="B760" s="85">
        <v>163</v>
      </c>
      <c r="C760" s="85">
        <f t="shared" si="12"/>
        <v>758</v>
      </c>
      <c r="D760" s="85" t="s">
        <v>1853</v>
      </c>
    </row>
    <row r="761" spans="1:4">
      <c r="A761" s="85">
        <v>61</v>
      </c>
      <c r="B761" s="85">
        <v>164</v>
      </c>
      <c r="C761" s="85">
        <f t="shared" si="12"/>
        <v>759</v>
      </c>
      <c r="D761" s="85" t="s">
        <v>1854</v>
      </c>
    </row>
    <row r="762" spans="1:4">
      <c r="A762" s="85">
        <v>61</v>
      </c>
      <c r="B762" s="85">
        <v>164</v>
      </c>
      <c r="C762" s="85">
        <f t="shared" si="12"/>
        <v>760</v>
      </c>
      <c r="D762" s="85" t="s">
        <v>1855</v>
      </c>
    </row>
    <row r="763" spans="1:4">
      <c r="A763" s="85">
        <v>61</v>
      </c>
      <c r="B763" s="85">
        <v>164</v>
      </c>
      <c r="C763" s="85">
        <f t="shared" si="12"/>
        <v>761</v>
      </c>
      <c r="D763" s="85" t="s">
        <v>1856</v>
      </c>
    </row>
    <row r="764" spans="1:4">
      <c r="A764" s="85">
        <v>61</v>
      </c>
      <c r="B764" s="85">
        <v>165</v>
      </c>
      <c r="C764" s="85">
        <f t="shared" si="12"/>
        <v>762</v>
      </c>
      <c r="D764" s="85" t="s">
        <v>1857</v>
      </c>
    </row>
    <row r="765" spans="1:4">
      <c r="A765" s="85">
        <v>61</v>
      </c>
      <c r="B765" s="85">
        <v>165</v>
      </c>
      <c r="C765" s="85">
        <f t="shared" si="12"/>
        <v>763</v>
      </c>
      <c r="D765" s="85" t="s">
        <v>1858</v>
      </c>
    </row>
    <row r="766" spans="1:4">
      <c r="A766" s="85">
        <v>61</v>
      </c>
      <c r="B766" s="85">
        <v>165</v>
      </c>
      <c r="C766" s="85">
        <f t="shared" si="12"/>
        <v>764</v>
      </c>
      <c r="D766" s="85" t="s">
        <v>1859</v>
      </c>
    </row>
    <row r="767" spans="1:4">
      <c r="A767" s="85">
        <v>61</v>
      </c>
      <c r="B767" s="85">
        <v>165</v>
      </c>
      <c r="C767" s="85">
        <f t="shared" si="12"/>
        <v>765</v>
      </c>
      <c r="D767" s="85" t="s">
        <v>1860</v>
      </c>
    </row>
    <row r="768" spans="1:4">
      <c r="A768" s="85">
        <v>61</v>
      </c>
      <c r="B768" s="85">
        <v>166</v>
      </c>
      <c r="C768" s="85">
        <f t="shared" si="12"/>
        <v>766</v>
      </c>
      <c r="D768" s="85" t="s">
        <v>1861</v>
      </c>
    </row>
    <row r="769" spans="1:4">
      <c r="A769" s="85">
        <v>61</v>
      </c>
      <c r="B769" s="85">
        <v>166</v>
      </c>
      <c r="C769" s="85">
        <f t="shared" si="12"/>
        <v>767</v>
      </c>
      <c r="D769" s="85" t="s">
        <v>1862</v>
      </c>
    </row>
    <row r="770" spans="1:4">
      <c r="A770" s="85">
        <v>61</v>
      </c>
      <c r="B770" s="85">
        <v>166</v>
      </c>
      <c r="C770" s="85">
        <f t="shared" si="12"/>
        <v>768</v>
      </c>
      <c r="D770" s="85" t="s">
        <v>1863</v>
      </c>
    </row>
    <row r="771" spans="1:4">
      <c r="A771" s="85">
        <v>61</v>
      </c>
      <c r="B771" s="85">
        <v>166</v>
      </c>
      <c r="C771" s="85">
        <f t="shared" si="12"/>
        <v>769</v>
      </c>
      <c r="D771" s="85" t="s">
        <v>1864</v>
      </c>
    </row>
    <row r="772" spans="1:4">
      <c r="A772" s="85">
        <v>62</v>
      </c>
      <c r="B772" s="85">
        <v>167</v>
      </c>
      <c r="C772" s="85">
        <f t="shared" si="12"/>
        <v>770</v>
      </c>
      <c r="D772" s="85" t="s">
        <v>1865</v>
      </c>
    </row>
    <row r="773" spans="1:4">
      <c r="A773" s="85">
        <v>62</v>
      </c>
      <c r="B773" s="85">
        <v>167</v>
      </c>
      <c r="C773" s="85">
        <f t="shared" si="12"/>
        <v>771</v>
      </c>
      <c r="D773" s="85" t="s">
        <v>1866</v>
      </c>
    </row>
    <row r="774" spans="1:4">
      <c r="A774" s="85">
        <v>62</v>
      </c>
      <c r="B774" s="85">
        <v>167</v>
      </c>
      <c r="C774" s="85">
        <f t="shared" si="12"/>
        <v>772</v>
      </c>
      <c r="D774" s="85" t="s">
        <v>1867</v>
      </c>
    </row>
    <row r="775" spans="1:4">
      <c r="A775" s="85">
        <v>62</v>
      </c>
      <c r="B775" s="85">
        <v>167</v>
      </c>
      <c r="C775" s="85">
        <f t="shared" si="12"/>
        <v>773</v>
      </c>
      <c r="D775" s="85" t="s">
        <v>1868</v>
      </c>
    </row>
    <row r="776" spans="1:4">
      <c r="A776" s="85">
        <v>62</v>
      </c>
      <c r="B776" s="85">
        <v>167</v>
      </c>
      <c r="C776" s="85">
        <f t="shared" si="12"/>
        <v>774</v>
      </c>
      <c r="D776" s="85" t="s">
        <v>1869</v>
      </c>
    </row>
    <row r="777" spans="1:4">
      <c r="A777" s="85">
        <v>62</v>
      </c>
      <c r="B777" s="85">
        <v>167</v>
      </c>
      <c r="C777" s="85">
        <f t="shared" si="12"/>
        <v>775</v>
      </c>
      <c r="D777" s="85" t="s">
        <v>1870</v>
      </c>
    </row>
    <row r="778" spans="1:4">
      <c r="A778" s="85">
        <v>62</v>
      </c>
      <c r="B778" s="85">
        <v>168</v>
      </c>
      <c r="C778" s="85">
        <f t="shared" si="12"/>
        <v>776</v>
      </c>
      <c r="D778" s="85" t="s">
        <v>1871</v>
      </c>
    </row>
    <row r="779" spans="1:4">
      <c r="A779" s="85">
        <v>62</v>
      </c>
      <c r="B779" s="85">
        <v>168</v>
      </c>
      <c r="C779" s="85">
        <f t="shared" si="12"/>
        <v>777</v>
      </c>
      <c r="D779" s="85" t="s">
        <v>1872</v>
      </c>
    </row>
    <row r="780" spans="1:4">
      <c r="A780" s="85">
        <v>62</v>
      </c>
      <c r="B780" s="85">
        <v>168</v>
      </c>
      <c r="C780" s="85">
        <f t="shared" si="12"/>
        <v>778</v>
      </c>
      <c r="D780" s="85" t="s">
        <v>1873</v>
      </c>
    </row>
    <row r="781" spans="1:4">
      <c r="A781" s="85">
        <v>62</v>
      </c>
      <c r="B781" s="85">
        <v>168</v>
      </c>
      <c r="C781" s="85">
        <f t="shared" si="12"/>
        <v>779</v>
      </c>
      <c r="D781" s="85" t="s">
        <v>1874</v>
      </c>
    </row>
    <row r="782" spans="1:4">
      <c r="A782" s="85">
        <v>62</v>
      </c>
      <c r="B782" s="85">
        <v>169</v>
      </c>
      <c r="C782" s="85">
        <f t="shared" si="12"/>
        <v>780</v>
      </c>
      <c r="D782" s="85" t="s">
        <v>1875</v>
      </c>
    </row>
    <row r="783" spans="1:4">
      <c r="A783" s="85">
        <v>62</v>
      </c>
      <c r="B783" s="85">
        <v>169</v>
      </c>
      <c r="C783" s="85">
        <f t="shared" si="12"/>
        <v>781</v>
      </c>
      <c r="D783" s="85" t="s">
        <v>1876</v>
      </c>
    </row>
    <row r="784" spans="1:4">
      <c r="A784" s="85">
        <v>62</v>
      </c>
      <c r="B784" s="85">
        <v>170</v>
      </c>
      <c r="C784" s="85">
        <f t="shared" si="12"/>
        <v>782</v>
      </c>
      <c r="D784" s="85" t="s">
        <v>1877</v>
      </c>
    </row>
    <row r="785" spans="1:4">
      <c r="A785" s="85">
        <v>62</v>
      </c>
      <c r="B785" s="85">
        <v>170</v>
      </c>
      <c r="C785" s="85">
        <f t="shared" si="12"/>
        <v>783</v>
      </c>
      <c r="D785" s="85" t="s">
        <v>1878</v>
      </c>
    </row>
    <row r="786" spans="1:4">
      <c r="A786" s="85">
        <v>62</v>
      </c>
      <c r="B786" s="85">
        <v>170</v>
      </c>
      <c r="C786" s="85">
        <f t="shared" si="12"/>
        <v>784</v>
      </c>
      <c r="D786" s="85" t="s">
        <v>1879</v>
      </c>
    </row>
    <row r="787" spans="1:4">
      <c r="A787" s="85">
        <v>62</v>
      </c>
      <c r="B787" s="85">
        <v>170</v>
      </c>
      <c r="C787" s="85">
        <f t="shared" si="12"/>
        <v>785</v>
      </c>
      <c r="D787" s="85" t="s">
        <v>1880</v>
      </c>
    </row>
    <row r="788" spans="1:4">
      <c r="A788" s="85">
        <v>63</v>
      </c>
      <c r="B788" s="85">
        <v>171</v>
      </c>
      <c r="C788" s="85">
        <f t="shared" si="12"/>
        <v>786</v>
      </c>
      <c r="D788" s="85" t="s">
        <v>1881</v>
      </c>
    </row>
    <row r="789" spans="1:4">
      <c r="A789" s="85">
        <v>63</v>
      </c>
      <c r="B789" s="85">
        <v>171</v>
      </c>
      <c r="C789" s="85">
        <f t="shared" si="12"/>
        <v>787</v>
      </c>
      <c r="D789" s="85" t="s">
        <v>1882</v>
      </c>
    </row>
    <row r="790" spans="1:4">
      <c r="A790" s="85">
        <v>63</v>
      </c>
      <c r="B790" s="85">
        <v>171</v>
      </c>
      <c r="C790" s="85">
        <f t="shared" si="12"/>
        <v>788</v>
      </c>
      <c r="D790" s="85" t="s">
        <v>1883</v>
      </c>
    </row>
    <row r="791" spans="1:4">
      <c r="A791" s="85">
        <v>63</v>
      </c>
      <c r="B791" s="85">
        <v>171</v>
      </c>
      <c r="C791" s="85">
        <f t="shared" si="12"/>
        <v>789</v>
      </c>
      <c r="D791" s="85" t="s">
        <v>1884</v>
      </c>
    </row>
    <row r="792" spans="1:4">
      <c r="A792" s="85">
        <v>63</v>
      </c>
      <c r="B792" s="85">
        <v>171</v>
      </c>
      <c r="C792" s="85">
        <f t="shared" si="12"/>
        <v>790</v>
      </c>
      <c r="D792" s="85" t="s">
        <v>1885</v>
      </c>
    </row>
    <row r="793" spans="1:4">
      <c r="A793" s="85">
        <v>63</v>
      </c>
      <c r="B793" s="85">
        <v>171</v>
      </c>
      <c r="C793" s="85">
        <f t="shared" si="12"/>
        <v>791</v>
      </c>
      <c r="D793" s="85" t="s">
        <v>1886</v>
      </c>
    </row>
    <row r="794" spans="1:4">
      <c r="A794" s="85">
        <v>63</v>
      </c>
      <c r="B794" s="85">
        <v>171</v>
      </c>
      <c r="C794" s="85">
        <f t="shared" si="12"/>
        <v>792</v>
      </c>
      <c r="D794" s="85" t="s">
        <v>1887</v>
      </c>
    </row>
    <row r="795" spans="1:4">
      <c r="A795" s="85">
        <v>63</v>
      </c>
      <c r="B795" s="85">
        <v>172</v>
      </c>
      <c r="C795" s="85">
        <f t="shared" si="12"/>
        <v>793</v>
      </c>
      <c r="D795" s="85" t="s">
        <v>1888</v>
      </c>
    </row>
    <row r="796" spans="1:4">
      <c r="A796" s="85">
        <v>63</v>
      </c>
      <c r="B796" s="85">
        <v>172</v>
      </c>
      <c r="C796" s="85">
        <f t="shared" si="12"/>
        <v>794</v>
      </c>
      <c r="D796" s="85" t="s">
        <v>1889</v>
      </c>
    </row>
    <row r="797" spans="1:4">
      <c r="A797" s="85">
        <v>63</v>
      </c>
      <c r="B797" s="85">
        <v>172</v>
      </c>
      <c r="C797" s="85">
        <f t="shared" si="12"/>
        <v>795</v>
      </c>
      <c r="D797" s="85" t="s">
        <v>1890</v>
      </c>
    </row>
    <row r="798" spans="1:4">
      <c r="A798" s="85">
        <v>63</v>
      </c>
      <c r="B798" s="85">
        <v>172</v>
      </c>
      <c r="C798" s="85">
        <f t="shared" ref="C798:C861" si="13">C797+1</f>
        <v>796</v>
      </c>
      <c r="D798" s="85" t="s">
        <v>1891</v>
      </c>
    </row>
    <row r="799" spans="1:4">
      <c r="A799" s="85">
        <v>63</v>
      </c>
      <c r="B799" s="85">
        <v>172</v>
      </c>
      <c r="C799" s="85">
        <f t="shared" si="13"/>
        <v>797</v>
      </c>
      <c r="D799" s="85" t="s">
        <v>1892</v>
      </c>
    </row>
    <row r="800" spans="1:4">
      <c r="A800" s="85">
        <v>63</v>
      </c>
      <c r="B800" s="85">
        <v>172</v>
      </c>
      <c r="C800" s="85">
        <f t="shared" si="13"/>
        <v>798</v>
      </c>
      <c r="D800" s="85" t="s">
        <v>1893</v>
      </c>
    </row>
    <row r="801" spans="1:4">
      <c r="A801" s="85">
        <v>63</v>
      </c>
      <c r="B801" s="85">
        <v>173</v>
      </c>
      <c r="C801" s="85">
        <f t="shared" si="13"/>
        <v>799</v>
      </c>
      <c r="D801" s="85" t="s">
        <v>1894</v>
      </c>
    </row>
    <row r="802" spans="1:4">
      <c r="A802" s="85">
        <v>63</v>
      </c>
      <c r="B802" s="85">
        <v>173</v>
      </c>
      <c r="C802" s="85">
        <f t="shared" si="13"/>
        <v>800</v>
      </c>
      <c r="D802" s="85" t="s">
        <v>1895</v>
      </c>
    </row>
    <row r="803" spans="1:4">
      <c r="A803" s="85">
        <v>63</v>
      </c>
      <c r="B803" s="85">
        <v>173</v>
      </c>
      <c r="C803" s="85">
        <f t="shared" si="13"/>
        <v>801</v>
      </c>
      <c r="D803" s="85" t="s">
        <v>1896</v>
      </c>
    </row>
    <row r="804" spans="1:4">
      <c r="A804" s="85">
        <v>63</v>
      </c>
      <c r="B804" s="85">
        <v>173</v>
      </c>
      <c r="C804" s="85">
        <f t="shared" si="13"/>
        <v>802</v>
      </c>
      <c r="D804" s="85" t="s">
        <v>1897</v>
      </c>
    </row>
    <row r="805" spans="1:4">
      <c r="A805" s="85">
        <v>63</v>
      </c>
      <c r="B805" s="85">
        <v>173</v>
      </c>
      <c r="C805" s="85">
        <f t="shared" si="13"/>
        <v>803</v>
      </c>
      <c r="D805" s="85" t="s">
        <v>1898</v>
      </c>
    </row>
    <row r="806" spans="1:4">
      <c r="A806" s="85">
        <v>63</v>
      </c>
      <c r="B806" s="85">
        <v>173</v>
      </c>
      <c r="C806" s="85">
        <f t="shared" si="13"/>
        <v>804</v>
      </c>
      <c r="D806" s="85" t="s">
        <v>1899</v>
      </c>
    </row>
    <row r="807" spans="1:4">
      <c r="A807" s="85">
        <v>64</v>
      </c>
      <c r="B807" s="85">
        <v>174</v>
      </c>
      <c r="C807" s="85">
        <f t="shared" si="13"/>
        <v>805</v>
      </c>
      <c r="D807" s="85" t="s">
        <v>1900</v>
      </c>
    </row>
    <row r="808" spans="1:4">
      <c r="A808" s="85">
        <v>64</v>
      </c>
      <c r="B808" s="85">
        <v>174</v>
      </c>
      <c r="C808" s="85">
        <f t="shared" si="13"/>
        <v>806</v>
      </c>
      <c r="D808" s="85" t="s">
        <v>1901</v>
      </c>
    </row>
    <row r="809" spans="1:4">
      <c r="A809" s="85">
        <v>64</v>
      </c>
      <c r="B809" s="85">
        <v>174</v>
      </c>
      <c r="C809" s="85">
        <f t="shared" si="13"/>
        <v>807</v>
      </c>
      <c r="D809" s="85" t="s">
        <v>1902</v>
      </c>
    </row>
    <row r="810" spans="1:4">
      <c r="A810" s="85">
        <v>64</v>
      </c>
      <c r="B810" s="85">
        <v>175</v>
      </c>
      <c r="C810" s="85">
        <f t="shared" si="13"/>
        <v>808</v>
      </c>
      <c r="D810" s="85" t="s">
        <v>1903</v>
      </c>
    </row>
    <row r="811" spans="1:4">
      <c r="A811" s="85">
        <v>64</v>
      </c>
      <c r="B811" s="85">
        <v>175</v>
      </c>
      <c r="C811" s="85">
        <f t="shared" si="13"/>
        <v>809</v>
      </c>
      <c r="D811" s="85" t="s">
        <v>1904</v>
      </c>
    </row>
    <row r="812" spans="1:4">
      <c r="A812" s="85">
        <v>64</v>
      </c>
      <c r="B812" s="85">
        <v>176</v>
      </c>
      <c r="C812" s="85">
        <f t="shared" si="13"/>
        <v>810</v>
      </c>
      <c r="D812" s="85" t="s">
        <v>1905</v>
      </c>
    </row>
    <row r="813" spans="1:4">
      <c r="A813" s="85">
        <v>64</v>
      </c>
      <c r="B813" s="85">
        <v>176</v>
      </c>
      <c r="C813" s="85">
        <f t="shared" si="13"/>
        <v>811</v>
      </c>
      <c r="D813" s="85" t="s">
        <v>1906</v>
      </c>
    </row>
    <row r="814" spans="1:4">
      <c r="A814" s="85">
        <v>64</v>
      </c>
      <c r="B814" s="85">
        <v>176</v>
      </c>
      <c r="C814" s="85">
        <f t="shared" si="13"/>
        <v>812</v>
      </c>
      <c r="D814" s="85" t="s">
        <v>1907</v>
      </c>
    </row>
    <row r="815" spans="1:4">
      <c r="A815" s="85">
        <v>64</v>
      </c>
      <c r="B815" s="85">
        <v>176</v>
      </c>
      <c r="C815" s="85">
        <f t="shared" si="13"/>
        <v>813</v>
      </c>
      <c r="D815" s="85" t="s">
        <v>1908</v>
      </c>
    </row>
    <row r="816" spans="1:4">
      <c r="A816" s="85">
        <v>65</v>
      </c>
      <c r="B816" s="85">
        <v>177</v>
      </c>
      <c r="C816" s="85">
        <f t="shared" si="13"/>
        <v>814</v>
      </c>
      <c r="D816" s="85" t="s">
        <v>1909</v>
      </c>
    </row>
    <row r="817" spans="1:4">
      <c r="A817" s="85">
        <v>65</v>
      </c>
      <c r="B817" s="85">
        <v>177</v>
      </c>
      <c r="C817" s="85">
        <f t="shared" si="13"/>
        <v>815</v>
      </c>
      <c r="D817" s="85" t="s">
        <v>1910</v>
      </c>
    </row>
    <row r="818" spans="1:4">
      <c r="A818" s="85">
        <v>65</v>
      </c>
      <c r="B818" s="85">
        <v>177</v>
      </c>
      <c r="C818" s="85">
        <f t="shared" si="13"/>
        <v>816</v>
      </c>
      <c r="D818" s="85" t="s">
        <v>1911</v>
      </c>
    </row>
    <row r="819" spans="1:4">
      <c r="A819" s="85">
        <v>65</v>
      </c>
      <c r="B819" s="85">
        <v>178</v>
      </c>
      <c r="C819" s="85">
        <f t="shared" si="13"/>
        <v>817</v>
      </c>
      <c r="D819" s="85" t="s">
        <v>1912</v>
      </c>
    </row>
    <row r="820" spans="1:4">
      <c r="A820" s="85">
        <v>65</v>
      </c>
      <c r="B820" s="85">
        <v>178</v>
      </c>
      <c r="C820" s="85">
        <f t="shared" si="13"/>
        <v>818</v>
      </c>
      <c r="D820" s="85" t="s">
        <v>1913</v>
      </c>
    </row>
    <row r="821" spans="1:4">
      <c r="A821" s="85">
        <v>65</v>
      </c>
      <c r="B821" s="85">
        <v>178</v>
      </c>
      <c r="C821" s="85">
        <f t="shared" si="13"/>
        <v>819</v>
      </c>
      <c r="D821" s="85" t="s">
        <v>1914</v>
      </c>
    </row>
    <row r="822" spans="1:4">
      <c r="A822" s="85">
        <v>65</v>
      </c>
      <c r="B822" s="85">
        <v>179</v>
      </c>
      <c r="C822" s="85">
        <f t="shared" si="13"/>
        <v>820</v>
      </c>
      <c r="D822" s="85" t="s">
        <v>1915</v>
      </c>
    </row>
    <row r="823" spans="1:4">
      <c r="A823" s="85">
        <v>65</v>
      </c>
      <c r="B823" s="85">
        <v>179</v>
      </c>
      <c r="C823" s="85">
        <f t="shared" si="13"/>
        <v>821</v>
      </c>
      <c r="D823" s="85" t="s">
        <v>1916</v>
      </c>
    </row>
    <row r="824" spans="1:4">
      <c r="A824" s="85">
        <v>65</v>
      </c>
      <c r="B824" s="85">
        <v>179</v>
      </c>
      <c r="C824" s="85">
        <f t="shared" si="13"/>
        <v>822</v>
      </c>
      <c r="D824" s="85" t="s">
        <v>1917</v>
      </c>
    </row>
    <row r="825" spans="1:4">
      <c r="A825" s="85">
        <v>65</v>
      </c>
      <c r="B825" s="85">
        <v>179</v>
      </c>
      <c r="C825" s="85">
        <f t="shared" si="13"/>
        <v>823</v>
      </c>
      <c r="D825" s="85" t="s">
        <v>1918</v>
      </c>
    </row>
    <row r="826" spans="1:4">
      <c r="A826" s="85">
        <v>65</v>
      </c>
      <c r="B826" s="85">
        <v>179</v>
      </c>
      <c r="C826" s="85">
        <f t="shared" si="13"/>
        <v>824</v>
      </c>
      <c r="D826" s="85" t="s">
        <v>1919</v>
      </c>
    </row>
    <row r="827" spans="1:4">
      <c r="A827" s="85">
        <v>65</v>
      </c>
      <c r="B827" s="85">
        <v>179</v>
      </c>
      <c r="C827" s="85">
        <f t="shared" si="13"/>
        <v>825</v>
      </c>
      <c r="D827" s="85" t="s">
        <v>1920</v>
      </c>
    </row>
    <row r="828" spans="1:4">
      <c r="A828" s="85">
        <v>66</v>
      </c>
      <c r="B828" s="85">
        <v>180</v>
      </c>
      <c r="C828" s="85">
        <f t="shared" si="13"/>
        <v>826</v>
      </c>
      <c r="D828" s="85" t="s">
        <v>1921</v>
      </c>
    </row>
    <row r="829" spans="1:4">
      <c r="A829" s="85">
        <v>66</v>
      </c>
      <c r="B829" s="85">
        <v>180</v>
      </c>
      <c r="C829" s="85">
        <f t="shared" si="13"/>
        <v>827</v>
      </c>
      <c r="D829" s="85" t="s">
        <v>1922</v>
      </c>
    </row>
    <row r="830" spans="1:4">
      <c r="A830" s="85">
        <v>66</v>
      </c>
      <c r="B830" s="85">
        <v>180</v>
      </c>
      <c r="C830" s="85">
        <f t="shared" si="13"/>
        <v>828</v>
      </c>
      <c r="D830" s="85" t="s">
        <v>1923</v>
      </c>
    </row>
    <row r="831" spans="1:4">
      <c r="A831" s="85">
        <v>66</v>
      </c>
      <c r="B831" s="85">
        <v>180</v>
      </c>
      <c r="C831" s="85">
        <f t="shared" si="13"/>
        <v>829</v>
      </c>
      <c r="D831" s="85" t="s">
        <v>1924</v>
      </c>
    </row>
    <row r="832" spans="1:4">
      <c r="A832" s="85">
        <v>66</v>
      </c>
      <c r="B832" s="85">
        <v>180</v>
      </c>
      <c r="C832" s="85">
        <f t="shared" si="13"/>
        <v>830</v>
      </c>
      <c r="D832" s="85" t="s">
        <v>1925</v>
      </c>
    </row>
    <row r="833" spans="1:4">
      <c r="A833" s="85">
        <v>66</v>
      </c>
      <c r="B833" s="85">
        <v>181</v>
      </c>
      <c r="C833" s="85">
        <f t="shared" si="13"/>
        <v>831</v>
      </c>
      <c r="D833" s="85" t="s">
        <v>1926</v>
      </c>
    </row>
    <row r="834" spans="1:4">
      <c r="A834" s="85">
        <v>66</v>
      </c>
      <c r="B834" s="85">
        <v>181</v>
      </c>
      <c r="C834" s="85">
        <f t="shared" si="13"/>
        <v>832</v>
      </c>
      <c r="D834" s="85" t="s">
        <v>1927</v>
      </c>
    </row>
    <row r="835" spans="1:4">
      <c r="A835" s="85">
        <v>66</v>
      </c>
      <c r="B835" s="85">
        <v>181</v>
      </c>
      <c r="C835" s="85">
        <f t="shared" si="13"/>
        <v>833</v>
      </c>
      <c r="D835" s="85" t="s">
        <v>1928</v>
      </c>
    </row>
    <row r="836" spans="1:4">
      <c r="A836" s="85">
        <v>66</v>
      </c>
      <c r="B836" s="85">
        <v>181</v>
      </c>
      <c r="C836" s="85">
        <f t="shared" si="13"/>
        <v>834</v>
      </c>
      <c r="D836" s="85" t="s">
        <v>1929</v>
      </c>
    </row>
    <row r="837" spans="1:4">
      <c r="A837" s="85">
        <v>66</v>
      </c>
      <c r="B837" s="85">
        <v>181</v>
      </c>
      <c r="C837" s="85">
        <f t="shared" si="13"/>
        <v>835</v>
      </c>
      <c r="D837" s="85" t="s">
        <v>1930</v>
      </c>
    </row>
    <row r="838" spans="1:4">
      <c r="A838" s="85">
        <v>66</v>
      </c>
      <c r="B838" s="85">
        <v>181</v>
      </c>
      <c r="C838" s="85">
        <f t="shared" si="13"/>
        <v>836</v>
      </c>
      <c r="D838" s="85" t="s">
        <v>1756</v>
      </c>
    </row>
    <row r="839" spans="1:4">
      <c r="A839" s="85">
        <v>66</v>
      </c>
      <c r="B839" s="85">
        <v>182</v>
      </c>
      <c r="C839" s="85">
        <f t="shared" si="13"/>
        <v>837</v>
      </c>
      <c r="D839" s="85" t="s">
        <v>1931</v>
      </c>
    </row>
    <row r="840" spans="1:4">
      <c r="A840" s="85">
        <v>67</v>
      </c>
      <c r="B840" s="85">
        <v>183</v>
      </c>
      <c r="C840" s="85">
        <f t="shared" si="13"/>
        <v>838</v>
      </c>
      <c r="D840" s="85" t="s">
        <v>1932</v>
      </c>
    </row>
    <row r="841" spans="1:4">
      <c r="A841" s="85">
        <v>67</v>
      </c>
      <c r="B841" s="85">
        <v>183</v>
      </c>
      <c r="C841" s="85">
        <f t="shared" si="13"/>
        <v>839</v>
      </c>
      <c r="D841" s="85" t="s">
        <v>1933</v>
      </c>
    </row>
    <row r="842" spans="1:4">
      <c r="A842" s="85">
        <v>67</v>
      </c>
      <c r="B842" s="85">
        <v>183</v>
      </c>
      <c r="C842" s="85">
        <f t="shared" si="13"/>
        <v>840</v>
      </c>
      <c r="D842" s="85" t="s">
        <v>1934</v>
      </c>
    </row>
    <row r="843" spans="1:4">
      <c r="A843" s="85">
        <v>67</v>
      </c>
      <c r="B843" s="85">
        <v>183</v>
      </c>
      <c r="C843" s="85">
        <f t="shared" si="13"/>
        <v>841</v>
      </c>
      <c r="D843" s="85" t="s">
        <v>1935</v>
      </c>
    </row>
    <row r="844" spans="1:4">
      <c r="A844" s="85">
        <v>67</v>
      </c>
      <c r="B844" s="85">
        <v>183</v>
      </c>
      <c r="C844" s="85">
        <f t="shared" si="13"/>
        <v>842</v>
      </c>
      <c r="D844" s="85" t="s">
        <v>1936</v>
      </c>
    </row>
    <row r="845" spans="1:4">
      <c r="A845" s="85">
        <v>67</v>
      </c>
      <c r="B845" s="85">
        <v>183</v>
      </c>
      <c r="C845" s="85">
        <f t="shared" si="13"/>
        <v>843</v>
      </c>
      <c r="D845" s="85" t="s">
        <v>1937</v>
      </c>
    </row>
    <row r="846" spans="1:4">
      <c r="A846" s="85">
        <v>67</v>
      </c>
      <c r="B846" s="85">
        <v>183</v>
      </c>
      <c r="C846" s="85">
        <f t="shared" si="13"/>
        <v>844</v>
      </c>
      <c r="D846" s="85" t="s">
        <v>1938</v>
      </c>
    </row>
    <row r="847" spans="1:4">
      <c r="A847" s="85">
        <v>67</v>
      </c>
      <c r="B847" s="85">
        <v>183</v>
      </c>
      <c r="C847" s="85">
        <f t="shared" si="13"/>
        <v>845</v>
      </c>
      <c r="D847" s="85" t="s">
        <v>1939</v>
      </c>
    </row>
    <row r="848" spans="1:4">
      <c r="A848" s="85">
        <v>67</v>
      </c>
      <c r="B848" s="85">
        <v>183</v>
      </c>
      <c r="C848" s="85">
        <f t="shared" si="13"/>
        <v>846</v>
      </c>
      <c r="D848" s="85" t="s">
        <v>1940</v>
      </c>
    </row>
    <row r="849" spans="1:4">
      <c r="A849" s="85">
        <v>67</v>
      </c>
      <c r="B849" s="85">
        <v>184</v>
      </c>
      <c r="C849" s="85">
        <f t="shared" si="13"/>
        <v>847</v>
      </c>
      <c r="D849" s="85" t="s">
        <v>1941</v>
      </c>
    </row>
    <row r="850" spans="1:4">
      <c r="A850" s="85">
        <v>67</v>
      </c>
      <c r="B850" s="85">
        <v>184</v>
      </c>
      <c r="C850" s="85">
        <f t="shared" si="13"/>
        <v>848</v>
      </c>
      <c r="D850" s="85" t="s">
        <v>1942</v>
      </c>
    </row>
    <row r="851" spans="1:4">
      <c r="A851" s="85">
        <v>67</v>
      </c>
      <c r="B851" s="85">
        <v>184</v>
      </c>
      <c r="C851" s="85">
        <f t="shared" si="13"/>
        <v>849</v>
      </c>
      <c r="D851" s="85" t="s">
        <v>1943</v>
      </c>
    </row>
    <row r="852" spans="1:4">
      <c r="A852" s="85">
        <v>67</v>
      </c>
      <c r="B852" s="85">
        <v>184</v>
      </c>
      <c r="C852" s="85">
        <f t="shared" si="13"/>
        <v>850</v>
      </c>
      <c r="D852" s="85" t="s">
        <v>1944</v>
      </c>
    </row>
    <row r="853" spans="1:4">
      <c r="A853" s="85">
        <v>68</v>
      </c>
      <c r="B853" s="85">
        <v>185</v>
      </c>
      <c r="C853" s="85">
        <f t="shared" si="13"/>
        <v>851</v>
      </c>
      <c r="D853" s="85" t="s">
        <v>1945</v>
      </c>
    </row>
    <row r="854" spans="1:4">
      <c r="A854" s="85">
        <v>68</v>
      </c>
      <c r="B854" s="85">
        <v>185</v>
      </c>
      <c r="C854" s="85">
        <f t="shared" si="13"/>
        <v>852</v>
      </c>
      <c r="D854" s="85" t="s">
        <v>1946</v>
      </c>
    </row>
    <row r="855" spans="1:4">
      <c r="A855" s="85">
        <v>68</v>
      </c>
      <c r="B855" s="85">
        <v>185</v>
      </c>
      <c r="C855" s="85">
        <f t="shared" si="13"/>
        <v>853</v>
      </c>
      <c r="D855" s="85" t="s">
        <v>1947</v>
      </c>
    </row>
    <row r="856" spans="1:4">
      <c r="A856" s="85">
        <v>68</v>
      </c>
      <c r="B856" s="85">
        <v>185</v>
      </c>
      <c r="C856" s="85">
        <f t="shared" si="13"/>
        <v>854</v>
      </c>
      <c r="D856" s="85" t="s">
        <v>1948</v>
      </c>
    </row>
    <row r="857" spans="1:4">
      <c r="A857" s="85">
        <v>68</v>
      </c>
      <c r="B857" s="85">
        <v>185</v>
      </c>
      <c r="C857" s="85">
        <f t="shared" si="13"/>
        <v>855</v>
      </c>
      <c r="D857" s="85" t="s">
        <v>1949</v>
      </c>
    </row>
    <row r="858" spans="1:4">
      <c r="A858" s="85">
        <v>68</v>
      </c>
      <c r="B858" s="85">
        <v>185</v>
      </c>
      <c r="C858" s="85">
        <f t="shared" si="13"/>
        <v>856</v>
      </c>
      <c r="D858" s="85" t="s">
        <v>1950</v>
      </c>
    </row>
    <row r="859" spans="1:4">
      <c r="A859" s="85">
        <v>68</v>
      </c>
      <c r="B859" s="85">
        <v>185</v>
      </c>
      <c r="C859" s="85">
        <f t="shared" si="13"/>
        <v>857</v>
      </c>
      <c r="D859" s="85" t="s">
        <v>1951</v>
      </c>
    </row>
    <row r="860" spans="1:4">
      <c r="A860" s="85">
        <v>68</v>
      </c>
      <c r="B860" s="85">
        <v>186</v>
      </c>
      <c r="C860" s="85">
        <f t="shared" si="13"/>
        <v>858</v>
      </c>
      <c r="D860" s="85" t="s">
        <v>1952</v>
      </c>
    </row>
    <row r="861" spans="1:4">
      <c r="A861" s="85">
        <v>68</v>
      </c>
      <c r="B861" s="85">
        <v>186</v>
      </c>
      <c r="C861" s="85">
        <f t="shared" si="13"/>
        <v>859</v>
      </c>
      <c r="D861" s="85" t="s">
        <v>1953</v>
      </c>
    </row>
    <row r="862" spans="1:4">
      <c r="A862" s="85">
        <v>68</v>
      </c>
      <c r="B862" s="85">
        <v>187</v>
      </c>
      <c r="C862" s="85">
        <f t="shared" ref="C862:C925" si="14">C861+1</f>
        <v>860</v>
      </c>
      <c r="D862" s="85" t="s">
        <v>1954</v>
      </c>
    </row>
    <row r="863" spans="1:4">
      <c r="A863" s="85">
        <v>68</v>
      </c>
      <c r="B863" s="85">
        <v>187</v>
      </c>
      <c r="C863" s="85">
        <f t="shared" si="14"/>
        <v>861</v>
      </c>
      <c r="D863" s="85" t="s">
        <v>1955</v>
      </c>
    </row>
    <row r="864" spans="1:4">
      <c r="A864" s="85">
        <v>68</v>
      </c>
      <c r="B864" s="85">
        <v>187</v>
      </c>
      <c r="C864" s="85">
        <f t="shared" si="14"/>
        <v>862</v>
      </c>
      <c r="D864" s="85" t="s">
        <v>1956</v>
      </c>
    </row>
    <row r="865" spans="1:4">
      <c r="A865" s="85">
        <v>68</v>
      </c>
      <c r="B865" s="85">
        <v>187</v>
      </c>
      <c r="C865" s="85">
        <f t="shared" si="14"/>
        <v>863</v>
      </c>
      <c r="D865" s="85" t="s">
        <v>1957</v>
      </c>
    </row>
    <row r="866" spans="1:4">
      <c r="A866" s="85">
        <v>69</v>
      </c>
      <c r="B866" s="85">
        <v>188</v>
      </c>
      <c r="C866" s="85">
        <f t="shared" si="14"/>
        <v>864</v>
      </c>
      <c r="D866" s="85" t="s">
        <v>1958</v>
      </c>
    </row>
    <row r="867" spans="1:4">
      <c r="A867" s="85">
        <v>69</v>
      </c>
      <c r="B867" s="85">
        <v>188</v>
      </c>
      <c r="C867" s="85">
        <f t="shared" si="14"/>
        <v>865</v>
      </c>
      <c r="D867" s="85" t="s">
        <v>1959</v>
      </c>
    </row>
    <row r="868" spans="1:4">
      <c r="A868" s="85">
        <v>69</v>
      </c>
      <c r="B868" s="85">
        <v>188</v>
      </c>
      <c r="C868" s="85">
        <f t="shared" si="14"/>
        <v>866</v>
      </c>
      <c r="D868" s="85" t="s">
        <v>1960</v>
      </c>
    </row>
    <row r="869" spans="1:4">
      <c r="A869" s="85">
        <v>69</v>
      </c>
      <c r="B869" s="85">
        <v>188</v>
      </c>
      <c r="C869" s="85">
        <f t="shared" si="14"/>
        <v>867</v>
      </c>
      <c r="D869" s="85" t="s">
        <v>1961</v>
      </c>
    </row>
    <row r="870" spans="1:4">
      <c r="A870" s="85">
        <v>69</v>
      </c>
      <c r="B870" s="85">
        <v>188</v>
      </c>
      <c r="C870" s="85">
        <f t="shared" si="14"/>
        <v>868</v>
      </c>
      <c r="D870" s="85" t="s">
        <v>1962</v>
      </c>
    </row>
    <row r="871" spans="1:4">
      <c r="A871" s="85">
        <v>69</v>
      </c>
      <c r="B871" s="85">
        <v>188</v>
      </c>
      <c r="C871" s="85">
        <f t="shared" si="14"/>
        <v>869</v>
      </c>
      <c r="D871" s="85" t="s">
        <v>1963</v>
      </c>
    </row>
    <row r="872" spans="1:4">
      <c r="A872" s="85">
        <v>69</v>
      </c>
      <c r="B872" s="85">
        <v>188</v>
      </c>
      <c r="C872" s="85">
        <f t="shared" si="14"/>
        <v>870</v>
      </c>
      <c r="D872" s="85" t="s">
        <v>1964</v>
      </c>
    </row>
    <row r="873" spans="1:4">
      <c r="A873" s="85">
        <v>69</v>
      </c>
      <c r="B873" s="85">
        <v>188</v>
      </c>
      <c r="C873" s="85">
        <f t="shared" si="14"/>
        <v>871</v>
      </c>
      <c r="D873" s="85" t="s">
        <v>1965</v>
      </c>
    </row>
    <row r="874" spans="1:4">
      <c r="A874" s="85">
        <v>69</v>
      </c>
      <c r="B874" s="85">
        <v>188</v>
      </c>
      <c r="C874" s="85">
        <f t="shared" si="14"/>
        <v>872</v>
      </c>
      <c r="D874" s="85" t="s">
        <v>1966</v>
      </c>
    </row>
    <row r="875" spans="1:4">
      <c r="A875" s="85">
        <v>69</v>
      </c>
      <c r="B875" s="85">
        <v>188</v>
      </c>
      <c r="C875" s="85">
        <f t="shared" si="14"/>
        <v>873</v>
      </c>
      <c r="D875" s="85" t="s">
        <v>1967</v>
      </c>
    </row>
    <row r="876" spans="1:4">
      <c r="A876" s="85">
        <v>69</v>
      </c>
      <c r="B876" s="85">
        <v>188</v>
      </c>
      <c r="C876" s="85">
        <f t="shared" si="14"/>
        <v>874</v>
      </c>
      <c r="D876" s="85" t="s">
        <v>1968</v>
      </c>
    </row>
    <row r="877" spans="1:4">
      <c r="A877" s="85">
        <v>69</v>
      </c>
      <c r="B877" s="85">
        <v>189</v>
      </c>
      <c r="C877" s="85">
        <f t="shared" si="14"/>
        <v>875</v>
      </c>
      <c r="D877" s="85" t="s">
        <v>1969</v>
      </c>
    </row>
    <row r="878" spans="1:4">
      <c r="A878" s="85">
        <v>69</v>
      </c>
      <c r="B878" s="85">
        <v>189</v>
      </c>
      <c r="C878" s="85">
        <f t="shared" si="14"/>
        <v>876</v>
      </c>
      <c r="D878" s="85" t="s">
        <v>1970</v>
      </c>
    </row>
    <row r="879" spans="1:4">
      <c r="A879" s="85">
        <v>69</v>
      </c>
      <c r="B879" s="85">
        <v>189</v>
      </c>
      <c r="C879" s="85">
        <f t="shared" si="14"/>
        <v>877</v>
      </c>
      <c r="D879" s="85" t="s">
        <v>1971</v>
      </c>
    </row>
    <row r="880" spans="1:4">
      <c r="A880" s="85">
        <v>69</v>
      </c>
      <c r="B880" s="85">
        <v>189</v>
      </c>
      <c r="C880" s="85">
        <f t="shared" si="14"/>
        <v>878</v>
      </c>
      <c r="D880" s="85" t="s">
        <v>1972</v>
      </c>
    </row>
    <row r="881" spans="1:4">
      <c r="A881" s="85">
        <v>69</v>
      </c>
      <c r="B881" s="85">
        <v>189</v>
      </c>
      <c r="C881" s="85">
        <f t="shared" si="14"/>
        <v>879</v>
      </c>
      <c r="D881" s="85" t="s">
        <v>1973</v>
      </c>
    </row>
    <row r="882" spans="1:4">
      <c r="A882" s="85">
        <v>69</v>
      </c>
      <c r="B882" s="85">
        <v>189</v>
      </c>
      <c r="C882" s="85">
        <f t="shared" si="14"/>
        <v>880</v>
      </c>
      <c r="D882" s="85" t="s">
        <v>1974</v>
      </c>
    </row>
    <row r="883" spans="1:4">
      <c r="A883" s="85">
        <v>69</v>
      </c>
      <c r="B883" s="85">
        <v>189</v>
      </c>
      <c r="C883" s="85">
        <f t="shared" si="14"/>
        <v>881</v>
      </c>
      <c r="D883" s="85" t="s">
        <v>1975</v>
      </c>
    </row>
    <row r="884" spans="1:4">
      <c r="A884" s="85">
        <v>70</v>
      </c>
      <c r="B884" s="85">
        <v>190</v>
      </c>
      <c r="C884" s="85">
        <f t="shared" si="14"/>
        <v>882</v>
      </c>
      <c r="D884" s="85" t="s">
        <v>1976</v>
      </c>
    </row>
    <row r="885" spans="1:4">
      <c r="A885" s="85">
        <v>70</v>
      </c>
      <c r="B885" s="85">
        <v>190</v>
      </c>
      <c r="C885" s="85">
        <f t="shared" si="14"/>
        <v>883</v>
      </c>
      <c r="D885" s="85" t="s">
        <v>1977</v>
      </c>
    </row>
    <row r="886" spans="1:4">
      <c r="A886" s="85">
        <v>70</v>
      </c>
      <c r="B886" s="85">
        <v>190</v>
      </c>
      <c r="C886" s="85">
        <f t="shared" si="14"/>
        <v>884</v>
      </c>
      <c r="D886" s="85" t="s">
        <v>1978</v>
      </c>
    </row>
    <row r="887" spans="1:4">
      <c r="A887" s="85">
        <v>70</v>
      </c>
      <c r="B887" s="85">
        <v>190</v>
      </c>
      <c r="C887" s="85">
        <f t="shared" si="14"/>
        <v>885</v>
      </c>
      <c r="D887" s="85" t="s">
        <v>1979</v>
      </c>
    </row>
    <row r="888" spans="1:4">
      <c r="A888" s="85">
        <v>70</v>
      </c>
      <c r="B888" s="85">
        <v>190</v>
      </c>
      <c r="C888" s="85">
        <f t="shared" si="14"/>
        <v>886</v>
      </c>
      <c r="D888" s="85" t="s">
        <v>1980</v>
      </c>
    </row>
    <row r="889" spans="1:4">
      <c r="A889" s="85">
        <v>70</v>
      </c>
      <c r="B889" s="85">
        <v>190</v>
      </c>
      <c r="C889" s="85">
        <f t="shared" si="14"/>
        <v>887</v>
      </c>
      <c r="D889" s="85" t="s">
        <v>1981</v>
      </c>
    </row>
    <row r="890" spans="1:4">
      <c r="A890" s="85">
        <v>70</v>
      </c>
      <c r="B890" s="85">
        <v>190</v>
      </c>
      <c r="C890" s="85">
        <f t="shared" si="14"/>
        <v>888</v>
      </c>
      <c r="D890" s="85" t="s">
        <v>1982</v>
      </c>
    </row>
    <row r="891" spans="1:4">
      <c r="A891" s="85">
        <v>70</v>
      </c>
      <c r="B891" s="85">
        <v>190</v>
      </c>
      <c r="C891" s="85">
        <f t="shared" si="14"/>
        <v>889</v>
      </c>
      <c r="D891" s="85" t="s">
        <v>1983</v>
      </c>
    </row>
    <row r="892" spans="1:4">
      <c r="A892" s="85">
        <v>70</v>
      </c>
      <c r="B892" s="85">
        <v>190</v>
      </c>
      <c r="C892" s="85">
        <f t="shared" si="14"/>
        <v>890</v>
      </c>
      <c r="D892" s="85" t="s">
        <v>1984</v>
      </c>
    </row>
    <row r="893" spans="1:4">
      <c r="A893" s="88">
        <v>70</v>
      </c>
      <c r="B893" s="85">
        <v>190</v>
      </c>
      <c r="D893" s="85" t="s">
        <v>1985</v>
      </c>
    </row>
    <row r="894" spans="1:4">
      <c r="A894" s="85">
        <v>71</v>
      </c>
      <c r="B894" s="85">
        <v>191</v>
      </c>
      <c r="C894" s="85">
        <f>C892+1</f>
        <v>891</v>
      </c>
      <c r="D894" s="85" t="s">
        <v>1986</v>
      </c>
    </row>
    <row r="895" spans="1:4">
      <c r="A895" s="85">
        <v>71</v>
      </c>
      <c r="B895" s="85">
        <v>191</v>
      </c>
      <c r="C895" s="85">
        <f t="shared" si="14"/>
        <v>892</v>
      </c>
      <c r="D895" s="85" t="s">
        <v>1987</v>
      </c>
    </row>
    <row r="896" spans="1:4">
      <c r="A896" s="85">
        <v>71</v>
      </c>
      <c r="B896" s="85">
        <v>191</v>
      </c>
      <c r="C896" s="85">
        <f t="shared" si="14"/>
        <v>893</v>
      </c>
      <c r="D896" s="85" t="s">
        <v>1988</v>
      </c>
    </row>
    <row r="897" spans="1:4">
      <c r="A897" s="85">
        <v>71</v>
      </c>
      <c r="B897" s="85">
        <v>192</v>
      </c>
      <c r="C897" s="85">
        <f t="shared" si="14"/>
        <v>894</v>
      </c>
      <c r="D897" s="85" t="s">
        <v>1989</v>
      </c>
    </row>
    <row r="898" spans="1:4">
      <c r="A898" s="85">
        <v>71</v>
      </c>
      <c r="B898" s="85">
        <v>192</v>
      </c>
      <c r="C898" s="85">
        <f t="shared" si="14"/>
        <v>895</v>
      </c>
      <c r="D898" s="85" t="s">
        <v>1990</v>
      </c>
    </row>
    <row r="899" spans="1:4">
      <c r="A899" s="85">
        <v>71</v>
      </c>
      <c r="B899" s="85">
        <v>192</v>
      </c>
      <c r="C899" s="85">
        <f t="shared" si="14"/>
        <v>896</v>
      </c>
      <c r="D899" s="85" t="s">
        <v>1991</v>
      </c>
    </row>
    <row r="900" spans="1:4">
      <c r="A900" s="85">
        <v>71</v>
      </c>
      <c r="B900" s="85">
        <v>193</v>
      </c>
      <c r="C900" s="85">
        <f t="shared" si="14"/>
        <v>897</v>
      </c>
      <c r="D900" s="85" t="s">
        <v>1992</v>
      </c>
    </row>
    <row r="901" spans="1:4">
      <c r="A901" s="85">
        <v>71</v>
      </c>
      <c r="B901" s="85">
        <v>193</v>
      </c>
      <c r="C901" s="85">
        <f t="shared" si="14"/>
        <v>898</v>
      </c>
      <c r="D901" s="85" t="s">
        <v>1993</v>
      </c>
    </row>
    <row r="902" spans="1:4">
      <c r="A902" s="85">
        <v>71</v>
      </c>
      <c r="B902" s="85">
        <v>193</v>
      </c>
      <c r="C902" s="85">
        <f t="shared" si="14"/>
        <v>899</v>
      </c>
      <c r="D902" s="85" t="s">
        <v>1994</v>
      </c>
    </row>
    <row r="903" spans="1:4">
      <c r="A903" s="85">
        <v>71</v>
      </c>
      <c r="B903" s="85">
        <v>194</v>
      </c>
      <c r="C903" s="85">
        <f t="shared" si="14"/>
        <v>900</v>
      </c>
      <c r="D903" s="85" t="s">
        <v>1995</v>
      </c>
    </row>
    <row r="904" spans="1:4">
      <c r="A904" s="85">
        <v>71</v>
      </c>
      <c r="B904" s="85">
        <v>194</v>
      </c>
      <c r="C904" s="85">
        <f t="shared" si="14"/>
        <v>901</v>
      </c>
      <c r="D904" s="85" t="s">
        <v>1996</v>
      </c>
    </row>
    <row r="905" spans="1:4">
      <c r="A905" s="85">
        <v>71</v>
      </c>
      <c r="B905" s="85">
        <v>194</v>
      </c>
      <c r="C905" s="85">
        <f t="shared" si="14"/>
        <v>902</v>
      </c>
      <c r="D905" s="85" t="s">
        <v>1997</v>
      </c>
    </row>
    <row r="906" spans="1:4">
      <c r="A906" s="85">
        <v>71</v>
      </c>
      <c r="B906" s="85">
        <v>194</v>
      </c>
      <c r="C906" s="85">
        <f t="shared" si="14"/>
        <v>903</v>
      </c>
      <c r="D906" s="85" t="s">
        <v>1998</v>
      </c>
    </row>
    <row r="907" spans="1:4">
      <c r="A907" s="85">
        <v>72</v>
      </c>
      <c r="B907" s="85">
        <v>195</v>
      </c>
      <c r="C907" s="85">
        <f t="shared" si="14"/>
        <v>904</v>
      </c>
      <c r="D907" s="85" t="s">
        <v>1999</v>
      </c>
    </row>
    <row r="908" spans="1:4">
      <c r="A908" s="85">
        <v>72</v>
      </c>
      <c r="B908" s="85">
        <v>195</v>
      </c>
      <c r="C908" s="85">
        <f t="shared" si="14"/>
        <v>905</v>
      </c>
      <c r="D908" s="85" t="s">
        <v>2000</v>
      </c>
    </row>
    <row r="909" spans="1:4">
      <c r="A909" s="85">
        <v>72</v>
      </c>
      <c r="B909" s="85">
        <v>195</v>
      </c>
      <c r="C909" s="85">
        <f t="shared" si="14"/>
        <v>906</v>
      </c>
      <c r="D909" s="85" t="s">
        <v>2001</v>
      </c>
    </row>
    <row r="910" spans="1:4">
      <c r="A910" s="85">
        <v>72</v>
      </c>
      <c r="B910" s="85">
        <v>195</v>
      </c>
      <c r="C910" s="85">
        <f t="shared" si="14"/>
        <v>907</v>
      </c>
      <c r="D910" s="85" t="s">
        <v>2002</v>
      </c>
    </row>
    <row r="911" spans="1:4">
      <c r="A911" s="85">
        <v>72</v>
      </c>
      <c r="B911" s="85">
        <v>196</v>
      </c>
      <c r="C911" s="85">
        <f t="shared" si="14"/>
        <v>908</v>
      </c>
      <c r="D911" s="85" t="s">
        <v>2003</v>
      </c>
    </row>
    <row r="912" spans="1:4">
      <c r="A912" s="85">
        <v>72</v>
      </c>
      <c r="B912" s="85">
        <v>196</v>
      </c>
      <c r="C912" s="85">
        <f t="shared" si="14"/>
        <v>909</v>
      </c>
      <c r="D912" s="85" t="s">
        <v>2004</v>
      </c>
    </row>
    <row r="913" spans="1:4">
      <c r="A913" s="85">
        <v>72</v>
      </c>
      <c r="B913" s="85">
        <v>196</v>
      </c>
      <c r="C913" s="85">
        <f t="shared" si="14"/>
        <v>910</v>
      </c>
      <c r="D913" s="85" t="s">
        <v>2005</v>
      </c>
    </row>
    <row r="914" spans="1:4">
      <c r="A914" s="85">
        <v>72</v>
      </c>
      <c r="B914" s="85">
        <v>196</v>
      </c>
      <c r="C914" s="85">
        <f t="shared" si="14"/>
        <v>911</v>
      </c>
      <c r="D914" s="85" t="s">
        <v>2006</v>
      </c>
    </row>
    <row r="915" spans="1:4">
      <c r="A915" s="85">
        <v>72</v>
      </c>
      <c r="B915" s="85">
        <v>196</v>
      </c>
      <c r="C915" s="85">
        <f t="shared" si="14"/>
        <v>912</v>
      </c>
      <c r="D915" s="85" t="s">
        <v>2007</v>
      </c>
    </row>
    <row r="916" spans="1:4">
      <c r="A916" s="85">
        <v>72</v>
      </c>
      <c r="B916" s="85">
        <v>197</v>
      </c>
      <c r="C916" s="85">
        <f t="shared" si="14"/>
        <v>913</v>
      </c>
      <c r="D916" s="85" t="s">
        <v>2008</v>
      </c>
    </row>
    <row r="917" spans="1:4">
      <c r="A917" s="85">
        <v>73</v>
      </c>
      <c r="B917" s="85">
        <v>198</v>
      </c>
      <c r="C917" s="85">
        <f t="shared" si="14"/>
        <v>914</v>
      </c>
      <c r="D917" s="85" t="s">
        <v>2009</v>
      </c>
    </row>
    <row r="918" spans="1:4">
      <c r="A918" s="85">
        <v>73</v>
      </c>
      <c r="B918" s="85">
        <v>198</v>
      </c>
      <c r="C918" s="85">
        <f t="shared" si="14"/>
        <v>915</v>
      </c>
      <c r="D918" s="85" t="s">
        <v>2010</v>
      </c>
    </row>
    <row r="919" spans="1:4">
      <c r="A919" s="85">
        <v>73</v>
      </c>
      <c r="B919" s="85">
        <v>198</v>
      </c>
      <c r="C919" s="85">
        <f t="shared" si="14"/>
        <v>916</v>
      </c>
      <c r="D919" s="85" t="s">
        <v>2011</v>
      </c>
    </row>
    <row r="920" spans="1:4">
      <c r="A920" s="85">
        <v>73</v>
      </c>
      <c r="B920" s="85">
        <v>198</v>
      </c>
      <c r="C920" s="85">
        <f t="shared" si="14"/>
        <v>917</v>
      </c>
      <c r="D920" s="85" t="s">
        <v>2012</v>
      </c>
    </row>
    <row r="921" spans="1:4">
      <c r="A921" s="85">
        <v>73</v>
      </c>
      <c r="B921" s="85">
        <v>198</v>
      </c>
      <c r="C921" s="85">
        <f t="shared" si="14"/>
        <v>918</v>
      </c>
      <c r="D921" s="85" t="s">
        <v>2013</v>
      </c>
    </row>
    <row r="922" spans="1:4">
      <c r="A922" s="85">
        <v>73</v>
      </c>
      <c r="B922" s="85">
        <v>198</v>
      </c>
      <c r="C922" s="85">
        <f t="shared" si="14"/>
        <v>919</v>
      </c>
      <c r="D922" s="85" t="s">
        <v>2014</v>
      </c>
    </row>
    <row r="923" spans="1:4">
      <c r="A923" s="85">
        <v>73</v>
      </c>
      <c r="B923" s="85">
        <v>198</v>
      </c>
      <c r="C923" s="85">
        <f t="shared" si="14"/>
        <v>920</v>
      </c>
      <c r="D923" s="85" t="s">
        <v>2015</v>
      </c>
    </row>
    <row r="924" spans="1:4">
      <c r="A924" s="85">
        <v>73</v>
      </c>
      <c r="B924" s="85">
        <v>198</v>
      </c>
      <c r="C924" s="85">
        <f t="shared" si="14"/>
        <v>921</v>
      </c>
      <c r="D924" s="85" t="s">
        <v>2016</v>
      </c>
    </row>
    <row r="925" spans="1:4">
      <c r="A925" s="85">
        <v>74</v>
      </c>
      <c r="B925" s="85">
        <v>199</v>
      </c>
      <c r="C925" s="85">
        <f t="shared" si="14"/>
        <v>922</v>
      </c>
      <c r="D925" s="85" t="s">
        <v>2017</v>
      </c>
    </row>
    <row r="926" spans="1:4">
      <c r="A926" s="85">
        <v>74</v>
      </c>
      <c r="B926" s="85">
        <v>199</v>
      </c>
      <c r="C926" s="85">
        <f t="shared" ref="C926:C989" si="15">C925+1</f>
        <v>923</v>
      </c>
      <c r="D926" s="85" t="s">
        <v>2018</v>
      </c>
    </row>
    <row r="927" spans="1:4">
      <c r="A927" s="85">
        <v>74</v>
      </c>
      <c r="B927" s="85">
        <v>199</v>
      </c>
      <c r="C927" s="85">
        <f t="shared" si="15"/>
        <v>924</v>
      </c>
      <c r="D927" s="85" t="s">
        <v>2019</v>
      </c>
    </row>
    <row r="928" spans="1:4">
      <c r="A928" s="85">
        <v>74</v>
      </c>
      <c r="B928" s="85">
        <v>199</v>
      </c>
      <c r="C928" s="85">
        <f t="shared" si="15"/>
        <v>925</v>
      </c>
      <c r="D928" s="85" t="s">
        <v>2020</v>
      </c>
    </row>
    <row r="929" spans="1:4">
      <c r="A929" s="85">
        <v>75</v>
      </c>
      <c r="B929" s="85">
        <v>200</v>
      </c>
      <c r="C929" s="85">
        <f t="shared" si="15"/>
        <v>926</v>
      </c>
      <c r="D929" s="85" t="s">
        <v>2021</v>
      </c>
    </row>
    <row r="930" spans="1:4">
      <c r="A930" s="85">
        <v>75</v>
      </c>
      <c r="B930" s="85">
        <v>200</v>
      </c>
      <c r="C930" s="85">
        <f t="shared" si="15"/>
        <v>927</v>
      </c>
      <c r="D930" s="85" t="s">
        <v>2022</v>
      </c>
    </row>
    <row r="931" spans="1:4">
      <c r="A931" s="85">
        <v>75</v>
      </c>
      <c r="B931" s="85">
        <v>201</v>
      </c>
      <c r="C931" s="85">
        <f t="shared" si="15"/>
        <v>928</v>
      </c>
      <c r="D931" s="85" t="s">
        <v>2023</v>
      </c>
    </row>
    <row r="932" spans="1:4">
      <c r="A932" s="85">
        <v>75</v>
      </c>
      <c r="B932" s="85">
        <v>201</v>
      </c>
      <c r="C932" s="85">
        <f t="shared" si="15"/>
        <v>929</v>
      </c>
      <c r="D932" s="85" t="s">
        <v>2024</v>
      </c>
    </row>
    <row r="933" spans="1:4">
      <c r="A933" s="85">
        <v>75</v>
      </c>
      <c r="B933" s="85">
        <v>201</v>
      </c>
      <c r="C933" s="85">
        <f t="shared" si="15"/>
        <v>930</v>
      </c>
      <c r="D933" s="85" t="s">
        <v>2025</v>
      </c>
    </row>
    <row r="934" spans="1:4">
      <c r="A934" s="85">
        <v>75</v>
      </c>
      <c r="B934" s="85">
        <v>201</v>
      </c>
      <c r="C934" s="85">
        <f t="shared" si="15"/>
        <v>931</v>
      </c>
      <c r="D934" s="85" t="s">
        <v>2026</v>
      </c>
    </row>
    <row r="935" spans="1:4">
      <c r="A935" s="85">
        <v>75</v>
      </c>
      <c r="B935" s="85">
        <v>201</v>
      </c>
      <c r="C935" s="85">
        <f t="shared" si="15"/>
        <v>932</v>
      </c>
      <c r="D935" s="85" t="s">
        <v>2027</v>
      </c>
    </row>
    <row r="936" spans="1:4">
      <c r="A936" s="85">
        <v>75</v>
      </c>
      <c r="B936" s="85">
        <v>201</v>
      </c>
      <c r="C936" s="85">
        <f t="shared" si="15"/>
        <v>933</v>
      </c>
      <c r="D936" s="85" t="s">
        <v>2028</v>
      </c>
    </row>
    <row r="937" spans="1:4">
      <c r="A937" s="85">
        <v>75</v>
      </c>
      <c r="B937" s="85">
        <v>202</v>
      </c>
      <c r="C937" s="85">
        <f t="shared" si="15"/>
        <v>934</v>
      </c>
      <c r="D937" s="85" t="s">
        <v>2029</v>
      </c>
    </row>
    <row r="938" spans="1:4">
      <c r="A938" s="85">
        <v>75</v>
      </c>
      <c r="B938" s="85">
        <v>202</v>
      </c>
      <c r="C938" s="85">
        <f t="shared" si="15"/>
        <v>935</v>
      </c>
      <c r="D938" s="85" t="s">
        <v>2030</v>
      </c>
    </row>
    <row r="939" spans="1:4">
      <c r="A939" s="85">
        <v>76</v>
      </c>
      <c r="B939" s="85">
        <v>203</v>
      </c>
      <c r="C939" s="85">
        <f t="shared" si="15"/>
        <v>936</v>
      </c>
      <c r="D939" s="85" t="s">
        <v>2031</v>
      </c>
    </row>
    <row r="940" spans="1:4">
      <c r="A940" s="85">
        <v>76</v>
      </c>
      <c r="B940" s="85">
        <v>203</v>
      </c>
      <c r="C940" s="85">
        <f t="shared" si="15"/>
        <v>937</v>
      </c>
      <c r="D940" s="85" t="s">
        <v>2032</v>
      </c>
    </row>
    <row r="941" spans="1:4">
      <c r="A941" s="85">
        <v>76</v>
      </c>
      <c r="B941" s="85">
        <v>203</v>
      </c>
      <c r="C941" s="85">
        <f t="shared" si="15"/>
        <v>938</v>
      </c>
      <c r="D941" s="85" t="s">
        <v>2033</v>
      </c>
    </row>
    <row r="942" spans="1:4">
      <c r="A942" s="85">
        <v>76</v>
      </c>
      <c r="B942" s="85">
        <v>204</v>
      </c>
      <c r="C942" s="85">
        <f t="shared" si="15"/>
        <v>939</v>
      </c>
      <c r="D942" s="85" t="s">
        <v>2034</v>
      </c>
    </row>
    <row r="943" spans="1:4">
      <c r="A943" s="85">
        <v>76</v>
      </c>
      <c r="B943" s="85">
        <v>204</v>
      </c>
      <c r="C943" s="85">
        <f t="shared" si="15"/>
        <v>940</v>
      </c>
      <c r="D943" s="85" t="s">
        <v>2035</v>
      </c>
    </row>
    <row r="944" spans="1:4">
      <c r="A944" s="85">
        <v>76</v>
      </c>
      <c r="B944" s="85">
        <v>204</v>
      </c>
      <c r="C944" s="85">
        <f t="shared" si="15"/>
        <v>941</v>
      </c>
      <c r="D944" s="85" t="s">
        <v>2036</v>
      </c>
    </row>
    <row r="945" spans="1:4">
      <c r="A945" s="85">
        <v>76</v>
      </c>
      <c r="B945" s="85">
        <v>204</v>
      </c>
      <c r="C945" s="85">
        <f t="shared" si="15"/>
        <v>942</v>
      </c>
      <c r="D945" s="85" t="s">
        <v>2037</v>
      </c>
    </row>
    <row r="946" spans="1:4">
      <c r="A946" s="85">
        <v>76</v>
      </c>
      <c r="B946" s="85">
        <v>204</v>
      </c>
      <c r="C946" s="85">
        <f t="shared" si="15"/>
        <v>943</v>
      </c>
      <c r="D946" s="85" t="s">
        <v>2038</v>
      </c>
    </row>
    <row r="947" spans="1:4">
      <c r="A947" s="85">
        <v>76</v>
      </c>
      <c r="B947" s="85">
        <v>205</v>
      </c>
      <c r="C947" s="85">
        <f t="shared" si="15"/>
        <v>944</v>
      </c>
      <c r="D947" s="85" t="s">
        <v>2039</v>
      </c>
    </row>
    <row r="948" spans="1:4">
      <c r="A948" s="85">
        <v>76</v>
      </c>
      <c r="B948" s="85">
        <v>205</v>
      </c>
      <c r="C948" s="85">
        <f t="shared" si="15"/>
        <v>945</v>
      </c>
      <c r="D948" s="85" t="s">
        <v>2040</v>
      </c>
    </row>
    <row r="949" spans="1:4">
      <c r="A949" s="85">
        <v>76</v>
      </c>
      <c r="B949" s="85">
        <v>205</v>
      </c>
      <c r="C949" s="85">
        <f t="shared" si="15"/>
        <v>946</v>
      </c>
      <c r="D949" s="85" t="s">
        <v>2041</v>
      </c>
    </row>
    <row r="950" spans="1:4">
      <c r="A950" s="85">
        <v>76</v>
      </c>
      <c r="B950" s="85">
        <v>205</v>
      </c>
      <c r="C950" s="85">
        <f t="shared" si="15"/>
        <v>947</v>
      </c>
      <c r="D950" s="85" t="s">
        <v>2042</v>
      </c>
    </row>
    <row r="951" spans="1:4">
      <c r="A951" s="85">
        <v>76</v>
      </c>
      <c r="B951" s="85">
        <v>205</v>
      </c>
      <c r="C951" s="85">
        <f t="shared" si="15"/>
        <v>948</v>
      </c>
      <c r="D951" s="85" t="s">
        <v>2043</v>
      </c>
    </row>
    <row r="952" spans="1:4">
      <c r="A952" s="85">
        <v>77</v>
      </c>
      <c r="B952" s="85">
        <v>206</v>
      </c>
      <c r="C952" s="85">
        <f t="shared" si="15"/>
        <v>949</v>
      </c>
      <c r="D952" s="85" t="s">
        <v>2044</v>
      </c>
    </row>
    <row r="953" spans="1:4">
      <c r="A953" s="85">
        <v>77</v>
      </c>
      <c r="B953" s="85">
        <v>206</v>
      </c>
      <c r="C953" s="85">
        <f t="shared" si="15"/>
        <v>950</v>
      </c>
      <c r="D953" s="85" t="s">
        <v>2045</v>
      </c>
    </row>
    <row r="954" spans="1:4">
      <c r="A954" s="85">
        <v>77</v>
      </c>
      <c r="B954" s="85">
        <v>206</v>
      </c>
      <c r="C954" s="85">
        <f t="shared" si="15"/>
        <v>951</v>
      </c>
      <c r="D954" s="85" t="s">
        <v>2046</v>
      </c>
    </row>
    <row r="955" spans="1:4">
      <c r="A955" s="85">
        <v>77</v>
      </c>
      <c r="B955" s="85">
        <v>206</v>
      </c>
      <c r="C955" s="85">
        <f t="shared" si="15"/>
        <v>952</v>
      </c>
      <c r="D955" s="85" t="s">
        <v>2047</v>
      </c>
    </row>
    <row r="956" spans="1:4">
      <c r="A956" s="85">
        <v>77</v>
      </c>
      <c r="B956" s="85">
        <v>207</v>
      </c>
      <c r="C956" s="85">
        <f t="shared" si="15"/>
        <v>953</v>
      </c>
      <c r="D956" s="85" t="s">
        <v>2048</v>
      </c>
    </row>
    <row r="957" spans="1:4">
      <c r="A957" s="85">
        <v>77</v>
      </c>
      <c r="B957" s="85">
        <v>207</v>
      </c>
      <c r="C957" s="85">
        <f t="shared" si="15"/>
        <v>954</v>
      </c>
      <c r="D957" s="85" t="s">
        <v>2049</v>
      </c>
    </row>
    <row r="958" spans="1:4">
      <c r="A958" s="85">
        <v>77</v>
      </c>
      <c r="B958" s="85">
        <v>208</v>
      </c>
      <c r="C958" s="85">
        <f t="shared" si="15"/>
        <v>955</v>
      </c>
      <c r="D958" s="85" t="s">
        <v>2050</v>
      </c>
    </row>
    <row r="959" spans="1:4">
      <c r="A959" s="85">
        <v>77</v>
      </c>
      <c r="B959" s="85">
        <v>209</v>
      </c>
      <c r="C959" s="85">
        <f t="shared" si="15"/>
        <v>956</v>
      </c>
      <c r="D959" s="85" t="s">
        <v>2051</v>
      </c>
    </row>
    <row r="960" spans="1:4">
      <c r="A960" s="85">
        <v>77</v>
      </c>
      <c r="B960" s="85">
        <v>209</v>
      </c>
      <c r="C960" s="85">
        <f t="shared" si="15"/>
        <v>957</v>
      </c>
      <c r="D960" s="85" t="s">
        <v>2052</v>
      </c>
    </row>
    <row r="961" spans="1:4">
      <c r="A961" s="85">
        <v>77</v>
      </c>
      <c r="B961" s="85">
        <v>209</v>
      </c>
      <c r="C961" s="85">
        <f t="shared" si="15"/>
        <v>958</v>
      </c>
      <c r="D961" s="85" t="s">
        <v>2053</v>
      </c>
    </row>
    <row r="962" spans="1:4">
      <c r="A962" s="85">
        <v>77</v>
      </c>
      <c r="B962" s="85">
        <v>209</v>
      </c>
      <c r="C962" s="85">
        <f t="shared" si="15"/>
        <v>959</v>
      </c>
      <c r="D962" s="85" t="s">
        <v>2054</v>
      </c>
    </row>
    <row r="963" spans="1:4">
      <c r="A963" s="85">
        <v>77</v>
      </c>
      <c r="B963" s="85">
        <v>209</v>
      </c>
      <c r="C963" s="85">
        <f t="shared" si="15"/>
        <v>960</v>
      </c>
      <c r="D963" s="85" t="s">
        <v>2055</v>
      </c>
    </row>
    <row r="964" spans="1:4">
      <c r="A964" s="85">
        <v>78</v>
      </c>
      <c r="B964" s="85">
        <v>210</v>
      </c>
      <c r="C964" s="85">
        <f t="shared" si="15"/>
        <v>961</v>
      </c>
      <c r="D964" s="85" t="s">
        <v>2056</v>
      </c>
    </row>
    <row r="965" spans="1:4">
      <c r="A965" s="85">
        <v>78</v>
      </c>
      <c r="B965" s="85">
        <v>210</v>
      </c>
      <c r="C965" s="85">
        <f t="shared" si="15"/>
        <v>962</v>
      </c>
      <c r="D965" s="85" t="s">
        <v>2057</v>
      </c>
    </row>
    <row r="966" spans="1:4">
      <c r="A966" s="85">
        <v>78</v>
      </c>
      <c r="B966" s="85">
        <v>210</v>
      </c>
      <c r="C966" s="85">
        <f t="shared" si="15"/>
        <v>963</v>
      </c>
      <c r="D966" s="85" t="s">
        <v>2058</v>
      </c>
    </row>
    <row r="967" spans="1:4">
      <c r="A967" s="85">
        <v>78</v>
      </c>
      <c r="B967" s="85">
        <v>210</v>
      </c>
      <c r="C967" s="85">
        <f t="shared" si="15"/>
        <v>964</v>
      </c>
      <c r="D967" s="85" t="s">
        <v>2059</v>
      </c>
    </row>
    <row r="968" spans="1:4">
      <c r="A968" s="85">
        <v>78</v>
      </c>
      <c r="B968" s="85">
        <v>210</v>
      </c>
      <c r="C968" s="85">
        <f t="shared" si="15"/>
        <v>965</v>
      </c>
      <c r="D968" s="85" t="s">
        <v>2060</v>
      </c>
    </row>
    <row r="969" spans="1:4">
      <c r="A969" s="85">
        <v>78</v>
      </c>
      <c r="B969" s="85">
        <v>210</v>
      </c>
      <c r="C969" s="85">
        <f t="shared" si="15"/>
        <v>966</v>
      </c>
      <c r="D969" s="85" t="s">
        <v>2061</v>
      </c>
    </row>
    <row r="970" spans="1:4">
      <c r="A970" s="85">
        <v>78</v>
      </c>
      <c r="B970" s="85">
        <v>211</v>
      </c>
      <c r="C970" s="85">
        <f t="shared" si="15"/>
        <v>967</v>
      </c>
      <c r="D970" s="85" t="s">
        <v>2062</v>
      </c>
    </row>
    <row r="971" spans="1:4">
      <c r="A971" s="85">
        <v>78</v>
      </c>
      <c r="B971" s="85">
        <v>211</v>
      </c>
      <c r="C971" s="85">
        <f t="shared" si="15"/>
        <v>968</v>
      </c>
      <c r="D971" s="85" t="s">
        <v>2063</v>
      </c>
    </row>
    <row r="972" spans="1:4">
      <c r="A972" s="85">
        <v>78</v>
      </c>
      <c r="B972" s="85">
        <v>211</v>
      </c>
      <c r="C972" s="85">
        <f t="shared" si="15"/>
        <v>969</v>
      </c>
      <c r="D972" s="85" t="s">
        <v>2064</v>
      </c>
    </row>
    <row r="973" spans="1:4">
      <c r="A973" s="85">
        <v>78</v>
      </c>
      <c r="B973" s="85">
        <v>211</v>
      </c>
      <c r="C973" s="85">
        <f t="shared" si="15"/>
        <v>970</v>
      </c>
      <c r="D973" s="85" t="s">
        <v>2065</v>
      </c>
    </row>
    <row r="974" spans="1:4">
      <c r="A974" s="85">
        <v>78</v>
      </c>
      <c r="B974" s="85">
        <v>212</v>
      </c>
      <c r="C974" s="85">
        <f t="shared" si="15"/>
        <v>971</v>
      </c>
      <c r="D974" s="85" t="s">
        <v>2066</v>
      </c>
    </row>
    <row r="975" spans="1:4">
      <c r="A975" s="85">
        <v>78</v>
      </c>
      <c r="B975" s="85">
        <v>212</v>
      </c>
      <c r="C975" s="85">
        <f t="shared" si="15"/>
        <v>972</v>
      </c>
      <c r="D975" s="85" t="s">
        <v>2067</v>
      </c>
    </row>
    <row r="976" spans="1:4">
      <c r="A976" s="85">
        <v>78</v>
      </c>
      <c r="B976" s="85">
        <v>212</v>
      </c>
      <c r="C976" s="85">
        <f t="shared" si="15"/>
        <v>973</v>
      </c>
      <c r="D976" s="85" t="s">
        <v>2068</v>
      </c>
    </row>
    <row r="977" spans="1:4">
      <c r="A977" s="85">
        <v>78</v>
      </c>
      <c r="B977" s="85">
        <v>212</v>
      </c>
      <c r="C977" s="85">
        <f t="shared" si="15"/>
        <v>974</v>
      </c>
      <c r="D977" s="85" t="s">
        <v>2069</v>
      </c>
    </row>
    <row r="978" spans="1:4">
      <c r="A978" s="85">
        <v>78</v>
      </c>
      <c r="B978" s="85">
        <v>212</v>
      </c>
      <c r="C978" s="85">
        <f t="shared" si="15"/>
        <v>975</v>
      </c>
      <c r="D978" s="85" t="s">
        <v>2070</v>
      </c>
    </row>
    <row r="979" spans="1:4">
      <c r="A979" s="85">
        <v>78</v>
      </c>
      <c r="B979" s="85">
        <v>212</v>
      </c>
      <c r="C979" s="85">
        <f t="shared" si="15"/>
        <v>976</v>
      </c>
      <c r="D979" s="85" t="s">
        <v>2071</v>
      </c>
    </row>
    <row r="980" spans="1:4">
      <c r="A980" s="85">
        <v>78</v>
      </c>
      <c r="B980" s="85">
        <v>212</v>
      </c>
      <c r="C980" s="85">
        <f t="shared" si="15"/>
        <v>977</v>
      </c>
      <c r="D980" s="85" t="s">
        <v>2072</v>
      </c>
    </row>
    <row r="981" spans="1:4">
      <c r="A981" s="85">
        <v>79</v>
      </c>
      <c r="B981" s="85">
        <v>213</v>
      </c>
      <c r="C981" s="85">
        <f t="shared" si="15"/>
        <v>978</v>
      </c>
      <c r="D981" s="85" t="s">
        <v>2073</v>
      </c>
    </row>
    <row r="982" spans="1:4">
      <c r="A982" s="85">
        <v>79</v>
      </c>
      <c r="B982" s="85">
        <v>213</v>
      </c>
      <c r="C982" s="85">
        <f t="shared" si="15"/>
        <v>979</v>
      </c>
      <c r="D982" s="85" t="s">
        <v>2074</v>
      </c>
    </row>
    <row r="983" spans="1:4">
      <c r="A983" s="85">
        <v>79</v>
      </c>
      <c r="B983" s="85">
        <v>213</v>
      </c>
      <c r="C983" s="85">
        <f t="shared" si="15"/>
        <v>980</v>
      </c>
      <c r="D983" s="85" t="s">
        <v>2075</v>
      </c>
    </row>
    <row r="984" spans="1:4">
      <c r="A984" s="85">
        <v>79</v>
      </c>
      <c r="B984" s="85">
        <v>213</v>
      </c>
      <c r="C984" s="85">
        <f t="shared" si="15"/>
        <v>981</v>
      </c>
      <c r="D984" s="85" t="s">
        <v>2076</v>
      </c>
    </row>
    <row r="985" spans="1:4">
      <c r="A985" s="85">
        <v>79</v>
      </c>
      <c r="B985" s="85">
        <v>213</v>
      </c>
      <c r="C985" s="85">
        <f t="shared" si="15"/>
        <v>982</v>
      </c>
      <c r="D985" s="85" t="s">
        <v>2077</v>
      </c>
    </row>
    <row r="986" spans="1:4">
      <c r="A986" s="85">
        <v>79</v>
      </c>
      <c r="B986" s="85">
        <v>214</v>
      </c>
      <c r="C986" s="85">
        <f t="shared" si="15"/>
        <v>983</v>
      </c>
      <c r="D986" s="85" t="s">
        <v>2078</v>
      </c>
    </row>
    <row r="987" spans="1:4">
      <c r="A987" s="85">
        <v>79</v>
      </c>
      <c r="B987" s="85">
        <v>214</v>
      </c>
      <c r="C987" s="85">
        <f t="shared" si="15"/>
        <v>984</v>
      </c>
      <c r="D987" s="85" t="s">
        <v>2079</v>
      </c>
    </row>
    <row r="988" spans="1:4">
      <c r="A988" s="85">
        <v>79</v>
      </c>
      <c r="B988" s="85">
        <v>214</v>
      </c>
      <c r="C988" s="85">
        <f t="shared" si="15"/>
        <v>985</v>
      </c>
      <c r="D988" s="85" t="s">
        <v>2080</v>
      </c>
    </row>
    <row r="989" spans="1:4">
      <c r="A989" s="85">
        <v>79</v>
      </c>
      <c r="B989" s="85">
        <v>214</v>
      </c>
      <c r="C989" s="85">
        <f t="shared" si="15"/>
        <v>986</v>
      </c>
      <c r="D989" s="85" t="s">
        <v>2081</v>
      </c>
    </row>
    <row r="990" spans="1:4">
      <c r="A990" s="85">
        <v>79</v>
      </c>
      <c r="B990" s="85">
        <v>214</v>
      </c>
      <c r="C990" s="85">
        <f t="shared" ref="C990:C1053" si="16">C989+1</f>
        <v>987</v>
      </c>
      <c r="D990" s="85" t="s">
        <v>2082</v>
      </c>
    </row>
    <row r="991" spans="1:4">
      <c r="A991" s="85">
        <v>79</v>
      </c>
      <c r="B991" s="85">
        <v>214</v>
      </c>
      <c r="C991" s="85">
        <f t="shared" si="16"/>
        <v>988</v>
      </c>
      <c r="D991" s="85" t="s">
        <v>2083</v>
      </c>
    </row>
    <row r="992" spans="1:4">
      <c r="A992" s="85">
        <v>79</v>
      </c>
      <c r="B992" s="85">
        <v>214</v>
      </c>
      <c r="C992" s="85">
        <f t="shared" si="16"/>
        <v>989</v>
      </c>
      <c r="D992" s="85" t="s">
        <v>2084</v>
      </c>
    </row>
    <row r="993" spans="1:4">
      <c r="A993" s="85">
        <v>79</v>
      </c>
      <c r="B993" s="85">
        <v>215</v>
      </c>
      <c r="C993" s="85">
        <f t="shared" si="16"/>
        <v>990</v>
      </c>
      <c r="D993" s="85" t="s">
        <v>2085</v>
      </c>
    </row>
    <row r="994" spans="1:4">
      <c r="A994" s="85">
        <v>79</v>
      </c>
      <c r="B994" s="85">
        <v>215</v>
      </c>
      <c r="C994" s="85">
        <f t="shared" si="16"/>
        <v>991</v>
      </c>
      <c r="D994" s="85" t="s">
        <v>2086</v>
      </c>
    </row>
    <row r="995" spans="1:4">
      <c r="A995" s="85">
        <v>79</v>
      </c>
      <c r="B995" s="85">
        <v>215</v>
      </c>
      <c r="C995" s="85">
        <f t="shared" si="16"/>
        <v>992</v>
      </c>
      <c r="D995" s="85" t="s">
        <v>2087</v>
      </c>
    </row>
    <row r="996" spans="1:4">
      <c r="A996" s="85">
        <v>79</v>
      </c>
      <c r="B996" s="85">
        <v>215</v>
      </c>
      <c r="C996" s="85">
        <f t="shared" si="16"/>
        <v>993</v>
      </c>
      <c r="D996" s="85" t="s">
        <v>2088</v>
      </c>
    </row>
    <row r="997" spans="1:4">
      <c r="A997" s="85">
        <v>80</v>
      </c>
      <c r="B997" s="85">
        <v>216</v>
      </c>
      <c r="C997" s="85">
        <f t="shared" si="16"/>
        <v>994</v>
      </c>
      <c r="D997" s="85" t="s">
        <v>2089</v>
      </c>
    </row>
    <row r="998" spans="1:4">
      <c r="A998" s="85">
        <v>80</v>
      </c>
      <c r="B998" s="85">
        <v>216</v>
      </c>
      <c r="C998" s="85">
        <f t="shared" si="16"/>
        <v>995</v>
      </c>
      <c r="D998" s="85" t="s">
        <v>2090</v>
      </c>
    </row>
    <row r="999" spans="1:4">
      <c r="A999" s="85">
        <v>80</v>
      </c>
      <c r="B999" s="85">
        <v>216</v>
      </c>
      <c r="C999" s="85">
        <f t="shared" si="16"/>
        <v>996</v>
      </c>
      <c r="D999" s="85" t="s">
        <v>2091</v>
      </c>
    </row>
    <row r="1000" spans="1:4">
      <c r="A1000" s="85">
        <v>80</v>
      </c>
      <c r="B1000" s="85">
        <v>217</v>
      </c>
      <c r="C1000" s="85">
        <f t="shared" si="16"/>
        <v>997</v>
      </c>
      <c r="D1000" s="85" t="s">
        <v>2092</v>
      </c>
    </row>
    <row r="1001" spans="1:4">
      <c r="A1001" s="85">
        <v>80</v>
      </c>
      <c r="B1001" s="85">
        <v>217</v>
      </c>
      <c r="C1001" s="85">
        <f t="shared" si="16"/>
        <v>998</v>
      </c>
      <c r="D1001" s="85" t="s">
        <v>2093</v>
      </c>
    </row>
    <row r="1002" spans="1:4">
      <c r="A1002" s="85">
        <v>80</v>
      </c>
      <c r="B1002" s="85">
        <v>217</v>
      </c>
      <c r="C1002" s="85">
        <f t="shared" si="16"/>
        <v>999</v>
      </c>
      <c r="D1002" s="85" t="s">
        <v>2094</v>
      </c>
    </row>
    <row r="1003" spans="1:4">
      <c r="A1003" s="85">
        <v>80</v>
      </c>
      <c r="B1003" s="85">
        <v>217</v>
      </c>
      <c r="C1003" s="85">
        <f t="shared" si="16"/>
        <v>1000</v>
      </c>
      <c r="D1003" s="85" t="s">
        <v>2095</v>
      </c>
    </row>
    <row r="1004" spans="1:4">
      <c r="A1004" s="85">
        <v>80</v>
      </c>
      <c r="B1004" s="85">
        <v>217</v>
      </c>
      <c r="C1004" s="85">
        <f t="shared" si="16"/>
        <v>1001</v>
      </c>
      <c r="D1004" s="85" t="s">
        <v>2096</v>
      </c>
    </row>
    <row r="1005" spans="1:4">
      <c r="A1005" s="85">
        <v>80</v>
      </c>
      <c r="B1005" s="85">
        <v>218</v>
      </c>
      <c r="C1005" s="85">
        <f t="shared" si="16"/>
        <v>1002</v>
      </c>
      <c r="D1005" s="85" t="s">
        <v>2097</v>
      </c>
    </row>
    <row r="1006" spans="1:4">
      <c r="A1006" s="85">
        <v>80</v>
      </c>
      <c r="B1006" s="85">
        <v>218</v>
      </c>
      <c r="C1006" s="85">
        <f t="shared" si="16"/>
        <v>1003</v>
      </c>
      <c r="D1006" s="85" t="s">
        <v>2098</v>
      </c>
    </row>
    <row r="1007" spans="1:4">
      <c r="A1007" s="85">
        <v>80</v>
      </c>
      <c r="B1007" s="85">
        <v>218</v>
      </c>
      <c r="C1007" s="85">
        <f t="shared" si="16"/>
        <v>1004</v>
      </c>
      <c r="D1007" s="85" t="s">
        <v>2099</v>
      </c>
    </row>
    <row r="1008" spans="1:4">
      <c r="A1008" s="85">
        <v>80</v>
      </c>
      <c r="B1008" s="85">
        <v>218</v>
      </c>
      <c r="C1008" s="85">
        <f t="shared" si="16"/>
        <v>1005</v>
      </c>
      <c r="D1008" s="85" t="s">
        <v>2100</v>
      </c>
    </row>
    <row r="1009" spans="1:4">
      <c r="A1009" s="85">
        <v>80</v>
      </c>
      <c r="B1009" s="85">
        <v>218</v>
      </c>
      <c r="C1009" s="85">
        <f t="shared" si="16"/>
        <v>1006</v>
      </c>
      <c r="D1009" s="85" t="s">
        <v>2101</v>
      </c>
    </row>
    <row r="1010" spans="1:4">
      <c r="A1010" s="85">
        <v>80</v>
      </c>
      <c r="B1010" s="85">
        <v>218</v>
      </c>
      <c r="C1010" s="85">
        <f t="shared" si="16"/>
        <v>1007</v>
      </c>
      <c r="D1010" s="85" t="s">
        <v>2102</v>
      </c>
    </row>
    <row r="1011" spans="1:4">
      <c r="A1011" s="85">
        <v>81</v>
      </c>
      <c r="B1011" s="85">
        <v>219</v>
      </c>
      <c r="C1011" s="85">
        <f t="shared" si="16"/>
        <v>1008</v>
      </c>
      <c r="D1011" s="85" t="s">
        <v>2103</v>
      </c>
    </row>
    <row r="1012" spans="1:4">
      <c r="A1012" s="85">
        <v>81</v>
      </c>
      <c r="B1012" s="85">
        <v>219</v>
      </c>
      <c r="C1012" s="85">
        <f t="shared" si="16"/>
        <v>1009</v>
      </c>
      <c r="D1012" s="85" t="s">
        <v>2104</v>
      </c>
    </row>
    <row r="1013" spans="1:4">
      <c r="A1013" s="85">
        <v>81</v>
      </c>
      <c r="B1013" s="85">
        <v>219</v>
      </c>
      <c r="C1013" s="85">
        <f t="shared" si="16"/>
        <v>1010</v>
      </c>
      <c r="D1013" s="85" t="s">
        <v>2105</v>
      </c>
    </row>
    <row r="1014" spans="1:4">
      <c r="A1014" s="85">
        <v>81</v>
      </c>
      <c r="B1014" s="85">
        <v>219</v>
      </c>
      <c r="C1014" s="85">
        <f t="shared" si="16"/>
        <v>1011</v>
      </c>
      <c r="D1014" s="85" t="s">
        <v>2106</v>
      </c>
    </row>
    <row r="1015" spans="1:4">
      <c r="A1015" s="85">
        <v>81</v>
      </c>
      <c r="B1015" s="85">
        <v>219</v>
      </c>
      <c r="C1015" s="85">
        <f t="shared" si="16"/>
        <v>1012</v>
      </c>
      <c r="D1015" s="85" t="s">
        <v>2107</v>
      </c>
    </row>
    <row r="1016" spans="1:4">
      <c r="A1016" s="85">
        <v>81</v>
      </c>
      <c r="B1016" s="85">
        <v>220</v>
      </c>
      <c r="C1016" s="85">
        <f t="shared" si="16"/>
        <v>1013</v>
      </c>
      <c r="D1016" s="85" t="s">
        <v>2108</v>
      </c>
    </row>
    <row r="1017" spans="1:4">
      <c r="A1017" s="85">
        <v>81</v>
      </c>
      <c r="B1017" s="85">
        <v>220</v>
      </c>
      <c r="C1017" s="85">
        <f t="shared" si="16"/>
        <v>1014</v>
      </c>
      <c r="D1017" s="85" t="s">
        <v>2109</v>
      </c>
    </row>
    <row r="1018" spans="1:4">
      <c r="A1018" s="85">
        <v>81</v>
      </c>
      <c r="B1018" s="85">
        <v>220</v>
      </c>
      <c r="C1018" s="85">
        <f t="shared" si="16"/>
        <v>1015</v>
      </c>
      <c r="D1018" s="85" t="s">
        <v>2110</v>
      </c>
    </row>
    <row r="1019" spans="1:4">
      <c r="A1019" s="85">
        <v>81</v>
      </c>
      <c r="B1019" s="85">
        <v>220</v>
      </c>
      <c r="C1019" s="85">
        <f t="shared" si="16"/>
        <v>1016</v>
      </c>
      <c r="D1019" s="85" t="s">
        <v>2111</v>
      </c>
    </row>
    <row r="1020" spans="1:4">
      <c r="A1020" s="85">
        <v>81</v>
      </c>
      <c r="B1020" s="85">
        <v>220</v>
      </c>
      <c r="C1020" s="85">
        <f t="shared" si="16"/>
        <v>1017</v>
      </c>
      <c r="D1020" s="85" t="s">
        <v>2112</v>
      </c>
    </row>
    <row r="1021" spans="1:4">
      <c r="A1021" s="85">
        <v>81</v>
      </c>
      <c r="B1021" s="85">
        <v>220</v>
      </c>
      <c r="C1021" s="85">
        <f t="shared" si="16"/>
        <v>1018</v>
      </c>
      <c r="D1021" s="85" t="s">
        <v>2113</v>
      </c>
    </row>
    <row r="1022" spans="1:4">
      <c r="A1022" s="85">
        <v>81</v>
      </c>
      <c r="B1022" s="85">
        <v>220</v>
      </c>
      <c r="C1022" s="85">
        <f t="shared" si="16"/>
        <v>1019</v>
      </c>
      <c r="D1022" s="85" t="s">
        <v>2114</v>
      </c>
    </row>
    <row r="1023" spans="1:4">
      <c r="A1023" s="85">
        <v>81</v>
      </c>
      <c r="B1023" s="85">
        <v>220</v>
      </c>
      <c r="C1023" s="85">
        <f t="shared" si="16"/>
        <v>1020</v>
      </c>
      <c r="D1023" s="85" t="s">
        <v>2115</v>
      </c>
    </row>
    <row r="1024" spans="1:4">
      <c r="A1024" s="85">
        <v>81</v>
      </c>
      <c r="B1024" s="85">
        <v>220</v>
      </c>
      <c r="C1024" s="85">
        <f t="shared" si="16"/>
        <v>1021</v>
      </c>
      <c r="D1024" s="85" t="s">
        <v>2116</v>
      </c>
    </row>
    <row r="1025" spans="1:4">
      <c r="A1025" s="85">
        <v>81</v>
      </c>
      <c r="B1025" s="85">
        <v>220</v>
      </c>
      <c r="C1025" s="85">
        <f t="shared" si="16"/>
        <v>1022</v>
      </c>
      <c r="D1025" s="85" t="s">
        <v>2117</v>
      </c>
    </row>
    <row r="1026" spans="1:4">
      <c r="A1026" s="85">
        <v>82</v>
      </c>
      <c r="B1026" s="85">
        <v>221</v>
      </c>
      <c r="C1026" s="85">
        <f t="shared" si="16"/>
        <v>1023</v>
      </c>
      <c r="D1026" s="85" t="s">
        <v>2118</v>
      </c>
    </row>
    <row r="1027" spans="1:4">
      <c r="A1027" s="85">
        <v>82</v>
      </c>
      <c r="B1027" s="85">
        <v>221</v>
      </c>
      <c r="C1027" s="85">
        <f t="shared" si="16"/>
        <v>1024</v>
      </c>
      <c r="D1027" s="85" t="s">
        <v>2119</v>
      </c>
    </row>
    <row r="1028" spans="1:4">
      <c r="A1028" s="85">
        <v>82</v>
      </c>
      <c r="B1028" s="85">
        <v>221</v>
      </c>
      <c r="C1028" s="85">
        <f t="shared" si="16"/>
        <v>1025</v>
      </c>
      <c r="D1028" s="85" t="s">
        <v>2120</v>
      </c>
    </row>
    <row r="1029" spans="1:4">
      <c r="A1029" s="85">
        <v>82</v>
      </c>
      <c r="B1029" s="85">
        <v>221</v>
      </c>
      <c r="C1029" s="85">
        <f t="shared" si="16"/>
        <v>1026</v>
      </c>
      <c r="D1029" s="85" t="s">
        <v>2121</v>
      </c>
    </row>
    <row r="1030" spans="1:4">
      <c r="A1030" s="85">
        <v>82</v>
      </c>
      <c r="B1030" s="85">
        <v>221</v>
      </c>
      <c r="C1030" s="85">
        <f t="shared" si="16"/>
        <v>1027</v>
      </c>
      <c r="D1030" s="85" t="s">
        <v>2122</v>
      </c>
    </row>
    <row r="1031" spans="1:4">
      <c r="A1031" s="85">
        <v>82</v>
      </c>
      <c r="B1031" s="85">
        <v>221</v>
      </c>
      <c r="C1031" s="85">
        <f t="shared" si="16"/>
        <v>1028</v>
      </c>
      <c r="D1031" s="85" t="s">
        <v>2123</v>
      </c>
    </row>
    <row r="1032" spans="1:4">
      <c r="A1032" s="85">
        <v>82</v>
      </c>
      <c r="B1032" s="85">
        <v>221</v>
      </c>
      <c r="C1032" s="85">
        <f t="shared" si="16"/>
        <v>1029</v>
      </c>
      <c r="D1032" s="85" t="s">
        <v>2124</v>
      </c>
    </row>
    <row r="1033" spans="1:4">
      <c r="A1033" s="85">
        <v>82</v>
      </c>
      <c r="B1033" s="85">
        <v>222</v>
      </c>
      <c r="C1033" s="85">
        <f t="shared" si="16"/>
        <v>1030</v>
      </c>
      <c r="D1033" s="85" t="s">
        <v>2125</v>
      </c>
    </row>
    <row r="1034" spans="1:4">
      <c r="A1034" s="85">
        <v>82</v>
      </c>
      <c r="B1034" s="85">
        <v>222</v>
      </c>
      <c r="C1034" s="85">
        <f t="shared" si="16"/>
        <v>1031</v>
      </c>
      <c r="D1034" s="85" t="s">
        <v>2126</v>
      </c>
    </row>
    <row r="1035" spans="1:4">
      <c r="A1035" s="85">
        <v>82</v>
      </c>
      <c r="B1035" s="85">
        <v>222</v>
      </c>
      <c r="C1035" s="85">
        <f t="shared" si="16"/>
        <v>1032</v>
      </c>
      <c r="D1035" s="85" t="s">
        <v>2127</v>
      </c>
    </row>
    <row r="1036" spans="1:4">
      <c r="A1036" s="85">
        <v>82</v>
      </c>
      <c r="B1036" s="85">
        <v>222</v>
      </c>
      <c r="C1036" s="85">
        <f t="shared" si="16"/>
        <v>1033</v>
      </c>
      <c r="D1036" s="85" t="s">
        <v>2128</v>
      </c>
    </row>
    <row r="1037" spans="1:4">
      <c r="B1037" s="85">
        <v>223</v>
      </c>
      <c r="C1037" s="85">
        <f t="shared" si="16"/>
        <v>1034</v>
      </c>
      <c r="D1037" s="85" t="s">
        <v>2129</v>
      </c>
    </row>
    <row r="1038" spans="1:4">
      <c r="A1038" s="85">
        <v>82</v>
      </c>
      <c r="B1038" s="85">
        <v>223</v>
      </c>
      <c r="C1038" s="85">
        <f t="shared" si="16"/>
        <v>1035</v>
      </c>
      <c r="D1038" s="85" t="s">
        <v>2130</v>
      </c>
    </row>
    <row r="1039" spans="1:4">
      <c r="A1039" s="85">
        <v>82</v>
      </c>
      <c r="B1039" s="85">
        <v>223</v>
      </c>
      <c r="C1039" s="85">
        <f t="shared" si="16"/>
        <v>1036</v>
      </c>
      <c r="D1039" s="85" t="s">
        <v>2131</v>
      </c>
    </row>
    <row r="1040" spans="1:4">
      <c r="A1040" s="85">
        <v>82</v>
      </c>
      <c r="B1040" s="85">
        <v>223</v>
      </c>
      <c r="C1040" s="85">
        <f t="shared" si="16"/>
        <v>1037</v>
      </c>
      <c r="D1040" s="85" t="s">
        <v>2132</v>
      </c>
    </row>
    <row r="1041" spans="1:4">
      <c r="A1041" s="85">
        <v>83</v>
      </c>
      <c r="B1041" s="85">
        <v>224</v>
      </c>
      <c r="C1041" s="85">
        <f t="shared" si="16"/>
        <v>1038</v>
      </c>
      <c r="D1041" s="85" t="s">
        <v>2133</v>
      </c>
    </row>
    <row r="1042" spans="1:4">
      <c r="A1042" s="85">
        <v>83</v>
      </c>
      <c r="B1042" s="85">
        <v>225</v>
      </c>
      <c r="C1042" s="85">
        <f t="shared" si="16"/>
        <v>1039</v>
      </c>
      <c r="D1042" s="85" t="s">
        <v>2134</v>
      </c>
    </row>
    <row r="1043" spans="1:4">
      <c r="A1043" s="85">
        <v>83</v>
      </c>
      <c r="B1043" s="85">
        <v>225</v>
      </c>
      <c r="C1043" s="85">
        <f t="shared" si="16"/>
        <v>1040</v>
      </c>
      <c r="D1043" s="85" t="s">
        <v>2135</v>
      </c>
    </row>
    <row r="1044" spans="1:4">
      <c r="A1044" s="85">
        <v>83</v>
      </c>
      <c r="B1044" s="85">
        <v>225</v>
      </c>
      <c r="C1044" s="85">
        <f t="shared" si="16"/>
        <v>1041</v>
      </c>
      <c r="D1044" s="85" t="s">
        <v>2136</v>
      </c>
    </row>
    <row r="1045" spans="1:4">
      <c r="A1045" s="85">
        <v>83</v>
      </c>
      <c r="B1045" s="85">
        <v>225</v>
      </c>
      <c r="C1045" s="85">
        <f t="shared" si="16"/>
        <v>1042</v>
      </c>
      <c r="D1045" s="85" t="s">
        <v>2137</v>
      </c>
    </row>
    <row r="1046" spans="1:4">
      <c r="A1046" s="85">
        <v>83</v>
      </c>
      <c r="B1046" s="85">
        <v>225</v>
      </c>
      <c r="C1046" s="85">
        <f t="shared" si="16"/>
        <v>1043</v>
      </c>
      <c r="D1046" s="85" t="s">
        <v>2138</v>
      </c>
    </row>
    <row r="1047" spans="1:4">
      <c r="A1047" s="85">
        <v>83</v>
      </c>
      <c r="B1047" s="85">
        <v>226</v>
      </c>
      <c r="C1047" s="85">
        <f t="shared" si="16"/>
        <v>1044</v>
      </c>
      <c r="D1047" s="85" t="s">
        <v>2139</v>
      </c>
    </row>
    <row r="1048" spans="1:4">
      <c r="A1048" s="85">
        <v>83</v>
      </c>
      <c r="B1048" s="85">
        <v>226</v>
      </c>
      <c r="C1048" s="85">
        <f t="shared" si="16"/>
        <v>1045</v>
      </c>
      <c r="D1048" s="85" t="s">
        <v>2140</v>
      </c>
    </row>
    <row r="1049" spans="1:4">
      <c r="A1049" s="85">
        <v>83</v>
      </c>
      <c r="B1049" s="85">
        <v>226</v>
      </c>
      <c r="C1049" s="85">
        <f t="shared" si="16"/>
        <v>1046</v>
      </c>
      <c r="D1049" s="85" t="s">
        <v>2141</v>
      </c>
    </row>
    <row r="1050" spans="1:4">
      <c r="A1050" s="85">
        <v>83</v>
      </c>
      <c r="B1050" s="85">
        <v>226</v>
      </c>
      <c r="C1050" s="85">
        <f t="shared" si="16"/>
        <v>1047</v>
      </c>
      <c r="D1050" s="85" t="s">
        <v>2142</v>
      </c>
    </row>
    <row r="1051" spans="1:4">
      <c r="A1051" s="85">
        <v>83</v>
      </c>
      <c r="B1051" s="85">
        <v>226</v>
      </c>
      <c r="C1051" s="85">
        <f t="shared" si="16"/>
        <v>1048</v>
      </c>
      <c r="D1051" s="85" t="s">
        <v>2143</v>
      </c>
    </row>
    <row r="1052" spans="1:4">
      <c r="A1052" s="85">
        <v>84</v>
      </c>
      <c r="B1052" s="85">
        <v>227</v>
      </c>
      <c r="C1052" s="85">
        <f t="shared" si="16"/>
        <v>1049</v>
      </c>
      <c r="D1052" s="85" t="s">
        <v>2144</v>
      </c>
    </row>
    <row r="1053" spans="1:4">
      <c r="A1053" s="85">
        <v>84</v>
      </c>
      <c r="B1053" s="85">
        <v>227</v>
      </c>
      <c r="C1053" s="85">
        <f t="shared" si="16"/>
        <v>1050</v>
      </c>
      <c r="D1053" s="85" t="s">
        <v>2145</v>
      </c>
    </row>
    <row r="1054" spans="1:4">
      <c r="A1054" s="85">
        <v>84</v>
      </c>
      <c r="B1054" s="85">
        <v>227</v>
      </c>
      <c r="C1054" s="85">
        <f t="shared" ref="C1054:C1117" si="17">C1053+1</f>
        <v>1051</v>
      </c>
      <c r="D1054" s="85" t="s">
        <v>2146</v>
      </c>
    </row>
    <row r="1055" spans="1:4">
      <c r="A1055" s="85">
        <v>84</v>
      </c>
      <c r="B1055" s="85">
        <v>227</v>
      </c>
      <c r="C1055" s="85">
        <f t="shared" si="17"/>
        <v>1052</v>
      </c>
      <c r="D1055" s="85" t="s">
        <v>2147</v>
      </c>
    </row>
    <row r="1056" spans="1:4">
      <c r="A1056" s="85">
        <v>84</v>
      </c>
      <c r="B1056" s="85">
        <v>227</v>
      </c>
      <c r="C1056" s="85">
        <f t="shared" si="17"/>
        <v>1053</v>
      </c>
      <c r="D1056" s="85" t="s">
        <v>2148</v>
      </c>
    </row>
    <row r="1057" spans="1:4">
      <c r="A1057" s="85">
        <v>84</v>
      </c>
      <c r="B1057" s="85">
        <v>227</v>
      </c>
      <c r="C1057" s="85">
        <f t="shared" si="17"/>
        <v>1054</v>
      </c>
      <c r="D1057" s="85" t="s">
        <v>2149</v>
      </c>
    </row>
    <row r="1058" spans="1:4">
      <c r="A1058" s="85">
        <v>84</v>
      </c>
      <c r="B1058" s="85">
        <v>227</v>
      </c>
      <c r="C1058" s="85">
        <f t="shared" si="17"/>
        <v>1055</v>
      </c>
      <c r="D1058" s="85" t="s">
        <v>2150</v>
      </c>
    </row>
    <row r="1059" spans="1:4">
      <c r="A1059" s="85">
        <v>84</v>
      </c>
      <c r="B1059" s="85">
        <v>227</v>
      </c>
      <c r="C1059" s="85">
        <f t="shared" si="17"/>
        <v>1056</v>
      </c>
      <c r="D1059" s="85" t="s">
        <v>2151</v>
      </c>
    </row>
    <row r="1060" spans="1:4">
      <c r="A1060" s="85">
        <v>84</v>
      </c>
      <c r="B1060" s="85">
        <v>227</v>
      </c>
      <c r="C1060" s="85">
        <f t="shared" si="17"/>
        <v>1057</v>
      </c>
      <c r="D1060" s="85" t="s">
        <v>2152</v>
      </c>
    </row>
    <row r="1061" spans="1:4">
      <c r="A1061" s="85">
        <v>84</v>
      </c>
      <c r="B1061" s="85">
        <v>227</v>
      </c>
      <c r="C1061" s="85">
        <f t="shared" si="17"/>
        <v>1058</v>
      </c>
      <c r="D1061" s="85" t="s">
        <v>2153</v>
      </c>
    </row>
    <row r="1062" spans="1:4">
      <c r="A1062" s="85">
        <v>84</v>
      </c>
      <c r="B1062" s="85">
        <v>227</v>
      </c>
      <c r="C1062" s="85">
        <f t="shared" si="17"/>
        <v>1059</v>
      </c>
      <c r="D1062" s="85" t="s">
        <v>2154</v>
      </c>
    </row>
    <row r="1063" spans="1:4">
      <c r="A1063" s="85">
        <v>84</v>
      </c>
      <c r="B1063" s="85">
        <v>227</v>
      </c>
      <c r="C1063" s="85">
        <f t="shared" si="17"/>
        <v>1060</v>
      </c>
      <c r="D1063" s="85" t="s">
        <v>2155</v>
      </c>
    </row>
    <row r="1064" spans="1:4">
      <c r="A1064" s="85">
        <v>84</v>
      </c>
      <c r="B1064" s="85">
        <v>227</v>
      </c>
      <c r="C1064" s="85">
        <f t="shared" si="17"/>
        <v>1061</v>
      </c>
      <c r="D1064" s="85" t="s">
        <v>2156</v>
      </c>
    </row>
    <row r="1065" spans="1:4">
      <c r="A1065" s="85">
        <v>84</v>
      </c>
      <c r="B1065" s="85">
        <v>227</v>
      </c>
      <c r="C1065" s="85">
        <f t="shared" si="17"/>
        <v>1062</v>
      </c>
      <c r="D1065" s="85" t="s">
        <v>2157</v>
      </c>
    </row>
    <row r="1066" spans="1:4">
      <c r="A1066" s="85">
        <v>84</v>
      </c>
      <c r="B1066" s="85">
        <v>227</v>
      </c>
      <c r="C1066" s="85">
        <f t="shared" si="17"/>
        <v>1063</v>
      </c>
      <c r="D1066" s="85" t="s">
        <v>2158</v>
      </c>
    </row>
    <row r="1067" spans="1:4">
      <c r="A1067" s="85">
        <v>84</v>
      </c>
      <c r="B1067" s="85">
        <v>228</v>
      </c>
      <c r="C1067" s="85">
        <f t="shared" si="17"/>
        <v>1064</v>
      </c>
      <c r="D1067" s="85" t="s">
        <v>2159</v>
      </c>
    </row>
    <row r="1068" spans="1:4">
      <c r="A1068" s="85">
        <v>84</v>
      </c>
      <c r="B1068" s="85">
        <v>228</v>
      </c>
      <c r="C1068" s="85">
        <f t="shared" si="17"/>
        <v>1065</v>
      </c>
      <c r="D1068" s="85" t="s">
        <v>2160</v>
      </c>
    </row>
    <row r="1069" spans="1:4">
      <c r="A1069" s="85">
        <v>84</v>
      </c>
      <c r="B1069" s="85">
        <v>228</v>
      </c>
      <c r="C1069" s="85">
        <f t="shared" si="17"/>
        <v>1066</v>
      </c>
      <c r="D1069" s="85" t="s">
        <v>2161</v>
      </c>
    </row>
    <row r="1070" spans="1:4">
      <c r="A1070" s="85">
        <v>84</v>
      </c>
      <c r="B1070" s="85">
        <v>228</v>
      </c>
      <c r="C1070" s="85">
        <f t="shared" si="17"/>
        <v>1067</v>
      </c>
      <c r="D1070" s="85" t="s">
        <v>2162</v>
      </c>
    </row>
    <row r="1071" spans="1:4">
      <c r="A1071" s="85">
        <v>85</v>
      </c>
      <c r="B1071" s="85">
        <v>229</v>
      </c>
      <c r="C1071" s="85">
        <f t="shared" si="17"/>
        <v>1068</v>
      </c>
      <c r="D1071" s="85" t="s">
        <v>2163</v>
      </c>
    </row>
    <row r="1072" spans="1:4">
      <c r="A1072" s="85">
        <v>85</v>
      </c>
      <c r="B1072" s="85">
        <v>229</v>
      </c>
      <c r="C1072" s="85">
        <f t="shared" si="17"/>
        <v>1069</v>
      </c>
      <c r="D1072" s="85" t="s">
        <v>2164</v>
      </c>
    </row>
    <row r="1073" spans="1:4">
      <c r="A1073" s="85">
        <v>85</v>
      </c>
      <c r="B1073" s="85">
        <v>229</v>
      </c>
      <c r="C1073" s="85">
        <f t="shared" si="17"/>
        <v>1070</v>
      </c>
      <c r="D1073" s="85" t="s">
        <v>2165</v>
      </c>
    </row>
    <row r="1074" spans="1:4">
      <c r="A1074" s="85">
        <v>85</v>
      </c>
      <c r="B1074" s="85">
        <v>229</v>
      </c>
      <c r="C1074" s="85">
        <f t="shared" si="17"/>
        <v>1071</v>
      </c>
      <c r="D1074" s="85" t="s">
        <v>2166</v>
      </c>
    </row>
    <row r="1075" spans="1:4">
      <c r="A1075" s="85">
        <v>85</v>
      </c>
      <c r="B1075" s="85">
        <v>229</v>
      </c>
      <c r="C1075" s="85">
        <f t="shared" si="17"/>
        <v>1072</v>
      </c>
      <c r="D1075" s="85" t="s">
        <v>2167</v>
      </c>
    </row>
    <row r="1076" spans="1:4">
      <c r="A1076" s="85">
        <v>85</v>
      </c>
      <c r="B1076" s="85">
        <v>229</v>
      </c>
      <c r="C1076" s="85">
        <f t="shared" si="17"/>
        <v>1073</v>
      </c>
      <c r="D1076" s="85" t="s">
        <v>2168</v>
      </c>
    </row>
    <row r="1077" spans="1:4">
      <c r="A1077" s="85">
        <v>85</v>
      </c>
      <c r="B1077" s="85">
        <v>230</v>
      </c>
      <c r="C1077" s="85">
        <f t="shared" si="17"/>
        <v>1074</v>
      </c>
      <c r="D1077" s="85" t="s">
        <v>2169</v>
      </c>
    </row>
    <row r="1078" spans="1:4">
      <c r="A1078" s="85">
        <v>85</v>
      </c>
      <c r="B1078" s="85">
        <v>230</v>
      </c>
      <c r="C1078" s="85">
        <f t="shared" si="17"/>
        <v>1075</v>
      </c>
      <c r="D1078" s="85" t="s">
        <v>2170</v>
      </c>
    </row>
    <row r="1079" spans="1:4">
      <c r="A1079" s="85">
        <v>85</v>
      </c>
      <c r="B1079" s="85">
        <v>230</v>
      </c>
      <c r="C1079" s="85">
        <f t="shared" si="17"/>
        <v>1076</v>
      </c>
      <c r="D1079" s="85" t="s">
        <v>2171</v>
      </c>
    </row>
    <row r="1080" spans="1:4">
      <c r="A1080" s="85">
        <v>85</v>
      </c>
      <c r="B1080" s="85">
        <v>230</v>
      </c>
      <c r="C1080" s="85">
        <f t="shared" si="17"/>
        <v>1077</v>
      </c>
      <c r="D1080" s="85" t="s">
        <v>2172</v>
      </c>
    </row>
    <row r="1081" spans="1:4">
      <c r="A1081" s="85">
        <v>85</v>
      </c>
      <c r="B1081" s="85">
        <v>230</v>
      </c>
      <c r="C1081" s="85">
        <f t="shared" si="17"/>
        <v>1078</v>
      </c>
      <c r="D1081" s="85" t="s">
        <v>2173</v>
      </c>
    </row>
    <row r="1082" spans="1:4">
      <c r="A1082" s="85">
        <v>85</v>
      </c>
      <c r="B1082" s="85">
        <v>230</v>
      </c>
      <c r="C1082" s="85">
        <f t="shared" si="17"/>
        <v>1079</v>
      </c>
      <c r="D1082" s="85" t="s">
        <v>2174</v>
      </c>
    </row>
    <row r="1083" spans="1:4">
      <c r="A1083" s="85">
        <v>85</v>
      </c>
      <c r="B1083" s="85">
        <v>230</v>
      </c>
      <c r="C1083" s="85">
        <f t="shared" si="17"/>
        <v>1080</v>
      </c>
      <c r="D1083" s="85" t="s">
        <v>2175</v>
      </c>
    </row>
    <row r="1084" spans="1:4">
      <c r="A1084" s="85">
        <v>85</v>
      </c>
      <c r="B1084" s="85">
        <v>231</v>
      </c>
      <c r="C1084" s="85">
        <f t="shared" si="17"/>
        <v>1081</v>
      </c>
      <c r="D1084" s="85" t="s">
        <v>2176</v>
      </c>
    </row>
    <row r="1085" spans="1:4">
      <c r="A1085" s="85">
        <v>85</v>
      </c>
      <c r="B1085" s="85">
        <v>231</v>
      </c>
      <c r="C1085" s="85">
        <f t="shared" si="17"/>
        <v>1082</v>
      </c>
      <c r="D1085" s="85" t="s">
        <v>2177</v>
      </c>
    </row>
    <row r="1086" spans="1:4">
      <c r="A1086" s="85">
        <v>85</v>
      </c>
      <c r="B1086" s="85">
        <v>231</v>
      </c>
      <c r="C1086" s="85">
        <f t="shared" si="17"/>
        <v>1083</v>
      </c>
      <c r="D1086" s="85" t="s">
        <v>2178</v>
      </c>
    </row>
    <row r="1087" spans="1:4">
      <c r="A1087" s="85">
        <v>85</v>
      </c>
      <c r="B1087" s="85">
        <v>231</v>
      </c>
      <c r="C1087" s="85">
        <f t="shared" si="17"/>
        <v>1084</v>
      </c>
      <c r="D1087" s="85" t="s">
        <v>2179</v>
      </c>
    </row>
    <row r="1088" spans="1:4">
      <c r="A1088" s="85">
        <v>86</v>
      </c>
      <c r="B1088" s="85">
        <v>232</v>
      </c>
      <c r="C1088" s="85">
        <f t="shared" si="17"/>
        <v>1085</v>
      </c>
      <c r="D1088" s="85" t="s">
        <v>2180</v>
      </c>
    </row>
    <row r="1089" spans="1:4">
      <c r="A1089" s="85">
        <v>86</v>
      </c>
      <c r="B1089" s="85">
        <v>232</v>
      </c>
      <c r="C1089" s="85">
        <f t="shared" si="17"/>
        <v>1086</v>
      </c>
      <c r="D1089" s="85" t="s">
        <v>2181</v>
      </c>
    </row>
    <row r="1090" spans="1:4">
      <c r="A1090" s="85">
        <v>86</v>
      </c>
      <c r="B1090" s="85">
        <v>232</v>
      </c>
      <c r="C1090" s="85">
        <f t="shared" si="17"/>
        <v>1087</v>
      </c>
      <c r="D1090" s="85" t="s">
        <v>2182</v>
      </c>
    </row>
    <row r="1091" spans="1:4">
      <c r="A1091" s="85">
        <v>86</v>
      </c>
      <c r="B1091" s="85">
        <v>232</v>
      </c>
      <c r="C1091" s="85">
        <f t="shared" si="17"/>
        <v>1088</v>
      </c>
      <c r="D1091" s="85" t="s">
        <v>2183</v>
      </c>
    </row>
    <row r="1092" spans="1:4">
      <c r="A1092" s="85">
        <v>86</v>
      </c>
      <c r="B1092" s="85">
        <v>232</v>
      </c>
      <c r="C1092" s="85">
        <f t="shared" si="17"/>
        <v>1089</v>
      </c>
      <c r="D1092" s="85" t="s">
        <v>2184</v>
      </c>
    </row>
    <row r="1093" spans="1:4">
      <c r="A1093" s="85">
        <v>86</v>
      </c>
      <c r="B1093" s="85">
        <v>233</v>
      </c>
      <c r="C1093" s="85">
        <f t="shared" si="17"/>
        <v>1090</v>
      </c>
      <c r="D1093" s="85" t="s">
        <v>2185</v>
      </c>
    </row>
    <row r="1094" spans="1:4">
      <c r="A1094" s="85">
        <v>86</v>
      </c>
      <c r="B1094" s="85">
        <v>233</v>
      </c>
      <c r="C1094" s="85">
        <f t="shared" si="17"/>
        <v>1091</v>
      </c>
      <c r="D1094" s="85" t="s">
        <v>2186</v>
      </c>
    </row>
    <row r="1095" spans="1:4">
      <c r="A1095" s="85">
        <v>86</v>
      </c>
      <c r="B1095" s="85">
        <v>233</v>
      </c>
      <c r="C1095" s="85">
        <f t="shared" si="17"/>
        <v>1092</v>
      </c>
      <c r="D1095" s="85" t="s">
        <v>2187</v>
      </c>
    </row>
    <row r="1096" spans="1:4">
      <c r="A1096" s="85">
        <v>86</v>
      </c>
      <c r="B1096" s="85">
        <v>233</v>
      </c>
      <c r="C1096" s="85">
        <f t="shared" si="17"/>
        <v>1093</v>
      </c>
      <c r="D1096" s="85" t="s">
        <v>2188</v>
      </c>
    </row>
    <row r="1097" spans="1:4">
      <c r="A1097" s="85">
        <v>86</v>
      </c>
      <c r="B1097" s="85">
        <v>233</v>
      </c>
      <c r="C1097" s="85">
        <f t="shared" si="17"/>
        <v>1094</v>
      </c>
      <c r="D1097" s="85" t="s">
        <v>2189</v>
      </c>
    </row>
    <row r="1098" spans="1:4">
      <c r="A1098" s="85">
        <v>86</v>
      </c>
      <c r="B1098" s="85">
        <v>233</v>
      </c>
      <c r="C1098" s="85">
        <f t="shared" si="17"/>
        <v>1095</v>
      </c>
      <c r="D1098" s="85" t="s">
        <v>2190</v>
      </c>
    </row>
    <row r="1099" spans="1:4">
      <c r="A1099" s="85">
        <v>86</v>
      </c>
      <c r="B1099" s="85">
        <v>233</v>
      </c>
      <c r="C1099" s="85">
        <f t="shared" si="17"/>
        <v>1096</v>
      </c>
      <c r="D1099" s="85" t="s">
        <v>2191</v>
      </c>
    </row>
    <row r="1100" spans="1:4">
      <c r="A1100" s="85">
        <v>86</v>
      </c>
      <c r="B1100" s="85">
        <v>233</v>
      </c>
      <c r="C1100" s="85">
        <f t="shared" si="17"/>
        <v>1097</v>
      </c>
      <c r="D1100" s="85" t="s">
        <v>2192</v>
      </c>
    </row>
    <row r="1101" spans="1:4">
      <c r="A1101" s="85">
        <v>86</v>
      </c>
      <c r="B1101" s="85">
        <v>233</v>
      </c>
      <c r="C1101" s="85">
        <f t="shared" si="17"/>
        <v>1098</v>
      </c>
      <c r="D1101" s="85" t="s">
        <v>2193</v>
      </c>
    </row>
    <row r="1102" spans="1:4">
      <c r="A1102" s="85">
        <v>86</v>
      </c>
      <c r="B1102" s="85">
        <v>233</v>
      </c>
      <c r="C1102" s="85">
        <f t="shared" si="17"/>
        <v>1099</v>
      </c>
      <c r="D1102" s="85" t="s">
        <v>2194</v>
      </c>
    </row>
    <row r="1103" spans="1:4">
      <c r="A1103" s="85">
        <v>86</v>
      </c>
      <c r="B1103" s="85">
        <v>233</v>
      </c>
      <c r="C1103" s="85">
        <f t="shared" si="17"/>
        <v>1100</v>
      </c>
      <c r="D1103" s="85" t="s">
        <v>2195</v>
      </c>
    </row>
    <row r="1104" spans="1:4">
      <c r="A1104" s="85">
        <v>86</v>
      </c>
      <c r="B1104" s="85">
        <v>233</v>
      </c>
      <c r="C1104" s="85">
        <f t="shared" si="17"/>
        <v>1101</v>
      </c>
      <c r="D1104" s="85" t="s">
        <v>2196</v>
      </c>
    </row>
    <row r="1105" spans="1:4">
      <c r="A1105" s="85">
        <v>87</v>
      </c>
      <c r="B1105" s="85">
        <v>234</v>
      </c>
      <c r="C1105" s="85">
        <f t="shared" si="17"/>
        <v>1102</v>
      </c>
      <c r="D1105" s="85" t="s">
        <v>2197</v>
      </c>
    </row>
    <row r="1106" spans="1:4">
      <c r="A1106" s="85">
        <v>87</v>
      </c>
      <c r="B1106" s="85">
        <v>234</v>
      </c>
      <c r="C1106" s="85">
        <f t="shared" si="17"/>
        <v>1103</v>
      </c>
      <c r="D1106" s="85" t="s">
        <v>2198</v>
      </c>
    </row>
    <row r="1107" spans="1:4">
      <c r="A1107" s="85">
        <v>87</v>
      </c>
      <c r="B1107" s="85">
        <v>235</v>
      </c>
      <c r="C1107" s="85">
        <f t="shared" si="17"/>
        <v>1104</v>
      </c>
      <c r="D1107" s="85" t="s">
        <v>2199</v>
      </c>
    </row>
    <row r="1108" spans="1:4">
      <c r="A1108" s="85">
        <v>87</v>
      </c>
      <c r="B1108" s="85">
        <v>235</v>
      </c>
      <c r="C1108" s="85">
        <f t="shared" si="17"/>
        <v>1105</v>
      </c>
      <c r="D1108" s="85" t="s">
        <v>2200</v>
      </c>
    </row>
    <row r="1109" spans="1:4">
      <c r="A1109" s="85">
        <v>87</v>
      </c>
      <c r="B1109" s="85">
        <v>235</v>
      </c>
      <c r="C1109" s="85">
        <f t="shared" si="17"/>
        <v>1106</v>
      </c>
      <c r="D1109" s="85" t="s">
        <v>2201</v>
      </c>
    </row>
    <row r="1110" spans="1:4">
      <c r="A1110" s="85">
        <v>87</v>
      </c>
      <c r="B1110" s="85">
        <v>235</v>
      </c>
      <c r="C1110" s="85">
        <f t="shared" si="17"/>
        <v>1107</v>
      </c>
      <c r="D1110" s="85" t="s">
        <v>2202</v>
      </c>
    </row>
    <row r="1111" spans="1:4">
      <c r="A1111" s="85">
        <v>87</v>
      </c>
      <c r="B1111" s="85">
        <v>236</v>
      </c>
      <c r="C1111" s="85">
        <f t="shared" si="17"/>
        <v>1108</v>
      </c>
      <c r="D1111" s="85" t="s">
        <v>2203</v>
      </c>
    </row>
    <row r="1112" spans="1:4">
      <c r="A1112" s="85">
        <v>87</v>
      </c>
      <c r="B1112" s="85">
        <v>236</v>
      </c>
      <c r="C1112" s="85">
        <f t="shared" si="17"/>
        <v>1109</v>
      </c>
      <c r="D1112" s="85" t="s">
        <v>2204</v>
      </c>
    </row>
    <row r="1113" spans="1:4">
      <c r="A1113" s="85">
        <v>87</v>
      </c>
      <c r="B1113" s="85">
        <v>236</v>
      </c>
      <c r="C1113" s="85">
        <f t="shared" si="17"/>
        <v>1110</v>
      </c>
      <c r="D1113" s="85" t="s">
        <v>2205</v>
      </c>
    </row>
    <row r="1114" spans="1:4">
      <c r="A1114" s="85">
        <v>87</v>
      </c>
      <c r="B1114" s="85">
        <v>237</v>
      </c>
      <c r="C1114" s="85">
        <f t="shared" si="17"/>
        <v>1111</v>
      </c>
      <c r="D1114" s="85" t="s">
        <v>2206</v>
      </c>
    </row>
    <row r="1115" spans="1:4">
      <c r="A1115" s="85">
        <v>87</v>
      </c>
      <c r="B1115" s="85">
        <v>237</v>
      </c>
      <c r="C1115" s="85">
        <f t="shared" si="17"/>
        <v>1112</v>
      </c>
      <c r="D1115" s="85" t="s">
        <v>2207</v>
      </c>
    </row>
    <row r="1116" spans="1:4">
      <c r="A1116" s="85">
        <v>87</v>
      </c>
      <c r="B1116" s="85">
        <v>237</v>
      </c>
      <c r="C1116" s="85">
        <f t="shared" si="17"/>
        <v>1113</v>
      </c>
      <c r="D1116" s="85" t="s">
        <v>2208</v>
      </c>
    </row>
    <row r="1117" spans="1:4">
      <c r="A1117" s="85">
        <v>87</v>
      </c>
      <c r="B1117" s="85">
        <v>237</v>
      </c>
      <c r="C1117" s="85">
        <f t="shared" si="17"/>
        <v>1114</v>
      </c>
      <c r="D1117" s="85" t="s">
        <v>2209</v>
      </c>
    </row>
    <row r="1118" spans="1:4">
      <c r="A1118" s="85">
        <v>87</v>
      </c>
      <c r="B1118" s="85">
        <v>237</v>
      </c>
      <c r="C1118" s="85">
        <f t="shared" ref="C1118:C1181" si="18">C1117+1</f>
        <v>1115</v>
      </c>
      <c r="D1118" s="85" t="s">
        <v>2210</v>
      </c>
    </row>
    <row r="1119" spans="1:4">
      <c r="A1119" s="85">
        <v>88</v>
      </c>
      <c r="B1119" s="85">
        <v>238</v>
      </c>
      <c r="C1119" s="85">
        <f t="shared" si="18"/>
        <v>1116</v>
      </c>
      <c r="D1119" s="85" t="s">
        <v>2211</v>
      </c>
    </row>
    <row r="1120" spans="1:4">
      <c r="A1120" s="85">
        <v>88</v>
      </c>
      <c r="B1120" s="85">
        <v>238</v>
      </c>
      <c r="C1120" s="85">
        <f t="shared" si="18"/>
        <v>1117</v>
      </c>
      <c r="D1120" s="85" t="s">
        <v>2212</v>
      </c>
    </row>
    <row r="1121" spans="1:4">
      <c r="A1121" s="85">
        <v>88</v>
      </c>
      <c r="B1121" s="85">
        <v>238</v>
      </c>
      <c r="C1121" s="85">
        <f t="shared" si="18"/>
        <v>1118</v>
      </c>
      <c r="D1121" s="85" t="s">
        <v>2213</v>
      </c>
    </row>
    <row r="1122" spans="1:4">
      <c r="A1122" s="85">
        <v>88</v>
      </c>
      <c r="B1122" s="85">
        <v>238</v>
      </c>
      <c r="C1122" s="85">
        <f t="shared" si="18"/>
        <v>1119</v>
      </c>
      <c r="D1122" s="85" t="s">
        <v>2214</v>
      </c>
    </row>
    <row r="1123" spans="1:4">
      <c r="A1123" s="85">
        <v>88</v>
      </c>
      <c r="B1123" s="85">
        <v>238</v>
      </c>
      <c r="C1123" s="85">
        <f t="shared" si="18"/>
        <v>1120</v>
      </c>
      <c r="D1123" s="85" t="s">
        <v>2215</v>
      </c>
    </row>
    <row r="1124" spans="1:4">
      <c r="A1124" s="85">
        <v>88</v>
      </c>
      <c r="B1124" s="85">
        <v>239</v>
      </c>
      <c r="C1124" s="85">
        <f t="shared" si="18"/>
        <v>1121</v>
      </c>
      <c r="D1124" s="85" t="s">
        <v>2216</v>
      </c>
    </row>
    <row r="1125" spans="1:4">
      <c r="A1125" s="85">
        <v>88</v>
      </c>
      <c r="B1125" s="85">
        <v>239</v>
      </c>
      <c r="C1125" s="85">
        <f t="shared" si="18"/>
        <v>1122</v>
      </c>
      <c r="D1125" s="85" t="s">
        <v>2217</v>
      </c>
    </row>
    <row r="1126" spans="1:4">
      <c r="A1126" s="85">
        <v>88</v>
      </c>
      <c r="B1126" s="85">
        <v>239</v>
      </c>
      <c r="C1126" s="85">
        <f t="shared" si="18"/>
        <v>1123</v>
      </c>
      <c r="D1126" s="85" t="s">
        <v>2218</v>
      </c>
    </row>
    <row r="1127" spans="1:4">
      <c r="A1127" s="85">
        <v>88</v>
      </c>
      <c r="B1127" s="85">
        <v>239</v>
      </c>
      <c r="C1127" s="85">
        <f t="shared" si="18"/>
        <v>1124</v>
      </c>
      <c r="D1127" s="85" t="s">
        <v>2219</v>
      </c>
    </row>
    <row r="1128" spans="1:4">
      <c r="A1128" s="85">
        <v>88</v>
      </c>
      <c r="B1128" s="85">
        <v>239</v>
      </c>
      <c r="C1128" s="85">
        <f t="shared" si="18"/>
        <v>1125</v>
      </c>
      <c r="D1128" s="85" t="s">
        <v>2220</v>
      </c>
    </row>
    <row r="1129" spans="1:4">
      <c r="A1129" s="85">
        <v>89</v>
      </c>
      <c r="B1129" s="85">
        <v>240</v>
      </c>
      <c r="C1129" s="85">
        <f t="shared" si="18"/>
        <v>1126</v>
      </c>
      <c r="D1129" s="85" t="s">
        <v>2221</v>
      </c>
    </row>
    <row r="1130" spans="1:4">
      <c r="A1130" s="85">
        <v>89</v>
      </c>
      <c r="B1130" s="85">
        <v>240</v>
      </c>
      <c r="C1130" s="85">
        <f t="shared" si="18"/>
        <v>1127</v>
      </c>
      <c r="D1130" s="85" t="s">
        <v>2222</v>
      </c>
    </row>
    <row r="1131" spans="1:4">
      <c r="A1131" s="85">
        <v>89</v>
      </c>
      <c r="B1131" s="85">
        <v>240</v>
      </c>
      <c r="C1131" s="85">
        <f t="shared" si="18"/>
        <v>1128</v>
      </c>
      <c r="D1131" s="85" t="s">
        <v>2223</v>
      </c>
    </row>
    <row r="1132" spans="1:4">
      <c r="A1132" s="85">
        <v>89</v>
      </c>
      <c r="B1132" s="85">
        <v>240</v>
      </c>
      <c r="C1132" s="85">
        <f t="shared" si="18"/>
        <v>1129</v>
      </c>
      <c r="D1132" s="85" t="s">
        <v>2224</v>
      </c>
    </row>
    <row r="1133" spans="1:4">
      <c r="A1133" s="85">
        <v>89</v>
      </c>
      <c r="B1133" s="85">
        <v>241</v>
      </c>
      <c r="C1133" s="85">
        <f t="shared" si="18"/>
        <v>1130</v>
      </c>
      <c r="D1133" s="85" t="s">
        <v>2225</v>
      </c>
    </row>
    <row r="1134" spans="1:4">
      <c r="A1134" s="85">
        <v>89</v>
      </c>
      <c r="B1134" s="85">
        <v>241</v>
      </c>
      <c r="C1134" s="85">
        <f t="shared" si="18"/>
        <v>1131</v>
      </c>
      <c r="D1134" s="85" t="s">
        <v>2226</v>
      </c>
    </row>
    <row r="1135" spans="1:4">
      <c r="A1135" s="85">
        <v>89</v>
      </c>
      <c r="B1135" s="85">
        <v>241</v>
      </c>
      <c r="C1135" s="85">
        <f t="shared" si="18"/>
        <v>1132</v>
      </c>
      <c r="D1135" s="85" t="s">
        <v>2227</v>
      </c>
    </row>
    <row r="1136" spans="1:4">
      <c r="A1136" s="85">
        <v>89</v>
      </c>
      <c r="B1136" s="85">
        <v>241</v>
      </c>
      <c r="C1136" s="85">
        <f t="shared" si="18"/>
        <v>1133</v>
      </c>
      <c r="D1136" s="85" t="s">
        <v>2228</v>
      </c>
    </row>
    <row r="1137" spans="1:4">
      <c r="A1137" s="85">
        <v>89</v>
      </c>
      <c r="B1137" s="85">
        <v>242</v>
      </c>
      <c r="C1137" s="85">
        <f t="shared" si="18"/>
        <v>1134</v>
      </c>
      <c r="D1137" s="85" t="s">
        <v>2229</v>
      </c>
    </row>
    <row r="1138" spans="1:4">
      <c r="A1138" s="85">
        <v>89</v>
      </c>
      <c r="B1138" s="85">
        <v>242</v>
      </c>
      <c r="C1138" s="85">
        <f t="shared" si="18"/>
        <v>1135</v>
      </c>
      <c r="D1138" s="85" t="s">
        <v>2230</v>
      </c>
    </row>
    <row r="1139" spans="1:4">
      <c r="A1139" s="85">
        <v>89</v>
      </c>
      <c r="B1139" s="85">
        <v>242</v>
      </c>
      <c r="C1139" s="85">
        <f t="shared" si="18"/>
        <v>1136</v>
      </c>
      <c r="D1139" s="85" t="s">
        <v>2231</v>
      </c>
    </row>
    <row r="1140" spans="1:4">
      <c r="A1140" s="85">
        <v>89</v>
      </c>
      <c r="B1140" s="85">
        <v>242</v>
      </c>
      <c r="C1140" s="85">
        <f t="shared" si="18"/>
        <v>1137</v>
      </c>
      <c r="D1140" s="85" t="s">
        <v>2232</v>
      </c>
    </row>
    <row r="1141" spans="1:4">
      <c r="A1141" s="85">
        <v>89</v>
      </c>
      <c r="B1141" s="85">
        <v>242</v>
      </c>
      <c r="C1141" s="85">
        <f t="shared" si="18"/>
        <v>1138</v>
      </c>
      <c r="D1141" s="85" t="s">
        <v>2233</v>
      </c>
    </row>
    <row r="1142" spans="1:4">
      <c r="A1142" s="85">
        <v>89</v>
      </c>
      <c r="B1142" s="85">
        <v>242</v>
      </c>
      <c r="C1142" s="85">
        <f t="shared" si="18"/>
        <v>1139</v>
      </c>
      <c r="D1142" s="85" t="s">
        <v>2234</v>
      </c>
    </row>
    <row r="1143" spans="1:4">
      <c r="A1143" s="85">
        <v>89</v>
      </c>
      <c r="B1143" s="85">
        <v>242</v>
      </c>
      <c r="C1143" s="85">
        <f t="shared" si="18"/>
        <v>1140</v>
      </c>
      <c r="D1143" s="85" t="s">
        <v>2235</v>
      </c>
    </row>
    <row r="1144" spans="1:4">
      <c r="A1144" s="85">
        <v>90</v>
      </c>
      <c r="B1144" s="85">
        <v>243</v>
      </c>
      <c r="C1144" s="85">
        <f t="shared" si="18"/>
        <v>1141</v>
      </c>
      <c r="D1144" s="85" t="s">
        <v>2236</v>
      </c>
    </row>
    <row r="1145" spans="1:4">
      <c r="A1145" s="85">
        <v>90</v>
      </c>
      <c r="B1145" s="85">
        <v>243</v>
      </c>
      <c r="C1145" s="85">
        <f t="shared" si="18"/>
        <v>1142</v>
      </c>
      <c r="D1145" s="85" t="s">
        <v>2237</v>
      </c>
    </row>
    <row r="1146" spans="1:4">
      <c r="A1146" s="85">
        <v>90</v>
      </c>
      <c r="B1146" s="85">
        <v>243</v>
      </c>
      <c r="C1146" s="85">
        <f t="shared" si="18"/>
        <v>1143</v>
      </c>
      <c r="D1146" s="85" t="s">
        <v>2238</v>
      </c>
    </row>
    <row r="1147" spans="1:4">
      <c r="A1147" s="85">
        <v>90</v>
      </c>
      <c r="B1147" s="85">
        <v>243</v>
      </c>
      <c r="C1147" s="85">
        <f t="shared" si="18"/>
        <v>1144</v>
      </c>
      <c r="D1147" s="85" t="s">
        <v>2239</v>
      </c>
    </row>
    <row r="1148" spans="1:4">
      <c r="A1148" s="85">
        <v>90</v>
      </c>
      <c r="B1148" s="85">
        <v>243</v>
      </c>
      <c r="C1148" s="85">
        <f t="shared" si="18"/>
        <v>1145</v>
      </c>
      <c r="D1148" s="85" t="s">
        <v>2240</v>
      </c>
    </row>
    <row r="1149" spans="1:4">
      <c r="A1149" s="85">
        <v>90</v>
      </c>
      <c r="B1149" s="85">
        <v>244</v>
      </c>
      <c r="C1149" s="85">
        <f t="shared" si="18"/>
        <v>1146</v>
      </c>
      <c r="D1149" s="85" t="s">
        <v>2241</v>
      </c>
    </row>
    <row r="1150" spans="1:4">
      <c r="A1150" s="85">
        <v>90</v>
      </c>
      <c r="B1150" s="85">
        <v>244</v>
      </c>
      <c r="C1150" s="85">
        <f t="shared" si="18"/>
        <v>1147</v>
      </c>
      <c r="D1150" s="85" t="s">
        <v>2242</v>
      </c>
    </row>
    <row r="1151" spans="1:4">
      <c r="A1151" s="85">
        <v>90</v>
      </c>
      <c r="B1151" s="85">
        <v>244</v>
      </c>
      <c r="C1151" s="85">
        <f t="shared" si="18"/>
        <v>1148</v>
      </c>
      <c r="D1151" s="85" t="s">
        <v>2243</v>
      </c>
    </row>
    <row r="1152" spans="1:4">
      <c r="A1152" s="85">
        <v>90</v>
      </c>
      <c r="B1152" s="85">
        <v>245</v>
      </c>
      <c r="C1152" s="85">
        <f t="shared" si="18"/>
        <v>1149</v>
      </c>
      <c r="D1152" s="85" t="s">
        <v>2244</v>
      </c>
    </row>
    <row r="1153" spans="1:4">
      <c r="A1153" s="85">
        <v>91</v>
      </c>
      <c r="B1153" s="85">
        <v>246</v>
      </c>
      <c r="C1153" s="85">
        <f t="shared" si="18"/>
        <v>1150</v>
      </c>
      <c r="D1153" s="85" t="s">
        <v>2245</v>
      </c>
    </row>
    <row r="1154" spans="1:4">
      <c r="A1154" s="85">
        <v>91</v>
      </c>
      <c r="B1154" s="85">
        <v>246</v>
      </c>
      <c r="C1154" s="85">
        <f t="shared" si="18"/>
        <v>1151</v>
      </c>
      <c r="D1154" s="85" t="s">
        <v>2246</v>
      </c>
    </row>
    <row r="1155" spans="1:4">
      <c r="A1155" s="85">
        <v>91</v>
      </c>
      <c r="B1155" s="85">
        <v>246</v>
      </c>
      <c r="C1155" s="85">
        <f t="shared" si="18"/>
        <v>1152</v>
      </c>
      <c r="D1155" s="85" t="s">
        <v>2247</v>
      </c>
    </row>
    <row r="1156" spans="1:4">
      <c r="A1156" s="85">
        <v>91</v>
      </c>
      <c r="B1156" s="85">
        <v>247</v>
      </c>
      <c r="C1156" s="85">
        <f t="shared" si="18"/>
        <v>1153</v>
      </c>
      <c r="D1156" s="85" t="s">
        <v>2248</v>
      </c>
    </row>
    <row r="1157" spans="1:4">
      <c r="A1157" s="85">
        <v>91</v>
      </c>
      <c r="B1157" s="85">
        <v>247</v>
      </c>
      <c r="C1157" s="85">
        <f t="shared" si="18"/>
        <v>1154</v>
      </c>
      <c r="D1157" s="85" t="s">
        <v>2249</v>
      </c>
    </row>
    <row r="1158" spans="1:4">
      <c r="A1158" s="85">
        <v>91</v>
      </c>
      <c r="B1158" s="85">
        <v>247</v>
      </c>
      <c r="C1158" s="85">
        <f t="shared" si="18"/>
        <v>1155</v>
      </c>
      <c r="D1158" s="85" t="s">
        <v>2250</v>
      </c>
    </row>
    <row r="1159" spans="1:4">
      <c r="A1159" s="85">
        <v>91</v>
      </c>
      <c r="B1159" s="85">
        <v>247</v>
      </c>
      <c r="C1159" s="85">
        <f t="shared" si="18"/>
        <v>1156</v>
      </c>
      <c r="D1159" s="85" t="s">
        <v>2251</v>
      </c>
    </row>
    <row r="1160" spans="1:4">
      <c r="A1160" s="85">
        <v>91</v>
      </c>
      <c r="B1160" s="85">
        <v>247</v>
      </c>
      <c r="C1160" s="85">
        <f t="shared" si="18"/>
        <v>1157</v>
      </c>
      <c r="D1160" s="85" t="s">
        <v>2252</v>
      </c>
    </row>
    <row r="1161" spans="1:4">
      <c r="A1161" s="85">
        <v>91</v>
      </c>
      <c r="B1161" s="85">
        <v>247</v>
      </c>
      <c r="C1161" s="85">
        <f t="shared" si="18"/>
        <v>1158</v>
      </c>
      <c r="D1161" s="85" t="s">
        <v>2253</v>
      </c>
    </row>
    <row r="1162" spans="1:4">
      <c r="A1162" s="85">
        <v>91</v>
      </c>
      <c r="B1162" s="85">
        <v>247</v>
      </c>
      <c r="C1162" s="85">
        <f t="shared" si="18"/>
        <v>1159</v>
      </c>
      <c r="D1162" s="85" t="s">
        <v>2254</v>
      </c>
    </row>
    <row r="1163" spans="1:4">
      <c r="A1163" s="85">
        <v>91</v>
      </c>
      <c r="B1163" s="85">
        <v>247</v>
      </c>
      <c r="C1163" s="85">
        <f t="shared" si="18"/>
        <v>1160</v>
      </c>
      <c r="D1163" s="85" t="s">
        <v>2255</v>
      </c>
    </row>
    <row r="1164" spans="1:4">
      <c r="A1164" s="85">
        <v>91</v>
      </c>
      <c r="B1164" s="85">
        <v>247</v>
      </c>
      <c r="C1164" s="85">
        <f t="shared" si="18"/>
        <v>1161</v>
      </c>
      <c r="D1164" s="85" t="s">
        <v>2256</v>
      </c>
    </row>
    <row r="1165" spans="1:4">
      <c r="A1165" s="85">
        <v>91</v>
      </c>
      <c r="B1165" s="85">
        <v>247</v>
      </c>
      <c r="C1165" s="85">
        <f t="shared" si="18"/>
        <v>1162</v>
      </c>
      <c r="D1165" s="85" t="s">
        <v>2257</v>
      </c>
    </row>
    <row r="1166" spans="1:4">
      <c r="A1166" s="85">
        <v>91</v>
      </c>
      <c r="B1166" s="85">
        <v>247</v>
      </c>
      <c r="C1166" s="85">
        <f t="shared" si="18"/>
        <v>1163</v>
      </c>
      <c r="D1166" s="85" t="s">
        <v>2258</v>
      </c>
    </row>
    <row r="1167" spans="1:4">
      <c r="A1167" s="85">
        <v>91</v>
      </c>
      <c r="B1167" s="85">
        <v>247</v>
      </c>
      <c r="C1167" s="85">
        <f t="shared" si="18"/>
        <v>1164</v>
      </c>
      <c r="D1167" s="85" t="s">
        <v>2259</v>
      </c>
    </row>
    <row r="1168" spans="1:4">
      <c r="A1168" s="85">
        <v>92</v>
      </c>
      <c r="B1168" s="85">
        <v>248</v>
      </c>
      <c r="C1168" s="85">
        <f t="shared" si="18"/>
        <v>1165</v>
      </c>
      <c r="D1168" s="85" t="s">
        <v>2260</v>
      </c>
    </row>
    <row r="1169" spans="1:4">
      <c r="A1169" s="85">
        <v>92</v>
      </c>
      <c r="B1169" s="85">
        <v>248</v>
      </c>
      <c r="C1169" s="85">
        <f t="shared" si="18"/>
        <v>1166</v>
      </c>
      <c r="D1169" s="85" t="s">
        <v>2261</v>
      </c>
    </row>
    <row r="1170" spans="1:4">
      <c r="A1170" s="85">
        <v>92</v>
      </c>
      <c r="B1170" s="85">
        <v>248</v>
      </c>
      <c r="C1170" s="85">
        <f t="shared" si="18"/>
        <v>1167</v>
      </c>
      <c r="D1170" s="85" t="s">
        <v>2262</v>
      </c>
    </row>
    <row r="1171" spans="1:4">
      <c r="A1171" s="85">
        <v>92</v>
      </c>
      <c r="B1171" s="85">
        <v>248</v>
      </c>
      <c r="C1171" s="85">
        <f t="shared" si="18"/>
        <v>1168</v>
      </c>
      <c r="D1171" s="85" t="s">
        <v>2263</v>
      </c>
    </row>
    <row r="1172" spans="1:4">
      <c r="A1172" s="85">
        <v>92</v>
      </c>
      <c r="B1172" s="85">
        <v>248</v>
      </c>
      <c r="C1172" s="85">
        <f t="shared" si="18"/>
        <v>1169</v>
      </c>
      <c r="D1172" s="85" t="s">
        <v>2264</v>
      </c>
    </row>
    <row r="1173" spans="1:4">
      <c r="A1173" s="85">
        <v>92</v>
      </c>
      <c r="B1173" s="85">
        <v>248</v>
      </c>
      <c r="C1173" s="85">
        <f t="shared" si="18"/>
        <v>1170</v>
      </c>
      <c r="D1173" s="85" t="s">
        <v>2265</v>
      </c>
    </row>
    <row r="1174" spans="1:4">
      <c r="A1174" s="85">
        <v>92</v>
      </c>
      <c r="B1174" s="85">
        <v>249</v>
      </c>
      <c r="C1174" s="85">
        <f t="shared" si="18"/>
        <v>1171</v>
      </c>
      <c r="D1174" s="85" t="s">
        <v>2266</v>
      </c>
    </row>
    <row r="1175" spans="1:4">
      <c r="A1175" s="85">
        <v>92</v>
      </c>
      <c r="B1175" s="85">
        <v>249</v>
      </c>
      <c r="C1175" s="85">
        <f t="shared" si="18"/>
        <v>1172</v>
      </c>
      <c r="D1175" s="85" t="s">
        <v>2267</v>
      </c>
    </row>
    <row r="1176" spans="1:4">
      <c r="A1176" s="85">
        <v>92</v>
      </c>
      <c r="B1176" s="85">
        <v>249</v>
      </c>
      <c r="C1176" s="85">
        <f t="shared" si="18"/>
        <v>1173</v>
      </c>
      <c r="D1176" s="85" t="s">
        <v>2268</v>
      </c>
    </row>
    <row r="1177" spans="1:4">
      <c r="A1177" s="85">
        <v>92</v>
      </c>
      <c r="B1177" s="85">
        <v>249</v>
      </c>
      <c r="C1177" s="85">
        <f t="shared" si="18"/>
        <v>1174</v>
      </c>
      <c r="D1177" s="85" t="s">
        <v>2269</v>
      </c>
    </row>
    <row r="1178" spans="1:4">
      <c r="A1178" s="85">
        <v>92</v>
      </c>
      <c r="B1178" s="85">
        <v>250</v>
      </c>
      <c r="C1178" s="85">
        <f t="shared" si="18"/>
        <v>1175</v>
      </c>
      <c r="D1178" s="85" t="s">
        <v>2270</v>
      </c>
    </row>
    <row r="1179" spans="1:4">
      <c r="A1179" s="85">
        <v>92</v>
      </c>
      <c r="B1179" s="85">
        <v>250</v>
      </c>
      <c r="C1179" s="85">
        <f t="shared" si="18"/>
        <v>1176</v>
      </c>
      <c r="D1179" s="85" t="s">
        <v>2271</v>
      </c>
    </row>
    <row r="1180" spans="1:4">
      <c r="A1180" s="85">
        <v>92</v>
      </c>
      <c r="B1180" s="85">
        <v>250</v>
      </c>
      <c r="C1180" s="85">
        <f t="shared" si="18"/>
        <v>1177</v>
      </c>
      <c r="D1180" s="85" t="s">
        <v>2272</v>
      </c>
    </row>
    <row r="1181" spans="1:4">
      <c r="A1181" s="85">
        <v>93</v>
      </c>
      <c r="B1181" s="85">
        <v>251</v>
      </c>
      <c r="C1181" s="85">
        <f t="shared" si="18"/>
        <v>1178</v>
      </c>
      <c r="D1181" s="85" t="s">
        <v>2273</v>
      </c>
    </row>
    <row r="1182" spans="1:4">
      <c r="A1182" s="85">
        <v>93</v>
      </c>
      <c r="B1182" s="85">
        <v>251</v>
      </c>
      <c r="C1182" s="85">
        <f t="shared" ref="C1182:C1245" si="19">C1181+1</f>
        <v>1179</v>
      </c>
      <c r="D1182" s="85" t="s">
        <v>2274</v>
      </c>
    </row>
    <row r="1183" spans="1:4">
      <c r="A1183" s="85">
        <v>93</v>
      </c>
      <c r="B1183" s="85">
        <v>251</v>
      </c>
      <c r="C1183" s="85">
        <f t="shared" si="19"/>
        <v>1180</v>
      </c>
      <c r="D1183" s="85" t="s">
        <v>2275</v>
      </c>
    </row>
    <row r="1184" spans="1:4">
      <c r="A1184" s="85">
        <v>93</v>
      </c>
      <c r="B1184" s="85">
        <v>251</v>
      </c>
      <c r="C1184" s="85">
        <f t="shared" si="19"/>
        <v>1181</v>
      </c>
      <c r="D1184" s="85" t="s">
        <v>2276</v>
      </c>
    </row>
    <row r="1185" spans="1:4">
      <c r="A1185" s="85">
        <v>93</v>
      </c>
      <c r="B1185" s="85">
        <v>251</v>
      </c>
      <c r="C1185" s="85">
        <f t="shared" si="19"/>
        <v>1182</v>
      </c>
      <c r="D1185" s="85" t="s">
        <v>2277</v>
      </c>
    </row>
    <row r="1186" spans="1:4">
      <c r="A1186" s="85">
        <v>93</v>
      </c>
      <c r="B1186" s="85">
        <v>252</v>
      </c>
      <c r="C1186" s="85">
        <f t="shared" si="19"/>
        <v>1183</v>
      </c>
      <c r="D1186" s="85" t="s">
        <v>2278</v>
      </c>
    </row>
    <row r="1187" spans="1:4">
      <c r="A1187" s="85">
        <v>93</v>
      </c>
      <c r="B1187" s="85">
        <v>252</v>
      </c>
      <c r="C1187" s="85">
        <f t="shared" si="19"/>
        <v>1184</v>
      </c>
      <c r="D1187" s="85" t="s">
        <v>2279</v>
      </c>
    </row>
    <row r="1188" spans="1:4">
      <c r="A1188" s="85">
        <v>93</v>
      </c>
      <c r="B1188" s="85">
        <v>252</v>
      </c>
      <c r="C1188" s="85">
        <f t="shared" si="19"/>
        <v>1185</v>
      </c>
      <c r="D1188" s="85" t="s">
        <v>2280</v>
      </c>
    </row>
    <row r="1189" spans="1:4">
      <c r="A1189" s="85">
        <v>93</v>
      </c>
      <c r="B1189" s="85">
        <v>252</v>
      </c>
      <c r="C1189" s="85">
        <f t="shared" si="19"/>
        <v>1186</v>
      </c>
      <c r="D1189" s="85" t="s">
        <v>2281</v>
      </c>
    </row>
    <row r="1190" spans="1:4">
      <c r="A1190" s="85">
        <v>93</v>
      </c>
      <c r="B1190" s="85">
        <v>252</v>
      </c>
      <c r="C1190" s="85">
        <f t="shared" si="19"/>
        <v>1187</v>
      </c>
      <c r="D1190" s="85" t="s">
        <v>2282</v>
      </c>
    </row>
    <row r="1191" spans="1:4">
      <c r="A1191" s="85">
        <v>93</v>
      </c>
      <c r="B1191" s="85">
        <v>253</v>
      </c>
      <c r="C1191" s="85">
        <f t="shared" si="19"/>
        <v>1188</v>
      </c>
      <c r="D1191" s="85" t="s">
        <v>2283</v>
      </c>
    </row>
    <row r="1192" spans="1:4">
      <c r="A1192" s="85">
        <v>94</v>
      </c>
      <c r="B1192" s="85">
        <v>254</v>
      </c>
      <c r="C1192" s="85">
        <f t="shared" si="19"/>
        <v>1189</v>
      </c>
      <c r="D1192" s="85" t="s">
        <v>2284</v>
      </c>
    </row>
    <row r="1193" spans="1:4">
      <c r="A1193" s="85">
        <v>94</v>
      </c>
      <c r="B1193" s="85">
        <v>254</v>
      </c>
      <c r="C1193" s="85">
        <f t="shared" si="19"/>
        <v>1190</v>
      </c>
      <c r="D1193" s="85" t="s">
        <v>2285</v>
      </c>
    </row>
    <row r="1194" spans="1:4">
      <c r="A1194" s="85">
        <v>94</v>
      </c>
      <c r="B1194" s="85">
        <v>254</v>
      </c>
      <c r="C1194" s="85">
        <f t="shared" si="19"/>
        <v>1191</v>
      </c>
      <c r="D1194" s="85" t="s">
        <v>2286</v>
      </c>
    </row>
    <row r="1195" spans="1:4">
      <c r="A1195" s="85">
        <v>94</v>
      </c>
      <c r="B1195" s="85">
        <v>254</v>
      </c>
      <c r="C1195" s="85">
        <f t="shared" si="19"/>
        <v>1192</v>
      </c>
      <c r="D1195" s="85" t="s">
        <v>2287</v>
      </c>
    </row>
    <row r="1196" spans="1:4">
      <c r="A1196" s="85">
        <v>94</v>
      </c>
      <c r="B1196" s="85">
        <v>254</v>
      </c>
      <c r="C1196" s="85">
        <f t="shared" si="19"/>
        <v>1193</v>
      </c>
      <c r="D1196" s="85" t="s">
        <v>2288</v>
      </c>
    </row>
    <row r="1197" spans="1:4">
      <c r="A1197" s="85">
        <v>94</v>
      </c>
      <c r="B1197" s="85">
        <v>254</v>
      </c>
      <c r="C1197" s="85">
        <f t="shared" si="19"/>
        <v>1194</v>
      </c>
      <c r="D1197" s="85" t="s">
        <v>2289</v>
      </c>
    </row>
    <row r="1198" spans="1:4">
      <c r="A1198" s="85">
        <v>94</v>
      </c>
      <c r="B1198" s="85">
        <v>255</v>
      </c>
      <c r="C1198" s="85">
        <f t="shared" si="19"/>
        <v>1195</v>
      </c>
      <c r="D1198" s="85" t="s">
        <v>2290</v>
      </c>
    </row>
    <row r="1199" spans="1:4">
      <c r="A1199" s="85">
        <v>94</v>
      </c>
      <c r="B1199" s="85">
        <v>255</v>
      </c>
      <c r="C1199" s="85">
        <f t="shared" si="19"/>
        <v>1196</v>
      </c>
      <c r="D1199" s="85" t="s">
        <v>2291</v>
      </c>
    </row>
    <row r="1200" spans="1:4">
      <c r="A1200" s="85">
        <v>94</v>
      </c>
      <c r="B1200" s="85">
        <v>255</v>
      </c>
      <c r="C1200" s="85">
        <f t="shared" si="19"/>
        <v>1197</v>
      </c>
      <c r="D1200" s="85" t="s">
        <v>2292</v>
      </c>
    </row>
    <row r="1201" spans="1:4">
      <c r="A1201" s="85">
        <v>94</v>
      </c>
      <c r="B1201" s="85">
        <v>255</v>
      </c>
      <c r="C1201" s="85">
        <f t="shared" si="19"/>
        <v>1198</v>
      </c>
      <c r="D1201" s="85" t="s">
        <v>2293</v>
      </c>
    </row>
    <row r="1202" spans="1:4">
      <c r="A1202" s="85">
        <v>94</v>
      </c>
      <c r="B1202" s="85">
        <v>256</v>
      </c>
      <c r="C1202" s="85">
        <f t="shared" si="19"/>
        <v>1199</v>
      </c>
      <c r="D1202" s="85" t="s">
        <v>2294</v>
      </c>
    </row>
    <row r="1203" spans="1:4">
      <c r="A1203" s="85">
        <v>94</v>
      </c>
      <c r="B1203" s="85">
        <v>256</v>
      </c>
      <c r="C1203" s="85">
        <f t="shared" si="19"/>
        <v>1200</v>
      </c>
      <c r="D1203" s="85" t="s">
        <v>2295</v>
      </c>
    </row>
    <row r="1204" spans="1:4">
      <c r="A1204" s="85">
        <v>94</v>
      </c>
      <c r="B1204" s="85">
        <v>256</v>
      </c>
      <c r="C1204" s="85">
        <f t="shared" si="19"/>
        <v>1201</v>
      </c>
      <c r="D1204" s="85" t="s">
        <v>2296</v>
      </c>
    </row>
    <row r="1205" spans="1:4">
      <c r="A1205" s="85">
        <v>95</v>
      </c>
      <c r="B1205" s="85">
        <v>257</v>
      </c>
      <c r="C1205" s="85">
        <f t="shared" si="19"/>
        <v>1202</v>
      </c>
      <c r="D1205" s="85" t="s">
        <v>2297</v>
      </c>
    </row>
    <row r="1206" spans="1:4">
      <c r="A1206" s="85">
        <v>95</v>
      </c>
      <c r="B1206" s="85">
        <v>257</v>
      </c>
      <c r="C1206" s="85">
        <f t="shared" si="19"/>
        <v>1203</v>
      </c>
      <c r="D1206" s="85" t="s">
        <v>2298</v>
      </c>
    </row>
    <row r="1207" spans="1:4">
      <c r="A1207" s="85">
        <v>95</v>
      </c>
      <c r="B1207" s="85">
        <v>257</v>
      </c>
      <c r="C1207" s="85">
        <f t="shared" si="19"/>
        <v>1204</v>
      </c>
      <c r="D1207" s="85" t="s">
        <v>2299</v>
      </c>
    </row>
    <row r="1208" spans="1:4">
      <c r="A1208" s="85">
        <v>95</v>
      </c>
      <c r="B1208" s="85">
        <v>257</v>
      </c>
      <c r="C1208" s="85">
        <f t="shared" si="19"/>
        <v>1205</v>
      </c>
      <c r="D1208" s="85" t="s">
        <v>2300</v>
      </c>
    </row>
    <row r="1209" spans="1:4">
      <c r="A1209" s="85">
        <v>95</v>
      </c>
      <c r="B1209" s="85">
        <v>257</v>
      </c>
      <c r="C1209" s="85">
        <f t="shared" si="19"/>
        <v>1206</v>
      </c>
      <c r="D1209" s="85" t="s">
        <v>2301</v>
      </c>
    </row>
    <row r="1210" spans="1:4">
      <c r="A1210" s="85">
        <v>95</v>
      </c>
      <c r="B1210" s="85">
        <v>258</v>
      </c>
      <c r="C1210" s="85">
        <f t="shared" si="19"/>
        <v>1207</v>
      </c>
      <c r="D1210" s="85" t="s">
        <v>2302</v>
      </c>
    </row>
    <row r="1211" spans="1:4">
      <c r="A1211" s="85">
        <v>95</v>
      </c>
      <c r="B1211" s="85">
        <v>258</v>
      </c>
      <c r="C1211" s="85">
        <f t="shared" si="19"/>
        <v>1208</v>
      </c>
      <c r="D1211" s="85" t="s">
        <v>2303</v>
      </c>
    </row>
    <row r="1212" spans="1:4">
      <c r="A1212" s="85">
        <v>95</v>
      </c>
      <c r="B1212" s="85">
        <v>258</v>
      </c>
      <c r="C1212" s="85">
        <f t="shared" si="19"/>
        <v>1209</v>
      </c>
      <c r="D1212" s="85" t="s">
        <v>2304</v>
      </c>
    </row>
    <row r="1213" spans="1:4">
      <c r="A1213" s="85">
        <v>95</v>
      </c>
      <c r="B1213" s="85">
        <v>258</v>
      </c>
      <c r="C1213" s="85">
        <f t="shared" si="19"/>
        <v>1210</v>
      </c>
      <c r="D1213" s="85" t="s">
        <v>2305</v>
      </c>
    </row>
    <row r="1214" spans="1:4">
      <c r="A1214" s="85">
        <v>95</v>
      </c>
      <c r="B1214" s="85">
        <v>259</v>
      </c>
      <c r="C1214" s="85">
        <f t="shared" si="19"/>
        <v>1211</v>
      </c>
      <c r="D1214" s="85" t="s">
        <v>2306</v>
      </c>
    </row>
    <row r="1215" spans="1:4">
      <c r="A1215" s="85">
        <v>95</v>
      </c>
      <c r="B1215" s="85">
        <v>259</v>
      </c>
      <c r="C1215" s="85">
        <f t="shared" si="19"/>
        <v>1212</v>
      </c>
      <c r="D1215" s="85" t="s">
        <v>2307</v>
      </c>
    </row>
    <row r="1216" spans="1:4">
      <c r="A1216" s="85">
        <v>95</v>
      </c>
      <c r="B1216" s="85">
        <v>259</v>
      </c>
      <c r="C1216" s="85">
        <f t="shared" si="19"/>
        <v>1213</v>
      </c>
      <c r="D1216" s="85" t="s">
        <v>2308</v>
      </c>
    </row>
    <row r="1217" spans="1:4">
      <c r="A1217" s="85">
        <v>96</v>
      </c>
      <c r="B1217" s="85">
        <v>260</v>
      </c>
      <c r="C1217" s="85">
        <f t="shared" si="19"/>
        <v>1214</v>
      </c>
      <c r="D1217" s="85" t="s">
        <v>2297</v>
      </c>
    </row>
    <row r="1218" spans="1:4">
      <c r="A1218" s="85">
        <v>96</v>
      </c>
      <c r="B1218" s="85">
        <v>260</v>
      </c>
      <c r="C1218" s="85">
        <f t="shared" si="19"/>
        <v>1215</v>
      </c>
      <c r="D1218" s="85" t="s">
        <v>2309</v>
      </c>
    </row>
    <row r="1219" spans="1:4">
      <c r="A1219" s="85">
        <v>96</v>
      </c>
      <c r="B1219" s="85">
        <v>260</v>
      </c>
      <c r="C1219" s="85">
        <f t="shared" si="19"/>
        <v>1216</v>
      </c>
      <c r="D1219" s="85" t="s">
        <v>2310</v>
      </c>
    </row>
    <row r="1220" spans="1:4">
      <c r="A1220" s="85">
        <v>96</v>
      </c>
      <c r="B1220" s="85">
        <v>260</v>
      </c>
      <c r="C1220" s="85">
        <f t="shared" si="19"/>
        <v>1217</v>
      </c>
      <c r="D1220" s="85" t="s">
        <v>2311</v>
      </c>
    </row>
    <row r="1221" spans="1:4">
      <c r="A1221" s="85">
        <v>96</v>
      </c>
      <c r="B1221" s="85">
        <v>260</v>
      </c>
      <c r="C1221" s="85">
        <f t="shared" si="19"/>
        <v>1218</v>
      </c>
      <c r="D1221" s="85" t="s">
        <v>2312</v>
      </c>
    </row>
    <row r="1222" spans="1:4">
      <c r="A1222" s="85">
        <v>96</v>
      </c>
      <c r="B1222" s="85">
        <v>260</v>
      </c>
      <c r="C1222" s="85">
        <f t="shared" si="19"/>
        <v>1219</v>
      </c>
      <c r="D1222" s="85" t="s">
        <v>2313</v>
      </c>
    </row>
    <row r="1223" spans="1:4">
      <c r="A1223" s="85">
        <v>96</v>
      </c>
      <c r="B1223" s="85">
        <v>261</v>
      </c>
      <c r="C1223" s="85">
        <f t="shared" si="19"/>
        <v>1220</v>
      </c>
      <c r="D1223" s="85" t="s">
        <v>2314</v>
      </c>
    </row>
    <row r="1224" spans="1:4">
      <c r="A1224" s="85">
        <v>96</v>
      </c>
      <c r="B1224" s="85">
        <v>261</v>
      </c>
      <c r="C1224" s="85">
        <f t="shared" si="19"/>
        <v>1221</v>
      </c>
      <c r="D1224" s="85" t="s">
        <v>2315</v>
      </c>
    </row>
    <row r="1225" spans="1:4">
      <c r="A1225" s="85">
        <v>96</v>
      </c>
      <c r="B1225" s="85">
        <v>261</v>
      </c>
      <c r="C1225" s="85">
        <f t="shared" si="19"/>
        <v>1222</v>
      </c>
      <c r="D1225" s="85" t="s">
        <v>2316</v>
      </c>
    </row>
    <row r="1226" spans="1:4">
      <c r="A1226" s="85">
        <v>96</v>
      </c>
      <c r="B1226" s="85">
        <v>261</v>
      </c>
      <c r="C1226" s="85">
        <f t="shared" si="19"/>
        <v>1223</v>
      </c>
      <c r="D1226" s="85" t="s">
        <v>2317</v>
      </c>
    </row>
    <row r="1227" spans="1:4">
      <c r="A1227" s="85">
        <v>96</v>
      </c>
      <c r="B1227" s="85">
        <v>262</v>
      </c>
      <c r="C1227" s="85">
        <f t="shared" si="19"/>
        <v>1224</v>
      </c>
      <c r="D1227" s="85" t="s">
        <v>2318</v>
      </c>
    </row>
    <row r="1228" spans="1:4">
      <c r="A1228" s="85">
        <v>96</v>
      </c>
      <c r="B1228" s="85">
        <v>262</v>
      </c>
      <c r="C1228" s="85">
        <f t="shared" si="19"/>
        <v>1225</v>
      </c>
      <c r="D1228" s="85" t="s">
        <v>2319</v>
      </c>
    </row>
    <row r="1229" spans="1:4">
      <c r="A1229" s="85">
        <v>96</v>
      </c>
      <c r="B1229" s="85">
        <v>262</v>
      </c>
      <c r="C1229" s="85">
        <f t="shared" si="19"/>
        <v>1226</v>
      </c>
      <c r="D1229" s="85" t="s">
        <v>2320</v>
      </c>
    </row>
    <row r="1230" spans="1:4">
      <c r="A1230" s="85">
        <v>96</v>
      </c>
      <c r="B1230" s="85">
        <v>262</v>
      </c>
      <c r="C1230" s="85">
        <f t="shared" si="19"/>
        <v>1227</v>
      </c>
      <c r="D1230" s="85" t="s">
        <v>2321</v>
      </c>
    </row>
    <row r="1231" spans="1:4">
      <c r="A1231" s="85">
        <v>96</v>
      </c>
      <c r="B1231" s="85">
        <v>262</v>
      </c>
      <c r="C1231" s="85">
        <f t="shared" si="19"/>
        <v>1228</v>
      </c>
      <c r="D1231" s="85" t="s">
        <v>2322</v>
      </c>
    </row>
    <row r="1232" spans="1:4">
      <c r="A1232" s="85">
        <v>96</v>
      </c>
      <c r="B1232" s="85">
        <v>262</v>
      </c>
      <c r="C1232" s="85">
        <f t="shared" si="19"/>
        <v>1229</v>
      </c>
      <c r="D1232" s="85" t="s">
        <v>2323</v>
      </c>
    </row>
    <row r="1233" spans="1:4">
      <c r="A1233" s="85">
        <v>97</v>
      </c>
      <c r="B1233" s="85">
        <v>263</v>
      </c>
      <c r="C1233" s="85">
        <f t="shared" si="19"/>
        <v>1230</v>
      </c>
      <c r="D1233" s="85" t="s">
        <v>2324</v>
      </c>
    </row>
    <row r="1234" spans="1:4">
      <c r="A1234" s="85">
        <v>97</v>
      </c>
      <c r="B1234" s="85">
        <v>263</v>
      </c>
      <c r="C1234" s="85">
        <f t="shared" si="19"/>
        <v>1231</v>
      </c>
      <c r="D1234" s="85" t="s">
        <v>2325</v>
      </c>
    </row>
    <row r="1235" spans="1:4">
      <c r="A1235" s="85">
        <v>97</v>
      </c>
      <c r="B1235" s="85">
        <v>263</v>
      </c>
      <c r="C1235" s="85">
        <f t="shared" si="19"/>
        <v>1232</v>
      </c>
      <c r="D1235" s="85" t="s">
        <v>2326</v>
      </c>
    </row>
    <row r="1236" spans="1:4">
      <c r="A1236" s="85">
        <v>97</v>
      </c>
      <c r="B1236" s="85">
        <v>263</v>
      </c>
      <c r="C1236" s="85">
        <f t="shared" si="19"/>
        <v>1233</v>
      </c>
      <c r="D1236" s="85" t="s">
        <v>2327</v>
      </c>
    </row>
    <row r="1237" spans="1:4">
      <c r="A1237" s="85">
        <v>97</v>
      </c>
      <c r="B1237" s="85">
        <v>263</v>
      </c>
      <c r="C1237" s="85">
        <f t="shared" si="19"/>
        <v>1234</v>
      </c>
      <c r="D1237" s="85" t="s">
        <v>2328</v>
      </c>
    </row>
    <row r="1238" spans="1:4">
      <c r="B1238" s="85">
        <v>264</v>
      </c>
      <c r="C1238" s="85">
        <f t="shared" si="19"/>
        <v>1235</v>
      </c>
      <c r="D1238" s="85" t="s">
        <v>2329</v>
      </c>
    </row>
    <row r="1239" spans="1:4">
      <c r="A1239" s="85">
        <v>97</v>
      </c>
      <c r="B1239" s="85">
        <v>264</v>
      </c>
      <c r="C1239" s="85">
        <f t="shared" si="19"/>
        <v>1236</v>
      </c>
      <c r="D1239" s="85" t="s">
        <v>2330</v>
      </c>
    </row>
    <row r="1240" spans="1:4">
      <c r="A1240" s="85">
        <v>97</v>
      </c>
      <c r="B1240" s="85">
        <v>264</v>
      </c>
      <c r="C1240" s="85">
        <f t="shared" si="19"/>
        <v>1237</v>
      </c>
      <c r="D1240" s="85" t="s">
        <v>2331</v>
      </c>
    </row>
    <row r="1241" spans="1:4">
      <c r="A1241" s="85">
        <v>97</v>
      </c>
      <c r="B1241" s="85">
        <v>264</v>
      </c>
      <c r="C1241" s="85">
        <f t="shared" si="19"/>
        <v>1238</v>
      </c>
      <c r="D1241" s="85" t="s">
        <v>2332</v>
      </c>
    </row>
    <row r="1242" spans="1:4">
      <c r="A1242" s="85">
        <v>97</v>
      </c>
      <c r="B1242" s="85">
        <v>264</v>
      </c>
      <c r="C1242" s="85">
        <f t="shared" si="19"/>
        <v>1239</v>
      </c>
      <c r="D1242" s="85" t="s">
        <v>2333</v>
      </c>
    </row>
    <row r="1243" spans="1:4">
      <c r="A1243" s="85">
        <v>97</v>
      </c>
      <c r="B1243" s="85">
        <v>265</v>
      </c>
      <c r="C1243" s="85">
        <f t="shared" si="19"/>
        <v>1240</v>
      </c>
      <c r="D1243" s="85" t="s">
        <v>2334</v>
      </c>
    </row>
    <row r="1244" spans="1:4">
      <c r="A1244" s="85">
        <v>97</v>
      </c>
      <c r="B1244" s="85">
        <v>265</v>
      </c>
      <c r="C1244" s="85">
        <f t="shared" si="19"/>
        <v>1241</v>
      </c>
      <c r="D1244" s="85" t="s">
        <v>2335</v>
      </c>
    </row>
    <row r="1245" spans="1:4">
      <c r="A1245" s="85">
        <v>97</v>
      </c>
      <c r="B1245" s="85">
        <v>265</v>
      </c>
      <c r="C1245" s="85">
        <f t="shared" si="19"/>
        <v>1242</v>
      </c>
      <c r="D1245" s="85" t="s">
        <v>2336</v>
      </c>
    </row>
    <row r="1246" spans="1:4">
      <c r="A1246" s="85">
        <v>97</v>
      </c>
      <c r="B1246" s="85">
        <v>265</v>
      </c>
      <c r="C1246" s="85">
        <f t="shared" ref="C1246:C1309" si="20">C1245+1</f>
        <v>1243</v>
      </c>
      <c r="D1246" s="85" t="s">
        <v>2337</v>
      </c>
    </row>
    <row r="1247" spans="1:4">
      <c r="A1247" s="85">
        <v>98</v>
      </c>
      <c r="B1247" s="85">
        <v>266</v>
      </c>
      <c r="C1247" s="85">
        <f t="shared" si="20"/>
        <v>1244</v>
      </c>
      <c r="D1247" s="85" t="s">
        <v>2338</v>
      </c>
    </row>
    <row r="1248" spans="1:4">
      <c r="A1248" s="85">
        <v>98</v>
      </c>
      <c r="B1248" s="85">
        <v>266</v>
      </c>
      <c r="C1248" s="85">
        <f t="shared" si="20"/>
        <v>1245</v>
      </c>
      <c r="D1248" s="85" t="s">
        <v>2339</v>
      </c>
    </row>
    <row r="1249" spans="1:4">
      <c r="A1249" s="85">
        <v>98</v>
      </c>
      <c r="B1249" s="85">
        <v>266</v>
      </c>
      <c r="C1249" s="85">
        <f t="shared" si="20"/>
        <v>1246</v>
      </c>
      <c r="D1249" s="85" t="s">
        <v>2340</v>
      </c>
    </row>
    <row r="1250" spans="1:4">
      <c r="A1250" s="85">
        <v>98</v>
      </c>
      <c r="B1250" s="85">
        <v>267</v>
      </c>
      <c r="C1250" s="85">
        <f t="shared" si="20"/>
        <v>1247</v>
      </c>
      <c r="D1250" s="85" t="s">
        <v>2341</v>
      </c>
    </row>
    <row r="1251" spans="1:4">
      <c r="A1251" s="85">
        <v>98</v>
      </c>
      <c r="B1251" s="85">
        <v>267</v>
      </c>
      <c r="C1251" s="85">
        <f t="shared" si="20"/>
        <v>1248</v>
      </c>
      <c r="D1251" s="85" t="s">
        <v>2342</v>
      </c>
    </row>
    <row r="1252" spans="1:4">
      <c r="A1252" s="85">
        <v>98</v>
      </c>
      <c r="B1252" s="85">
        <v>267</v>
      </c>
      <c r="C1252" s="85">
        <f t="shared" si="20"/>
        <v>1249</v>
      </c>
      <c r="D1252" s="85" t="s">
        <v>2343</v>
      </c>
    </row>
    <row r="1253" spans="1:4">
      <c r="A1253" s="85">
        <v>98</v>
      </c>
      <c r="B1253" s="85">
        <v>267</v>
      </c>
      <c r="C1253" s="85">
        <f t="shared" si="20"/>
        <v>1250</v>
      </c>
      <c r="D1253" s="85" t="s">
        <v>2344</v>
      </c>
    </row>
    <row r="1254" spans="1:4">
      <c r="A1254" s="85">
        <v>98</v>
      </c>
      <c r="B1254" s="85">
        <v>267</v>
      </c>
      <c r="C1254" s="85">
        <f t="shared" si="20"/>
        <v>1251</v>
      </c>
      <c r="D1254" s="85" t="s">
        <v>2345</v>
      </c>
    </row>
    <row r="1255" spans="1:4">
      <c r="A1255" s="85">
        <v>98</v>
      </c>
      <c r="B1255" s="85">
        <v>267</v>
      </c>
      <c r="C1255" s="85">
        <f t="shared" si="20"/>
        <v>1252</v>
      </c>
      <c r="D1255" s="85" t="s">
        <v>2346</v>
      </c>
    </row>
    <row r="1256" spans="1:4">
      <c r="A1256" s="85">
        <v>98</v>
      </c>
      <c r="B1256" s="85">
        <v>267</v>
      </c>
      <c r="C1256" s="85">
        <f t="shared" si="20"/>
        <v>1253</v>
      </c>
      <c r="D1256" s="85" t="s">
        <v>2347</v>
      </c>
    </row>
    <row r="1257" spans="1:4">
      <c r="A1257" s="85">
        <v>98</v>
      </c>
      <c r="B1257" s="85">
        <v>268</v>
      </c>
      <c r="C1257" s="85">
        <f t="shared" si="20"/>
        <v>1254</v>
      </c>
      <c r="D1257" s="85" t="s">
        <v>2348</v>
      </c>
    </row>
    <row r="1258" spans="1:4">
      <c r="A1258" s="85">
        <v>98</v>
      </c>
      <c r="B1258" s="85">
        <v>268</v>
      </c>
      <c r="C1258" s="85">
        <f t="shared" si="20"/>
        <v>1255</v>
      </c>
      <c r="D1258" s="85" t="s">
        <v>2349</v>
      </c>
    </row>
    <row r="1259" spans="1:4">
      <c r="A1259" s="85">
        <v>98</v>
      </c>
      <c r="B1259" s="85">
        <v>268</v>
      </c>
      <c r="C1259" s="85">
        <f t="shared" si="20"/>
        <v>1256</v>
      </c>
      <c r="D1259" s="85" t="s">
        <v>2350</v>
      </c>
    </row>
    <row r="1260" spans="1:4">
      <c r="A1260" s="85">
        <v>98</v>
      </c>
      <c r="B1260" s="85">
        <v>268</v>
      </c>
      <c r="C1260" s="85">
        <f t="shared" si="20"/>
        <v>1257</v>
      </c>
      <c r="D1260" s="85" t="s">
        <v>2351</v>
      </c>
    </row>
    <row r="1261" spans="1:4">
      <c r="A1261" s="85">
        <v>98</v>
      </c>
      <c r="B1261" s="85">
        <v>268</v>
      </c>
      <c r="C1261" s="85">
        <f t="shared" si="20"/>
        <v>1258</v>
      </c>
      <c r="D1261" s="85" t="s">
        <v>2352</v>
      </c>
    </row>
    <row r="1262" spans="1:4">
      <c r="A1262" s="85">
        <v>99</v>
      </c>
      <c r="B1262" s="85">
        <v>269</v>
      </c>
      <c r="C1262" s="85">
        <f t="shared" si="20"/>
        <v>1259</v>
      </c>
      <c r="D1262" s="85" t="s">
        <v>2353</v>
      </c>
    </row>
    <row r="1263" spans="1:4">
      <c r="A1263" s="85">
        <v>99</v>
      </c>
      <c r="B1263" s="85">
        <v>269</v>
      </c>
      <c r="C1263" s="85">
        <f t="shared" si="20"/>
        <v>1260</v>
      </c>
      <c r="D1263" s="85" t="s">
        <v>2354</v>
      </c>
    </row>
    <row r="1264" spans="1:4">
      <c r="A1264" s="85">
        <v>99</v>
      </c>
      <c r="B1264" s="85">
        <v>269</v>
      </c>
      <c r="C1264" s="85">
        <f t="shared" si="20"/>
        <v>1261</v>
      </c>
      <c r="D1264" s="85" t="s">
        <v>2355</v>
      </c>
    </row>
    <row r="1265" spans="1:4">
      <c r="A1265" s="85">
        <v>99</v>
      </c>
      <c r="B1265" s="85">
        <v>270</v>
      </c>
      <c r="C1265" s="85">
        <f t="shared" si="20"/>
        <v>1262</v>
      </c>
      <c r="D1265" s="85" t="s">
        <v>2356</v>
      </c>
    </row>
    <row r="1266" spans="1:4">
      <c r="A1266" s="85">
        <v>99</v>
      </c>
      <c r="B1266" s="85">
        <v>270</v>
      </c>
      <c r="C1266" s="85">
        <f t="shared" si="20"/>
        <v>1263</v>
      </c>
      <c r="D1266" s="85" t="s">
        <v>2357</v>
      </c>
    </row>
    <row r="1267" spans="1:4">
      <c r="A1267" s="85">
        <v>99</v>
      </c>
      <c r="B1267" s="85">
        <v>270</v>
      </c>
      <c r="C1267" s="85">
        <f t="shared" si="20"/>
        <v>1264</v>
      </c>
      <c r="D1267" s="85" t="s">
        <v>2358</v>
      </c>
    </row>
    <row r="1268" spans="1:4">
      <c r="A1268" s="85">
        <v>99</v>
      </c>
      <c r="B1268" s="85">
        <v>270</v>
      </c>
      <c r="C1268" s="85">
        <f t="shared" si="20"/>
        <v>1265</v>
      </c>
      <c r="D1268" s="85" t="s">
        <v>2359</v>
      </c>
    </row>
    <row r="1269" spans="1:4">
      <c r="A1269" s="85">
        <v>99</v>
      </c>
      <c r="B1269" s="85">
        <v>270</v>
      </c>
      <c r="C1269" s="85">
        <f t="shared" si="20"/>
        <v>1266</v>
      </c>
      <c r="D1269" s="85" t="s">
        <v>2360</v>
      </c>
    </row>
    <row r="1270" spans="1:4">
      <c r="A1270" s="85">
        <v>99</v>
      </c>
      <c r="B1270" s="85">
        <v>270</v>
      </c>
      <c r="C1270" s="85">
        <f t="shared" si="20"/>
        <v>1267</v>
      </c>
      <c r="D1270" s="85" t="s">
        <v>2361</v>
      </c>
    </row>
    <row r="1271" spans="1:4">
      <c r="A1271" s="85">
        <v>99</v>
      </c>
      <c r="B1271" s="85">
        <v>270</v>
      </c>
      <c r="C1271" s="85">
        <f t="shared" si="20"/>
        <v>1268</v>
      </c>
      <c r="D1271" s="85" t="s">
        <v>2362</v>
      </c>
    </row>
    <row r="1272" spans="1:4">
      <c r="A1272" s="85">
        <v>99</v>
      </c>
      <c r="B1272" s="85">
        <v>271</v>
      </c>
      <c r="C1272" s="85">
        <f t="shared" si="20"/>
        <v>1269</v>
      </c>
      <c r="D1272" s="85" t="s">
        <v>2363</v>
      </c>
    </row>
    <row r="1273" spans="1:4">
      <c r="A1273" s="85">
        <v>99</v>
      </c>
      <c r="B1273" s="85">
        <v>271</v>
      </c>
      <c r="C1273" s="85">
        <f t="shared" si="20"/>
        <v>1270</v>
      </c>
      <c r="D1273" s="85" t="s">
        <v>2364</v>
      </c>
    </row>
    <row r="1274" spans="1:4">
      <c r="A1274" s="85">
        <v>99</v>
      </c>
      <c r="B1274" s="85">
        <v>271</v>
      </c>
      <c r="C1274" s="85">
        <f t="shared" si="20"/>
        <v>1271</v>
      </c>
      <c r="D1274" s="85" t="s">
        <v>2365</v>
      </c>
    </row>
    <row r="1275" spans="1:4">
      <c r="A1275" s="85">
        <v>99</v>
      </c>
      <c r="B1275" s="85">
        <v>271</v>
      </c>
      <c r="C1275" s="85">
        <f t="shared" si="20"/>
        <v>1272</v>
      </c>
      <c r="D1275" s="85" t="s">
        <v>2366</v>
      </c>
    </row>
    <row r="1276" spans="1:4">
      <c r="A1276" s="85">
        <v>100</v>
      </c>
      <c r="B1276" s="85">
        <v>272</v>
      </c>
      <c r="C1276" s="85">
        <f t="shared" si="20"/>
        <v>1273</v>
      </c>
      <c r="D1276" s="85" t="s">
        <v>2367</v>
      </c>
    </row>
    <row r="1277" spans="1:4">
      <c r="A1277" s="85">
        <v>100</v>
      </c>
      <c r="B1277" s="85">
        <v>272</v>
      </c>
      <c r="C1277" s="85">
        <f t="shared" si="20"/>
        <v>1274</v>
      </c>
      <c r="D1277" s="85" t="s">
        <v>2368</v>
      </c>
    </row>
    <row r="1278" spans="1:4">
      <c r="A1278" s="85">
        <v>100</v>
      </c>
      <c r="B1278" s="85">
        <v>272</v>
      </c>
      <c r="C1278" s="85">
        <f t="shared" si="20"/>
        <v>1275</v>
      </c>
      <c r="D1278" s="85" t="s">
        <v>2369</v>
      </c>
    </row>
    <row r="1279" spans="1:4">
      <c r="A1279" s="85">
        <v>100</v>
      </c>
      <c r="B1279" s="85">
        <v>272</v>
      </c>
      <c r="C1279" s="85">
        <f t="shared" si="20"/>
        <v>1276</v>
      </c>
      <c r="D1279" s="85" t="s">
        <v>2370</v>
      </c>
    </row>
    <row r="1280" spans="1:4">
      <c r="A1280" s="85">
        <v>100</v>
      </c>
      <c r="B1280" s="85">
        <v>272</v>
      </c>
      <c r="C1280" s="85">
        <f t="shared" si="20"/>
        <v>1277</v>
      </c>
      <c r="D1280" s="85" t="s">
        <v>2371</v>
      </c>
    </row>
    <row r="1281" spans="1:4">
      <c r="A1281" s="85">
        <v>100</v>
      </c>
      <c r="B1281" s="85">
        <v>273</v>
      </c>
      <c r="C1281" s="85">
        <f t="shared" si="20"/>
        <v>1278</v>
      </c>
      <c r="D1281" s="85" t="s">
        <v>2372</v>
      </c>
    </row>
    <row r="1282" spans="1:4">
      <c r="A1282" s="85">
        <v>100</v>
      </c>
      <c r="B1282" s="85">
        <v>273</v>
      </c>
      <c r="C1282" s="85">
        <f t="shared" si="20"/>
        <v>1279</v>
      </c>
      <c r="D1282" s="85" t="s">
        <v>2373</v>
      </c>
    </row>
    <row r="1283" spans="1:4">
      <c r="A1283" s="85">
        <v>100</v>
      </c>
      <c r="B1283" s="85">
        <v>273</v>
      </c>
      <c r="C1283" s="85">
        <f t="shared" si="20"/>
        <v>1280</v>
      </c>
      <c r="D1283" s="85" t="s">
        <v>2374</v>
      </c>
    </row>
    <row r="1284" spans="1:4">
      <c r="A1284" s="85">
        <v>100</v>
      </c>
      <c r="B1284" s="85">
        <v>273</v>
      </c>
      <c r="C1284" s="85">
        <f t="shared" si="20"/>
        <v>1281</v>
      </c>
      <c r="D1284" s="85" t="s">
        <v>2375</v>
      </c>
    </row>
    <row r="1285" spans="1:4">
      <c r="A1285" s="85">
        <v>100</v>
      </c>
      <c r="B1285" s="85">
        <v>274</v>
      </c>
      <c r="C1285" s="85">
        <f t="shared" si="20"/>
        <v>1282</v>
      </c>
      <c r="D1285" s="85" t="s">
        <v>2376</v>
      </c>
    </row>
    <row r="1286" spans="1:4">
      <c r="A1286" s="85">
        <v>100</v>
      </c>
      <c r="B1286" s="85">
        <v>274</v>
      </c>
      <c r="C1286" s="85">
        <f t="shared" si="20"/>
        <v>1283</v>
      </c>
      <c r="D1286" s="85" t="s">
        <v>2377</v>
      </c>
    </row>
    <row r="1287" spans="1:4">
      <c r="A1287" s="85">
        <v>101</v>
      </c>
      <c r="B1287" s="85">
        <v>275</v>
      </c>
      <c r="C1287" s="85">
        <f t="shared" si="20"/>
        <v>1284</v>
      </c>
      <c r="D1287" s="85" t="s">
        <v>2378</v>
      </c>
    </row>
    <row r="1288" spans="1:4">
      <c r="A1288" s="85">
        <v>101</v>
      </c>
      <c r="B1288" s="85">
        <v>275</v>
      </c>
      <c r="C1288" s="85">
        <f t="shared" si="20"/>
        <v>1285</v>
      </c>
      <c r="D1288" s="85" t="s">
        <v>2379</v>
      </c>
    </row>
    <row r="1289" spans="1:4">
      <c r="A1289" s="85">
        <v>101</v>
      </c>
      <c r="B1289" s="85">
        <v>275</v>
      </c>
      <c r="C1289" s="85">
        <f t="shared" si="20"/>
        <v>1286</v>
      </c>
      <c r="D1289" s="85" t="s">
        <v>2380</v>
      </c>
    </row>
    <row r="1290" spans="1:4">
      <c r="A1290" s="85">
        <v>101</v>
      </c>
      <c r="B1290" s="85">
        <v>275</v>
      </c>
      <c r="C1290" s="85">
        <f t="shared" si="20"/>
        <v>1287</v>
      </c>
      <c r="D1290" s="85" t="s">
        <v>2381</v>
      </c>
    </row>
    <row r="1291" spans="1:4">
      <c r="A1291" s="85">
        <v>101</v>
      </c>
      <c r="B1291" s="85">
        <v>275</v>
      </c>
      <c r="C1291" s="85">
        <f t="shared" si="20"/>
        <v>1288</v>
      </c>
      <c r="D1291" s="85" t="s">
        <v>2382</v>
      </c>
    </row>
    <row r="1292" spans="1:4">
      <c r="A1292" s="85">
        <v>101</v>
      </c>
      <c r="B1292" s="85">
        <v>275</v>
      </c>
      <c r="C1292" s="85">
        <f t="shared" si="20"/>
        <v>1289</v>
      </c>
      <c r="D1292" s="85" t="s">
        <v>2383</v>
      </c>
    </row>
    <row r="1293" spans="1:4">
      <c r="A1293" s="85">
        <v>102</v>
      </c>
      <c r="B1293" s="85">
        <v>276</v>
      </c>
      <c r="C1293" s="85">
        <f t="shared" si="20"/>
        <v>1290</v>
      </c>
      <c r="D1293" s="85" t="s">
        <v>2384</v>
      </c>
    </row>
    <row r="1294" spans="1:4">
      <c r="A1294" s="85">
        <v>102</v>
      </c>
      <c r="B1294" s="85">
        <v>276</v>
      </c>
      <c r="C1294" s="85">
        <f t="shared" si="20"/>
        <v>1291</v>
      </c>
      <c r="D1294" s="85" t="s">
        <v>2385</v>
      </c>
    </row>
    <row r="1295" spans="1:4">
      <c r="A1295" s="85">
        <v>102</v>
      </c>
      <c r="B1295" s="85">
        <v>276</v>
      </c>
      <c r="C1295" s="85">
        <f t="shared" si="20"/>
        <v>1292</v>
      </c>
      <c r="D1295" s="85" t="s">
        <v>2386</v>
      </c>
    </row>
    <row r="1296" spans="1:4">
      <c r="A1296" s="85">
        <v>102</v>
      </c>
      <c r="B1296" s="85">
        <v>276</v>
      </c>
      <c r="C1296" s="85">
        <f t="shared" si="20"/>
        <v>1293</v>
      </c>
      <c r="D1296" s="85" t="s">
        <v>2387</v>
      </c>
    </row>
    <row r="1297" spans="1:4">
      <c r="A1297" s="85">
        <v>102</v>
      </c>
      <c r="B1297" s="85">
        <v>276</v>
      </c>
      <c r="C1297" s="85">
        <f t="shared" si="20"/>
        <v>1294</v>
      </c>
      <c r="D1297" s="85" t="s">
        <v>2388</v>
      </c>
    </row>
    <row r="1298" spans="1:4">
      <c r="A1298" s="85">
        <v>102</v>
      </c>
      <c r="B1298" s="85">
        <v>276</v>
      </c>
      <c r="C1298" s="85">
        <f t="shared" si="20"/>
        <v>1295</v>
      </c>
      <c r="D1298" s="85" t="s">
        <v>2389</v>
      </c>
    </row>
    <row r="1299" spans="1:4">
      <c r="A1299" s="85">
        <v>102</v>
      </c>
      <c r="B1299" s="85">
        <v>276</v>
      </c>
      <c r="C1299" s="85">
        <f t="shared" si="20"/>
        <v>1296</v>
      </c>
      <c r="D1299" s="85" t="s">
        <v>2390</v>
      </c>
    </row>
    <row r="1300" spans="1:4">
      <c r="A1300" s="85">
        <v>102</v>
      </c>
      <c r="B1300" s="85">
        <v>276</v>
      </c>
      <c r="C1300" s="85">
        <f t="shared" si="20"/>
        <v>1297</v>
      </c>
      <c r="D1300" s="85" t="s">
        <v>2391</v>
      </c>
    </row>
    <row r="1301" spans="1:4">
      <c r="A1301" s="85">
        <v>102</v>
      </c>
      <c r="B1301" s="85">
        <v>277</v>
      </c>
      <c r="C1301" s="85">
        <f t="shared" si="20"/>
        <v>1298</v>
      </c>
      <c r="D1301" s="85" t="s">
        <v>2392</v>
      </c>
    </row>
    <row r="1302" spans="1:4">
      <c r="A1302" s="85">
        <v>102</v>
      </c>
      <c r="B1302" s="85">
        <v>277</v>
      </c>
      <c r="C1302" s="85">
        <f t="shared" si="20"/>
        <v>1299</v>
      </c>
      <c r="D1302" s="85" t="s">
        <v>2393</v>
      </c>
    </row>
    <row r="1303" spans="1:4">
      <c r="A1303" s="85">
        <v>102</v>
      </c>
      <c r="B1303" s="85">
        <v>277</v>
      </c>
      <c r="C1303" s="85">
        <f t="shared" si="20"/>
        <v>1300</v>
      </c>
      <c r="D1303" s="85" t="s">
        <v>2394</v>
      </c>
    </row>
    <row r="1304" spans="1:4">
      <c r="A1304" s="85">
        <v>102</v>
      </c>
      <c r="B1304" s="85">
        <v>277</v>
      </c>
      <c r="C1304" s="85">
        <f t="shared" si="20"/>
        <v>1301</v>
      </c>
      <c r="D1304" s="85" t="s">
        <v>2395</v>
      </c>
    </row>
    <row r="1305" spans="1:4">
      <c r="A1305" s="85">
        <v>102</v>
      </c>
      <c r="B1305" s="85">
        <v>278</v>
      </c>
      <c r="C1305" s="85">
        <f t="shared" si="20"/>
        <v>1302</v>
      </c>
      <c r="D1305" s="85" t="s">
        <v>2396</v>
      </c>
    </row>
    <row r="1306" spans="1:4">
      <c r="A1306" s="85">
        <v>102</v>
      </c>
      <c r="B1306" s="85">
        <v>278</v>
      </c>
      <c r="C1306" s="85">
        <f t="shared" si="20"/>
        <v>1303</v>
      </c>
      <c r="D1306" s="85" t="s">
        <v>2397</v>
      </c>
    </row>
    <row r="1307" spans="1:4">
      <c r="A1307" s="85">
        <v>102</v>
      </c>
      <c r="B1307" s="85">
        <v>278</v>
      </c>
      <c r="C1307" s="85">
        <f t="shared" si="20"/>
        <v>1304</v>
      </c>
      <c r="D1307" s="85" t="s">
        <v>2398</v>
      </c>
    </row>
    <row r="1308" spans="1:4">
      <c r="A1308" s="85">
        <v>103</v>
      </c>
      <c r="B1308" s="85">
        <v>279</v>
      </c>
      <c r="C1308" s="85">
        <f t="shared" si="20"/>
        <v>1305</v>
      </c>
      <c r="D1308" s="85" t="s">
        <v>2399</v>
      </c>
    </row>
    <row r="1309" spans="1:4">
      <c r="A1309" s="85">
        <v>103</v>
      </c>
      <c r="B1309" s="85">
        <v>279</v>
      </c>
      <c r="C1309" s="85">
        <f t="shared" si="20"/>
        <v>1306</v>
      </c>
      <c r="D1309" s="85" t="s">
        <v>2400</v>
      </c>
    </row>
    <row r="1310" spans="1:4">
      <c r="A1310" s="85">
        <v>103</v>
      </c>
      <c r="B1310" s="85">
        <v>279</v>
      </c>
      <c r="C1310" s="85">
        <f t="shared" ref="C1310:C1373" si="21">C1309+1</f>
        <v>1307</v>
      </c>
      <c r="D1310" s="85" t="s">
        <v>2401</v>
      </c>
    </row>
    <row r="1311" spans="1:4">
      <c r="A1311" s="85">
        <v>103</v>
      </c>
      <c r="B1311" s="85">
        <v>279</v>
      </c>
      <c r="C1311" s="85">
        <f t="shared" si="21"/>
        <v>1308</v>
      </c>
      <c r="D1311" s="85" t="s">
        <v>2402</v>
      </c>
    </row>
    <row r="1312" spans="1:4">
      <c r="A1312" s="85">
        <v>103</v>
      </c>
      <c r="B1312" s="85">
        <v>280</v>
      </c>
      <c r="C1312" s="85">
        <f t="shared" si="21"/>
        <v>1309</v>
      </c>
      <c r="D1312" s="85" t="s">
        <v>2403</v>
      </c>
    </row>
    <row r="1313" spans="1:4">
      <c r="A1313" s="85">
        <v>103</v>
      </c>
      <c r="B1313" s="85">
        <v>280</v>
      </c>
      <c r="C1313" s="85">
        <f t="shared" si="21"/>
        <v>1310</v>
      </c>
      <c r="D1313" s="85" t="s">
        <v>2404</v>
      </c>
    </row>
    <row r="1314" spans="1:4">
      <c r="A1314" s="85">
        <v>103</v>
      </c>
      <c r="B1314" s="85">
        <v>280</v>
      </c>
      <c r="C1314" s="85">
        <f t="shared" si="21"/>
        <v>1311</v>
      </c>
      <c r="D1314" s="85" t="s">
        <v>2405</v>
      </c>
    </row>
    <row r="1315" spans="1:4">
      <c r="A1315" s="85">
        <v>104</v>
      </c>
      <c r="B1315" s="85">
        <v>281</v>
      </c>
      <c r="C1315" s="85">
        <f t="shared" si="21"/>
        <v>1312</v>
      </c>
      <c r="D1315" s="85" t="s">
        <v>2406</v>
      </c>
    </row>
    <row r="1316" spans="1:4">
      <c r="A1316" s="85">
        <v>104</v>
      </c>
      <c r="B1316" s="85">
        <v>281</v>
      </c>
      <c r="C1316" s="85">
        <f t="shared" si="21"/>
        <v>1313</v>
      </c>
      <c r="D1316" s="85" t="s">
        <v>2407</v>
      </c>
    </row>
    <row r="1317" spans="1:4">
      <c r="A1317" s="85">
        <v>104</v>
      </c>
      <c r="B1317" s="85">
        <v>281</v>
      </c>
      <c r="C1317" s="85">
        <f t="shared" si="21"/>
        <v>1314</v>
      </c>
      <c r="D1317" s="85" t="s">
        <v>2408</v>
      </c>
    </row>
    <row r="1318" spans="1:4">
      <c r="A1318" s="85">
        <v>104</v>
      </c>
      <c r="B1318" s="85">
        <v>281</v>
      </c>
      <c r="C1318" s="85">
        <f t="shared" si="21"/>
        <v>1315</v>
      </c>
      <c r="D1318" s="85" t="s">
        <v>2409</v>
      </c>
    </row>
    <row r="1319" spans="1:4">
      <c r="A1319" s="85">
        <v>104</v>
      </c>
      <c r="B1319" s="85">
        <v>281</v>
      </c>
      <c r="C1319" s="85">
        <f t="shared" si="21"/>
        <v>1316</v>
      </c>
      <c r="D1319" s="85" t="s">
        <v>2410</v>
      </c>
    </row>
    <row r="1320" spans="1:4">
      <c r="A1320" s="85">
        <v>104</v>
      </c>
      <c r="B1320" s="85">
        <v>281</v>
      </c>
      <c r="C1320" s="85">
        <f t="shared" si="21"/>
        <v>1317</v>
      </c>
      <c r="D1320" s="85" t="s">
        <v>2411</v>
      </c>
    </row>
    <row r="1321" spans="1:4">
      <c r="A1321" s="85">
        <v>104</v>
      </c>
      <c r="B1321" s="85">
        <v>281</v>
      </c>
      <c r="C1321" s="85">
        <f t="shared" si="21"/>
        <v>1318</v>
      </c>
      <c r="D1321" s="85" t="s">
        <v>2412</v>
      </c>
    </row>
    <row r="1322" spans="1:4">
      <c r="A1322" s="85">
        <v>104</v>
      </c>
      <c r="B1322" s="85">
        <v>281</v>
      </c>
      <c r="C1322" s="85">
        <f t="shared" si="21"/>
        <v>1319</v>
      </c>
      <c r="D1322" s="85" t="s">
        <v>2413</v>
      </c>
    </row>
    <row r="1323" spans="1:4">
      <c r="A1323" s="85">
        <v>104</v>
      </c>
      <c r="B1323" s="85">
        <v>281</v>
      </c>
      <c r="C1323" s="85">
        <f t="shared" si="21"/>
        <v>1320</v>
      </c>
      <c r="D1323" s="85" t="s">
        <v>2414</v>
      </c>
    </row>
    <row r="1324" spans="1:4">
      <c r="A1324" s="85">
        <v>104</v>
      </c>
      <c r="B1324" s="85">
        <v>281</v>
      </c>
      <c r="C1324" s="85">
        <f t="shared" si="21"/>
        <v>1321</v>
      </c>
      <c r="D1324" s="85" t="s">
        <v>2415</v>
      </c>
    </row>
    <row r="1325" spans="1:4">
      <c r="A1325" s="85">
        <v>104</v>
      </c>
      <c r="B1325" s="85">
        <v>281</v>
      </c>
      <c r="C1325" s="85">
        <f t="shared" si="21"/>
        <v>1322</v>
      </c>
      <c r="D1325" s="85" t="s">
        <v>2416</v>
      </c>
    </row>
    <row r="1326" spans="1:4">
      <c r="A1326" s="85">
        <v>104</v>
      </c>
      <c r="B1326" s="85">
        <v>281</v>
      </c>
      <c r="C1326" s="85">
        <f t="shared" si="21"/>
        <v>1323</v>
      </c>
      <c r="D1326" s="85" t="s">
        <v>2417</v>
      </c>
    </row>
    <row r="1327" spans="1:4">
      <c r="A1327" s="85">
        <v>104</v>
      </c>
      <c r="B1327" s="85">
        <v>281</v>
      </c>
      <c r="C1327" s="85">
        <f t="shared" si="21"/>
        <v>1324</v>
      </c>
      <c r="D1327" s="85" t="s">
        <v>2418</v>
      </c>
    </row>
    <row r="1328" spans="1:4">
      <c r="A1328" s="85">
        <v>104</v>
      </c>
      <c r="B1328" s="85">
        <v>281</v>
      </c>
      <c r="C1328" s="85">
        <f t="shared" si="21"/>
        <v>1325</v>
      </c>
      <c r="D1328" s="85" t="s">
        <v>2419</v>
      </c>
    </row>
    <row r="1329" spans="1:4">
      <c r="A1329" s="85">
        <v>104</v>
      </c>
      <c r="B1329" s="85">
        <v>281</v>
      </c>
      <c r="C1329" s="85">
        <f t="shared" si="21"/>
        <v>1326</v>
      </c>
      <c r="D1329" s="85" t="s">
        <v>2420</v>
      </c>
    </row>
    <row r="1330" spans="1:4">
      <c r="A1330" s="85">
        <v>104</v>
      </c>
      <c r="B1330" s="85">
        <v>281</v>
      </c>
      <c r="C1330" s="85">
        <f t="shared" si="21"/>
        <v>1327</v>
      </c>
      <c r="D1330" s="85" t="s">
        <v>2421</v>
      </c>
    </row>
    <row r="1331" spans="1:4">
      <c r="A1331" s="85">
        <v>104</v>
      </c>
      <c r="B1331" s="85">
        <v>281</v>
      </c>
      <c r="C1331" s="85">
        <f t="shared" si="21"/>
        <v>1328</v>
      </c>
      <c r="D1331" s="85" t="s">
        <v>2422</v>
      </c>
    </row>
    <row r="1332" spans="1:4">
      <c r="A1332" s="85">
        <v>105</v>
      </c>
      <c r="B1332" s="85">
        <v>282</v>
      </c>
      <c r="C1332" s="85">
        <f t="shared" si="21"/>
        <v>1329</v>
      </c>
      <c r="D1332" s="85" t="s">
        <v>2423</v>
      </c>
    </row>
    <row r="1333" spans="1:4">
      <c r="A1333" s="85">
        <v>105</v>
      </c>
      <c r="B1333" s="85">
        <v>282</v>
      </c>
      <c r="C1333" s="85">
        <f t="shared" si="21"/>
        <v>1330</v>
      </c>
      <c r="D1333" s="85" t="s">
        <v>2424</v>
      </c>
    </row>
    <row r="1334" spans="1:4">
      <c r="A1334" s="85">
        <v>105</v>
      </c>
      <c r="B1334" s="85">
        <v>282</v>
      </c>
      <c r="C1334" s="85">
        <f t="shared" si="21"/>
        <v>1331</v>
      </c>
      <c r="D1334" s="85" t="s">
        <v>2425</v>
      </c>
    </row>
    <row r="1335" spans="1:4">
      <c r="A1335" s="85">
        <v>105</v>
      </c>
      <c r="B1335" s="85">
        <v>282</v>
      </c>
      <c r="C1335" s="85">
        <f t="shared" si="21"/>
        <v>1332</v>
      </c>
      <c r="D1335" s="85" t="s">
        <v>2426</v>
      </c>
    </row>
    <row r="1336" spans="1:4">
      <c r="A1336" s="85">
        <v>105</v>
      </c>
      <c r="B1336" s="85">
        <v>283</v>
      </c>
      <c r="C1336" s="85">
        <f t="shared" si="21"/>
        <v>1333</v>
      </c>
      <c r="D1336" s="85" t="s">
        <v>2427</v>
      </c>
    </row>
    <row r="1337" spans="1:4">
      <c r="A1337" s="85">
        <v>105</v>
      </c>
      <c r="B1337" s="85">
        <v>283</v>
      </c>
      <c r="C1337" s="85">
        <f t="shared" si="21"/>
        <v>1334</v>
      </c>
      <c r="D1337" s="85" t="s">
        <v>2428</v>
      </c>
    </row>
    <row r="1338" spans="1:4">
      <c r="A1338" s="85">
        <v>105</v>
      </c>
      <c r="B1338" s="85">
        <v>283</v>
      </c>
      <c r="C1338" s="85">
        <f t="shared" si="21"/>
        <v>1335</v>
      </c>
      <c r="D1338" s="85" t="s">
        <v>2429</v>
      </c>
    </row>
    <row r="1339" spans="1:4">
      <c r="A1339" s="85">
        <v>105</v>
      </c>
      <c r="B1339" s="85">
        <v>283</v>
      </c>
      <c r="C1339" s="85">
        <f t="shared" si="21"/>
        <v>1336</v>
      </c>
      <c r="D1339" s="85" t="s">
        <v>2430</v>
      </c>
    </row>
    <row r="1340" spans="1:4">
      <c r="A1340" s="85">
        <v>105</v>
      </c>
      <c r="B1340" s="85">
        <v>283</v>
      </c>
      <c r="C1340" s="85">
        <f t="shared" si="21"/>
        <v>1337</v>
      </c>
      <c r="D1340" s="85" t="s">
        <v>2431</v>
      </c>
    </row>
    <row r="1341" spans="1:4">
      <c r="A1341" s="85">
        <v>105</v>
      </c>
      <c r="B1341" s="85">
        <v>284</v>
      </c>
      <c r="C1341" s="85">
        <f t="shared" si="21"/>
        <v>1338</v>
      </c>
      <c r="D1341" s="85" t="s">
        <v>2432</v>
      </c>
    </row>
    <row r="1342" spans="1:4">
      <c r="A1342" s="85">
        <v>105</v>
      </c>
      <c r="B1342" s="85">
        <v>284</v>
      </c>
      <c r="C1342" s="85">
        <f t="shared" si="21"/>
        <v>1339</v>
      </c>
      <c r="D1342" s="85" t="s">
        <v>2433</v>
      </c>
    </row>
    <row r="1343" spans="1:4">
      <c r="A1343" s="85">
        <v>105</v>
      </c>
      <c r="B1343" s="85">
        <v>284</v>
      </c>
      <c r="C1343" s="85">
        <f t="shared" si="21"/>
        <v>1340</v>
      </c>
      <c r="D1343" s="85" t="s">
        <v>2434</v>
      </c>
    </row>
    <row r="1344" spans="1:4">
      <c r="A1344" s="85">
        <v>105</v>
      </c>
      <c r="B1344" s="85">
        <v>284</v>
      </c>
      <c r="C1344" s="85">
        <f t="shared" si="21"/>
        <v>1341</v>
      </c>
      <c r="D1344" s="85" t="s">
        <v>2435</v>
      </c>
    </row>
    <row r="1345" spans="1:4">
      <c r="A1345" s="85">
        <v>105</v>
      </c>
      <c r="B1345" s="85">
        <v>284</v>
      </c>
      <c r="C1345" s="85">
        <f t="shared" si="21"/>
        <v>1342</v>
      </c>
      <c r="D1345" s="85" t="s">
        <v>2436</v>
      </c>
    </row>
    <row r="1346" spans="1:4">
      <c r="A1346" s="85">
        <v>105</v>
      </c>
      <c r="B1346" s="85">
        <v>284</v>
      </c>
      <c r="C1346" s="85">
        <f t="shared" si="21"/>
        <v>1343</v>
      </c>
      <c r="D1346" s="85" t="s">
        <v>2437</v>
      </c>
    </row>
    <row r="1347" spans="1:4">
      <c r="A1347" s="85">
        <v>105</v>
      </c>
      <c r="B1347" s="85">
        <v>284</v>
      </c>
      <c r="C1347" s="85">
        <f t="shared" si="21"/>
        <v>1344</v>
      </c>
      <c r="D1347" s="85" t="s">
        <v>2438</v>
      </c>
    </row>
    <row r="1348" spans="1:4">
      <c r="A1348" s="85">
        <v>106</v>
      </c>
      <c r="B1348" s="85">
        <v>285</v>
      </c>
      <c r="C1348" s="85">
        <f t="shared" si="21"/>
        <v>1345</v>
      </c>
      <c r="D1348" s="85" t="s">
        <v>2439</v>
      </c>
    </row>
    <row r="1349" spans="1:4">
      <c r="A1349" s="85">
        <v>106</v>
      </c>
      <c r="B1349" s="85">
        <v>285</v>
      </c>
      <c r="C1349" s="85">
        <f t="shared" si="21"/>
        <v>1346</v>
      </c>
      <c r="D1349" s="85" t="s">
        <v>2440</v>
      </c>
    </row>
    <row r="1350" spans="1:4">
      <c r="A1350" s="85">
        <v>106</v>
      </c>
      <c r="B1350" s="85">
        <v>285</v>
      </c>
      <c r="C1350" s="85">
        <f t="shared" si="21"/>
        <v>1347</v>
      </c>
      <c r="D1350" s="85" t="s">
        <v>2441</v>
      </c>
    </row>
    <row r="1351" spans="1:4">
      <c r="A1351" s="85">
        <v>106</v>
      </c>
      <c r="B1351" s="85">
        <v>286</v>
      </c>
      <c r="C1351" s="85">
        <f t="shared" si="21"/>
        <v>1348</v>
      </c>
      <c r="D1351" s="85" t="s">
        <v>2442</v>
      </c>
    </row>
    <row r="1352" spans="1:4">
      <c r="A1352" s="85">
        <v>106</v>
      </c>
      <c r="B1352" s="85">
        <v>286</v>
      </c>
      <c r="C1352" s="85">
        <f t="shared" si="21"/>
        <v>1349</v>
      </c>
      <c r="D1352" s="85" t="s">
        <v>2443</v>
      </c>
    </row>
    <row r="1353" spans="1:4">
      <c r="A1353" s="85">
        <v>106</v>
      </c>
      <c r="B1353" s="85">
        <v>286</v>
      </c>
      <c r="C1353" s="85">
        <f t="shared" si="21"/>
        <v>1350</v>
      </c>
      <c r="D1353" s="85" t="s">
        <v>2444</v>
      </c>
    </row>
    <row r="1354" spans="1:4">
      <c r="A1354" s="85">
        <v>106</v>
      </c>
      <c r="B1354" s="85">
        <v>286</v>
      </c>
      <c r="C1354" s="85">
        <f t="shared" si="21"/>
        <v>1351</v>
      </c>
      <c r="D1354" s="85" t="s">
        <v>2445</v>
      </c>
    </row>
    <row r="1355" spans="1:4">
      <c r="A1355" s="85">
        <v>106</v>
      </c>
      <c r="B1355" s="85">
        <v>286</v>
      </c>
      <c r="C1355" s="85">
        <f t="shared" si="21"/>
        <v>1352</v>
      </c>
      <c r="D1355" s="85" t="s">
        <v>2446</v>
      </c>
    </row>
    <row r="1356" spans="1:4">
      <c r="A1356" s="85">
        <v>106</v>
      </c>
      <c r="B1356" s="85">
        <v>287</v>
      </c>
      <c r="C1356" s="85">
        <f t="shared" si="21"/>
        <v>1353</v>
      </c>
      <c r="D1356" s="85" t="s">
        <v>2447</v>
      </c>
    </row>
    <row r="1357" spans="1:4">
      <c r="A1357" s="85">
        <v>106</v>
      </c>
      <c r="B1357" s="85">
        <v>287</v>
      </c>
      <c r="C1357" s="85">
        <f t="shared" si="21"/>
        <v>1354</v>
      </c>
      <c r="D1357" s="85" t="s">
        <v>2448</v>
      </c>
    </row>
    <row r="1358" spans="1:4">
      <c r="A1358" s="85">
        <v>106</v>
      </c>
      <c r="B1358" s="85">
        <v>287</v>
      </c>
      <c r="C1358" s="85">
        <f t="shared" si="21"/>
        <v>1355</v>
      </c>
      <c r="D1358" s="85" t="s">
        <v>2449</v>
      </c>
    </row>
    <row r="1359" spans="1:4">
      <c r="A1359" s="85">
        <v>106</v>
      </c>
      <c r="B1359" s="85">
        <v>287</v>
      </c>
      <c r="C1359" s="85">
        <f t="shared" si="21"/>
        <v>1356</v>
      </c>
      <c r="D1359" s="85" t="s">
        <v>2450</v>
      </c>
    </row>
    <row r="1360" spans="1:4">
      <c r="A1360" s="85">
        <v>106</v>
      </c>
      <c r="B1360" s="85">
        <v>287</v>
      </c>
      <c r="C1360" s="85">
        <f t="shared" si="21"/>
        <v>1357</v>
      </c>
      <c r="D1360" s="85" t="s">
        <v>2451</v>
      </c>
    </row>
    <row r="1361" spans="1:4">
      <c r="A1361" s="85">
        <v>107</v>
      </c>
      <c r="B1361" s="85">
        <v>288</v>
      </c>
      <c r="C1361" s="85">
        <f t="shared" si="21"/>
        <v>1358</v>
      </c>
      <c r="D1361" s="85" t="s">
        <v>2452</v>
      </c>
    </row>
    <row r="1362" spans="1:4">
      <c r="A1362" s="85">
        <v>107</v>
      </c>
      <c r="B1362" s="85">
        <v>288</v>
      </c>
      <c r="C1362" s="85">
        <f t="shared" si="21"/>
        <v>1359</v>
      </c>
      <c r="D1362" s="85" t="s">
        <v>2453</v>
      </c>
    </row>
    <row r="1363" spans="1:4">
      <c r="A1363" s="85">
        <v>107</v>
      </c>
      <c r="B1363" s="85">
        <v>288</v>
      </c>
      <c r="C1363" s="85">
        <f t="shared" si="21"/>
        <v>1360</v>
      </c>
      <c r="D1363" s="85" t="s">
        <v>2454</v>
      </c>
    </row>
    <row r="1364" spans="1:4">
      <c r="A1364" s="85">
        <v>107</v>
      </c>
      <c r="B1364" s="85">
        <v>288</v>
      </c>
      <c r="C1364" s="85">
        <f t="shared" si="21"/>
        <v>1361</v>
      </c>
      <c r="D1364" s="85" t="s">
        <v>2455</v>
      </c>
    </row>
    <row r="1365" spans="1:4">
      <c r="A1365" s="85">
        <v>107</v>
      </c>
      <c r="B1365" s="85">
        <v>288</v>
      </c>
      <c r="C1365" s="85">
        <f t="shared" si="21"/>
        <v>1362</v>
      </c>
      <c r="D1365" s="85" t="s">
        <v>2456</v>
      </c>
    </row>
    <row r="1366" spans="1:4">
      <c r="A1366" s="85">
        <v>107</v>
      </c>
      <c r="B1366" s="85">
        <v>289</v>
      </c>
      <c r="C1366" s="85">
        <f t="shared" si="21"/>
        <v>1363</v>
      </c>
      <c r="D1366" s="85" t="s">
        <v>2457</v>
      </c>
    </row>
    <row r="1367" spans="1:4">
      <c r="A1367" s="85">
        <v>107</v>
      </c>
      <c r="B1367" s="85">
        <v>289</v>
      </c>
      <c r="C1367" s="85">
        <f t="shared" si="21"/>
        <v>1364</v>
      </c>
      <c r="D1367" s="85" t="s">
        <v>2458</v>
      </c>
    </row>
    <row r="1368" spans="1:4">
      <c r="A1368" s="85">
        <v>107</v>
      </c>
      <c r="B1368" s="85">
        <v>289</v>
      </c>
      <c r="C1368" s="85">
        <f t="shared" si="21"/>
        <v>1365</v>
      </c>
      <c r="D1368" s="85" t="s">
        <v>2459</v>
      </c>
    </row>
    <row r="1369" spans="1:4">
      <c r="A1369" s="85">
        <v>107</v>
      </c>
      <c r="B1369" s="85">
        <v>289</v>
      </c>
      <c r="C1369" s="85">
        <f t="shared" si="21"/>
        <v>1366</v>
      </c>
      <c r="D1369" s="85" t="s">
        <v>2460</v>
      </c>
    </row>
    <row r="1370" spans="1:4">
      <c r="A1370" s="85">
        <v>107</v>
      </c>
      <c r="B1370" s="85">
        <v>290</v>
      </c>
      <c r="C1370" s="85">
        <f t="shared" si="21"/>
        <v>1367</v>
      </c>
      <c r="D1370" s="85" t="s">
        <v>2461</v>
      </c>
    </row>
    <row r="1371" spans="1:4">
      <c r="A1371" s="85">
        <v>107</v>
      </c>
      <c r="B1371" s="85">
        <v>290</v>
      </c>
      <c r="C1371" s="85">
        <f t="shared" si="21"/>
        <v>1368</v>
      </c>
      <c r="D1371" s="85" t="s">
        <v>2462</v>
      </c>
    </row>
    <row r="1372" spans="1:4">
      <c r="A1372" s="85">
        <v>107</v>
      </c>
      <c r="B1372" s="85">
        <v>290</v>
      </c>
      <c r="C1372" s="85">
        <f t="shared" si="21"/>
        <v>1369</v>
      </c>
      <c r="D1372" s="85" t="s">
        <v>2463</v>
      </c>
    </row>
    <row r="1373" spans="1:4">
      <c r="A1373" s="85">
        <v>107</v>
      </c>
      <c r="B1373" s="85">
        <v>290</v>
      </c>
      <c r="C1373" s="85">
        <f t="shared" si="21"/>
        <v>1370</v>
      </c>
      <c r="D1373" s="85" t="s">
        <v>2464</v>
      </c>
    </row>
    <row r="1374" spans="1:4">
      <c r="A1374" s="85">
        <v>107</v>
      </c>
      <c r="B1374" s="85">
        <v>290</v>
      </c>
      <c r="C1374" s="85">
        <f t="shared" ref="C1374:C1437" si="22">C1373+1</f>
        <v>1371</v>
      </c>
      <c r="D1374" s="85" t="s">
        <v>2465</v>
      </c>
    </row>
    <row r="1375" spans="1:4">
      <c r="A1375" s="85">
        <v>108</v>
      </c>
      <c r="B1375" s="85">
        <v>291</v>
      </c>
      <c r="C1375" s="85">
        <f t="shared" si="22"/>
        <v>1372</v>
      </c>
      <c r="D1375" s="85" t="s">
        <v>2466</v>
      </c>
    </row>
    <row r="1376" spans="1:4">
      <c r="A1376" s="85">
        <v>108</v>
      </c>
      <c r="B1376" s="85">
        <v>291</v>
      </c>
      <c r="C1376" s="85">
        <f t="shared" si="22"/>
        <v>1373</v>
      </c>
      <c r="D1376" s="85" t="s">
        <v>2467</v>
      </c>
    </row>
    <row r="1377" spans="1:4">
      <c r="A1377" s="85">
        <v>108</v>
      </c>
      <c r="B1377" s="85">
        <v>291</v>
      </c>
      <c r="C1377" s="85">
        <f t="shared" si="22"/>
        <v>1374</v>
      </c>
      <c r="D1377" s="85" t="s">
        <v>2468</v>
      </c>
    </row>
    <row r="1378" spans="1:4">
      <c r="A1378" s="85">
        <v>108</v>
      </c>
      <c r="B1378" s="85">
        <v>291</v>
      </c>
      <c r="C1378" s="85">
        <f t="shared" si="22"/>
        <v>1375</v>
      </c>
      <c r="D1378" s="85" t="s">
        <v>2469</v>
      </c>
    </row>
    <row r="1379" spans="1:4">
      <c r="A1379" s="85">
        <v>108</v>
      </c>
      <c r="B1379" s="85">
        <v>291</v>
      </c>
      <c r="C1379" s="85">
        <f t="shared" si="22"/>
        <v>1376</v>
      </c>
      <c r="D1379" s="85" t="s">
        <v>2470</v>
      </c>
    </row>
    <row r="1380" spans="1:4">
      <c r="A1380" s="85">
        <v>108</v>
      </c>
      <c r="B1380" s="85">
        <v>291</v>
      </c>
      <c r="C1380" s="85">
        <f t="shared" si="22"/>
        <v>1377</v>
      </c>
      <c r="D1380" s="85" t="s">
        <v>2471</v>
      </c>
    </row>
    <row r="1381" spans="1:4">
      <c r="A1381" s="85">
        <v>108</v>
      </c>
      <c r="B1381" s="85">
        <v>292</v>
      </c>
      <c r="C1381" s="85">
        <f t="shared" si="22"/>
        <v>1378</v>
      </c>
      <c r="D1381" s="85" t="s">
        <v>2472</v>
      </c>
    </row>
    <row r="1382" spans="1:4">
      <c r="A1382" s="85">
        <v>108</v>
      </c>
      <c r="B1382" s="85">
        <v>292</v>
      </c>
      <c r="C1382" s="85">
        <f t="shared" si="22"/>
        <v>1379</v>
      </c>
      <c r="D1382" s="85" t="s">
        <v>2473</v>
      </c>
    </row>
    <row r="1383" spans="1:4">
      <c r="A1383" s="85">
        <v>108</v>
      </c>
      <c r="B1383" s="85">
        <v>292</v>
      </c>
      <c r="C1383" s="85">
        <f t="shared" si="22"/>
        <v>1380</v>
      </c>
      <c r="D1383" s="85" t="s">
        <v>2474</v>
      </c>
    </row>
    <row r="1384" spans="1:4">
      <c r="A1384" s="85">
        <v>108</v>
      </c>
      <c r="B1384" s="85">
        <v>293</v>
      </c>
      <c r="C1384" s="85">
        <f t="shared" si="22"/>
        <v>1381</v>
      </c>
      <c r="D1384" s="85" t="s">
        <v>2475</v>
      </c>
    </row>
    <row r="1385" spans="1:4">
      <c r="A1385" s="85">
        <v>108</v>
      </c>
      <c r="B1385" s="85">
        <v>293</v>
      </c>
      <c r="C1385" s="85">
        <f t="shared" si="22"/>
        <v>1382</v>
      </c>
      <c r="D1385" s="85" t="s">
        <v>2476</v>
      </c>
    </row>
    <row r="1386" spans="1:4">
      <c r="A1386" s="85">
        <v>108</v>
      </c>
      <c r="B1386" s="85">
        <v>293</v>
      </c>
      <c r="C1386" s="85">
        <f t="shared" si="22"/>
        <v>1383</v>
      </c>
      <c r="D1386" s="85" t="s">
        <v>2477</v>
      </c>
    </row>
    <row r="1387" spans="1:4">
      <c r="A1387" s="85">
        <v>108</v>
      </c>
      <c r="B1387" s="85">
        <v>293</v>
      </c>
      <c r="C1387" s="85">
        <f t="shared" si="22"/>
        <v>1384</v>
      </c>
      <c r="D1387" s="85" t="s">
        <v>2478</v>
      </c>
    </row>
    <row r="1388" spans="1:4">
      <c r="A1388" s="85">
        <v>109</v>
      </c>
      <c r="B1388" s="85">
        <v>294</v>
      </c>
      <c r="C1388" s="85">
        <f t="shared" si="22"/>
        <v>1385</v>
      </c>
      <c r="D1388" s="85" t="s">
        <v>2479</v>
      </c>
    </row>
    <row r="1389" spans="1:4">
      <c r="A1389" s="85">
        <v>109</v>
      </c>
      <c r="B1389" s="85">
        <v>294</v>
      </c>
      <c r="C1389" s="85">
        <f t="shared" si="22"/>
        <v>1386</v>
      </c>
      <c r="D1389" s="85" t="s">
        <v>2480</v>
      </c>
    </row>
    <row r="1390" spans="1:4">
      <c r="A1390" s="85">
        <v>109</v>
      </c>
      <c r="B1390" s="85">
        <v>294</v>
      </c>
      <c r="C1390" s="85">
        <f t="shared" si="22"/>
        <v>1387</v>
      </c>
      <c r="D1390" s="85" t="s">
        <v>2481</v>
      </c>
    </row>
    <row r="1391" spans="1:4">
      <c r="A1391" s="85">
        <v>109</v>
      </c>
      <c r="B1391" s="85">
        <v>294</v>
      </c>
      <c r="C1391" s="85">
        <f t="shared" si="22"/>
        <v>1388</v>
      </c>
      <c r="D1391" s="85" t="s">
        <v>2482</v>
      </c>
    </row>
    <row r="1392" spans="1:4">
      <c r="A1392" s="85">
        <v>109</v>
      </c>
      <c r="B1392" s="85">
        <v>295</v>
      </c>
      <c r="C1392" s="85">
        <f t="shared" si="22"/>
        <v>1389</v>
      </c>
      <c r="D1392" s="85" t="s">
        <v>2483</v>
      </c>
    </row>
    <row r="1393" spans="1:4">
      <c r="A1393" s="85">
        <v>109</v>
      </c>
      <c r="B1393" s="85">
        <v>295</v>
      </c>
      <c r="C1393" s="85">
        <f t="shared" si="22"/>
        <v>1390</v>
      </c>
      <c r="D1393" s="85" t="s">
        <v>2484</v>
      </c>
    </row>
    <row r="1394" spans="1:4">
      <c r="A1394" s="85">
        <v>109</v>
      </c>
      <c r="B1394" s="85">
        <v>295</v>
      </c>
      <c r="C1394" s="85">
        <f t="shared" si="22"/>
        <v>1391</v>
      </c>
      <c r="D1394" s="85" t="s">
        <v>2485</v>
      </c>
    </row>
    <row r="1395" spans="1:4">
      <c r="A1395" s="85">
        <v>109</v>
      </c>
      <c r="B1395" s="85">
        <v>295</v>
      </c>
      <c r="C1395" s="85">
        <f t="shared" si="22"/>
        <v>1392</v>
      </c>
      <c r="D1395" s="85" t="s">
        <v>2486</v>
      </c>
    </row>
    <row r="1396" spans="1:4">
      <c r="A1396" s="85">
        <v>109</v>
      </c>
      <c r="B1396" s="85">
        <v>296</v>
      </c>
      <c r="C1396" s="85">
        <f t="shared" si="22"/>
        <v>1393</v>
      </c>
      <c r="D1396" s="85" t="s">
        <v>2487</v>
      </c>
    </row>
    <row r="1397" spans="1:4">
      <c r="A1397" s="85">
        <v>109</v>
      </c>
      <c r="B1397" s="85">
        <v>296</v>
      </c>
      <c r="C1397" s="85">
        <f t="shared" si="22"/>
        <v>1394</v>
      </c>
      <c r="D1397" s="85" t="s">
        <v>2488</v>
      </c>
    </row>
    <row r="1398" spans="1:4">
      <c r="A1398" s="85">
        <v>109</v>
      </c>
      <c r="B1398" s="85">
        <v>296</v>
      </c>
      <c r="C1398" s="85">
        <f t="shared" si="22"/>
        <v>1395</v>
      </c>
      <c r="D1398" s="85" t="s">
        <v>2489</v>
      </c>
    </row>
    <row r="1399" spans="1:4">
      <c r="A1399" s="85">
        <v>109</v>
      </c>
      <c r="B1399" s="85">
        <v>296</v>
      </c>
      <c r="C1399" s="85">
        <f t="shared" si="22"/>
        <v>1396</v>
      </c>
      <c r="D1399" s="85" t="s">
        <v>2490</v>
      </c>
    </row>
    <row r="1400" spans="1:4">
      <c r="A1400" s="85">
        <v>109</v>
      </c>
      <c r="B1400" s="85">
        <v>296</v>
      </c>
      <c r="C1400" s="85">
        <f t="shared" si="22"/>
        <v>1397</v>
      </c>
      <c r="D1400" s="85" t="s">
        <v>2491</v>
      </c>
    </row>
    <row r="1401" spans="1:4">
      <c r="A1401" s="85">
        <v>110</v>
      </c>
      <c r="B1401" s="85">
        <v>297</v>
      </c>
      <c r="C1401" s="85">
        <f t="shared" si="22"/>
        <v>1398</v>
      </c>
      <c r="D1401" s="85" t="s">
        <v>2492</v>
      </c>
    </row>
    <row r="1402" spans="1:4">
      <c r="A1402" s="85">
        <v>110</v>
      </c>
      <c r="B1402" s="85">
        <v>297</v>
      </c>
      <c r="C1402" s="85">
        <f t="shared" si="22"/>
        <v>1399</v>
      </c>
      <c r="D1402" s="85" t="s">
        <v>2493</v>
      </c>
    </row>
    <row r="1403" spans="1:4">
      <c r="A1403" s="85">
        <v>110</v>
      </c>
      <c r="B1403" s="85">
        <v>298</v>
      </c>
      <c r="C1403" s="85">
        <f t="shared" si="22"/>
        <v>1400</v>
      </c>
      <c r="D1403" s="85" t="s">
        <v>2494</v>
      </c>
    </row>
    <row r="1404" spans="1:4">
      <c r="A1404" s="85">
        <v>110</v>
      </c>
      <c r="B1404" s="85">
        <v>298</v>
      </c>
      <c r="C1404" s="85">
        <f t="shared" si="22"/>
        <v>1401</v>
      </c>
      <c r="D1404" s="85" t="s">
        <v>2495</v>
      </c>
    </row>
    <row r="1405" spans="1:4">
      <c r="A1405" s="85">
        <v>110</v>
      </c>
      <c r="B1405" s="85">
        <v>298</v>
      </c>
      <c r="C1405" s="85">
        <f t="shared" si="22"/>
        <v>1402</v>
      </c>
      <c r="D1405" s="85" t="s">
        <v>2496</v>
      </c>
    </row>
    <row r="1406" spans="1:4">
      <c r="A1406" s="85">
        <v>110</v>
      </c>
      <c r="B1406" s="85">
        <v>298</v>
      </c>
      <c r="C1406" s="85">
        <f t="shared" si="22"/>
        <v>1403</v>
      </c>
      <c r="D1406" s="85" t="s">
        <v>2497</v>
      </c>
    </row>
    <row r="1407" spans="1:4">
      <c r="A1407" s="85">
        <v>110</v>
      </c>
      <c r="B1407" s="85">
        <v>298</v>
      </c>
      <c r="C1407" s="85">
        <f t="shared" si="22"/>
        <v>1404</v>
      </c>
      <c r="D1407" s="85" t="s">
        <v>2498</v>
      </c>
    </row>
    <row r="1408" spans="1:4">
      <c r="A1408" s="85">
        <v>110</v>
      </c>
      <c r="B1408" s="85">
        <v>299</v>
      </c>
      <c r="C1408" s="85">
        <f t="shared" si="22"/>
        <v>1405</v>
      </c>
      <c r="D1408" s="85" t="s">
        <v>2499</v>
      </c>
    </row>
    <row r="1409" spans="1:4">
      <c r="A1409" s="85">
        <v>110</v>
      </c>
      <c r="B1409" s="85">
        <v>299</v>
      </c>
      <c r="C1409" s="85">
        <f t="shared" si="22"/>
        <v>1406</v>
      </c>
      <c r="D1409" s="85" t="s">
        <v>2500</v>
      </c>
    </row>
    <row r="1410" spans="1:4">
      <c r="A1410" s="85">
        <v>110</v>
      </c>
      <c r="B1410" s="85">
        <v>299</v>
      </c>
      <c r="C1410" s="85">
        <f t="shared" si="22"/>
        <v>1407</v>
      </c>
      <c r="D1410" s="85" t="s">
        <v>2501</v>
      </c>
    </row>
    <row r="1411" spans="1:4">
      <c r="A1411" s="85">
        <v>110</v>
      </c>
      <c r="B1411" s="85">
        <v>299</v>
      </c>
      <c r="C1411" s="85">
        <f t="shared" si="22"/>
        <v>1408</v>
      </c>
      <c r="D1411" s="85" t="s">
        <v>2502</v>
      </c>
    </row>
    <row r="1412" spans="1:4">
      <c r="A1412" s="85">
        <v>111</v>
      </c>
      <c r="B1412" s="85">
        <v>300</v>
      </c>
      <c r="C1412" s="85">
        <f t="shared" si="22"/>
        <v>1409</v>
      </c>
      <c r="D1412" s="85" t="s">
        <v>2503</v>
      </c>
    </row>
    <row r="1413" spans="1:4">
      <c r="A1413" s="85">
        <v>111</v>
      </c>
      <c r="B1413" s="85">
        <v>300</v>
      </c>
      <c r="C1413" s="85">
        <f t="shared" si="22"/>
        <v>1410</v>
      </c>
      <c r="D1413" s="85" t="s">
        <v>2504</v>
      </c>
    </row>
    <row r="1414" spans="1:4">
      <c r="A1414" s="85">
        <v>111</v>
      </c>
      <c r="B1414" s="85">
        <v>300</v>
      </c>
      <c r="C1414" s="85">
        <f t="shared" si="22"/>
        <v>1411</v>
      </c>
      <c r="D1414" s="85" t="s">
        <v>2505</v>
      </c>
    </row>
    <row r="1415" spans="1:4">
      <c r="A1415" s="85">
        <v>111</v>
      </c>
      <c r="B1415" s="85">
        <v>300</v>
      </c>
      <c r="C1415" s="85">
        <f t="shared" si="22"/>
        <v>1412</v>
      </c>
      <c r="D1415" s="85" t="s">
        <v>2506</v>
      </c>
    </row>
    <row r="1416" spans="1:4">
      <c r="A1416" s="85">
        <v>111</v>
      </c>
      <c r="B1416" s="85">
        <v>300</v>
      </c>
      <c r="C1416" s="85">
        <f t="shared" si="22"/>
        <v>1413</v>
      </c>
      <c r="D1416" s="85" t="s">
        <v>2507</v>
      </c>
    </row>
    <row r="1417" spans="1:4">
      <c r="A1417" s="85">
        <v>111</v>
      </c>
      <c r="B1417" s="85">
        <v>300</v>
      </c>
      <c r="C1417" s="85">
        <f t="shared" si="22"/>
        <v>1414</v>
      </c>
      <c r="D1417" s="85" t="s">
        <v>2508</v>
      </c>
    </row>
    <row r="1418" spans="1:4">
      <c r="A1418" s="85">
        <v>111</v>
      </c>
      <c r="B1418" s="85">
        <v>301</v>
      </c>
      <c r="C1418" s="85">
        <f t="shared" si="22"/>
        <v>1415</v>
      </c>
      <c r="D1418" s="85" t="s">
        <v>2509</v>
      </c>
    </row>
    <row r="1419" spans="1:4">
      <c r="A1419" s="85">
        <v>111</v>
      </c>
      <c r="B1419" s="85">
        <v>301</v>
      </c>
      <c r="C1419" s="85">
        <f t="shared" si="22"/>
        <v>1416</v>
      </c>
      <c r="D1419" s="85" t="s">
        <v>2510</v>
      </c>
    </row>
    <row r="1420" spans="1:4">
      <c r="A1420" s="85">
        <v>111</v>
      </c>
      <c r="B1420" s="85">
        <v>301</v>
      </c>
      <c r="C1420" s="85">
        <f t="shared" si="22"/>
        <v>1417</v>
      </c>
      <c r="D1420" s="85" t="s">
        <v>2511</v>
      </c>
    </row>
    <row r="1421" spans="1:4">
      <c r="A1421" s="85">
        <v>111</v>
      </c>
      <c r="B1421" s="85">
        <v>302</v>
      </c>
      <c r="C1421" s="85">
        <f t="shared" si="22"/>
        <v>1418</v>
      </c>
      <c r="D1421" s="85" t="s">
        <v>2512</v>
      </c>
    </row>
    <row r="1422" spans="1:4">
      <c r="A1422" s="85">
        <v>111</v>
      </c>
      <c r="B1422" s="85">
        <v>302</v>
      </c>
      <c r="C1422" s="85">
        <f t="shared" si="22"/>
        <v>1419</v>
      </c>
      <c r="D1422" s="85" t="s">
        <v>2513</v>
      </c>
    </row>
    <row r="1423" spans="1:4">
      <c r="A1423" s="85">
        <v>111</v>
      </c>
      <c r="B1423" s="85">
        <v>302</v>
      </c>
      <c r="C1423" s="85">
        <f t="shared" si="22"/>
        <v>1420</v>
      </c>
      <c r="D1423" s="85" t="s">
        <v>2514</v>
      </c>
    </row>
    <row r="1424" spans="1:4">
      <c r="A1424" s="85">
        <v>111</v>
      </c>
      <c r="B1424" s="85">
        <v>302</v>
      </c>
      <c r="C1424" s="85">
        <f t="shared" si="22"/>
        <v>1421</v>
      </c>
      <c r="D1424" s="85" t="s">
        <v>2515</v>
      </c>
    </row>
    <row r="1425" spans="1:4">
      <c r="A1425" s="85">
        <v>111</v>
      </c>
      <c r="B1425" s="85">
        <v>302</v>
      </c>
      <c r="C1425" s="85">
        <f t="shared" si="22"/>
        <v>1422</v>
      </c>
      <c r="D1425" s="85" t="s">
        <v>2516</v>
      </c>
    </row>
    <row r="1426" spans="1:4">
      <c r="A1426" s="85">
        <v>111</v>
      </c>
      <c r="B1426" s="85">
        <v>302</v>
      </c>
      <c r="C1426" s="85">
        <f t="shared" si="22"/>
        <v>1423</v>
      </c>
      <c r="D1426" s="85" t="s">
        <v>2517</v>
      </c>
    </row>
    <row r="1427" spans="1:4">
      <c r="A1427" s="85">
        <v>112</v>
      </c>
      <c r="B1427" s="85">
        <v>303</v>
      </c>
      <c r="C1427" s="85">
        <f t="shared" si="22"/>
        <v>1424</v>
      </c>
      <c r="D1427" s="85" t="s">
        <v>2518</v>
      </c>
    </row>
    <row r="1428" spans="1:4">
      <c r="A1428" s="85">
        <v>112</v>
      </c>
      <c r="B1428" s="85">
        <v>303</v>
      </c>
      <c r="C1428" s="85">
        <f t="shared" si="22"/>
        <v>1425</v>
      </c>
      <c r="D1428" s="85" t="s">
        <v>2519</v>
      </c>
    </row>
    <row r="1429" spans="1:4">
      <c r="A1429" s="85">
        <v>112</v>
      </c>
      <c r="B1429" s="85">
        <v>303</v>
      </c>
      <c r="C1429" s="85">
        <f t="shared" si="22"/>
        <v>1426</v>
      </c>
      <c r="D1429" s="85" t="s">
        <v>2520</v>
      </c>
    </row>
    <row r="1430" spans="1:4">
      <c r="A1430" s="85">
        <v>112</v>
      </c>
      <c r="B1430" s="85">
        <v>303</v>
      </c>
      <c r="C1430" s="85">
        <f t="shared" si="22"/>
        <v>1427</v>
      </c>
      <c r="D1430" s="85" t="s">
        <v>2521</v>
      </c>
    </row>
    <row r="1431" spans="1:4">
      <c r="A1431" s="85">
        <v>112</v>
      </c>
      <c r="B1431" s="85">
        <v>303</v>
      </c>
      <c r="C1431" s="85">
        <f t="shared" si="22"/>
        <v>1428</v>
      </c>
      <c r="D1431" s="85" t="s">
        <v>2522</v>
      </c>
    </row>
    <row r="1432" spans="1:4">
      <c r="A1432" s="85">
        <v>112</v>
      </c>
      <c r="B1432" s="85">
        <v>304</v>
      </c>
      <c r="C1432" s="85">
        <f t="shared" si="22"/>
        <v>1429</v>
      </c>
      <c r="D1432" s="85" t="s">
        <v>2523</v>
      </c>
    </row>
    <row r="1433" spans="1:4">
      <c r="A1433" s="85">
        <v>112</v>
      </c>
      <c r="B1433" s="85">
        <v>304</v>
      </c>
      <c r="C1433" s="85">
        <f t="shared" si="22"/>
        <v>1430</v>
      </c>
      <c r="D1433" s="85" t="s">
        <v>2524</v>
      </c>
    </row>
    <row r="1434" spans="1:4">
      <c r="A1434" s="85">
        <v>112</v>
      </c>
      <c r="B1434" s="85">
        <v>304</v>
      </c>
      <c r="C1434" s="85">
        <f t="shared" si="22"/>
        <v>1431</v>
      </c>
      <c r="D1434" s="85" t="s">
        <v>2525</v>
      </c>
    </row>
    <row r="1435" spans="1:4">
      <c r="A1435" s="85">
        <v>112</v>
      </c>
      <c r="B1435" s="85">
        <v>304</v>
      </c>
      <c r="C1435" s="85">
        <f t="shared" si="22"/>
        <v>1432</v>
      </c>
      <c r="D1435" s="85" t="s">
        <v>2526</v>
      </c>
    </row>
    <row r="1436" spans="1:4">
      <c r="A1436" s="85">
        <v>112</v>
      </c>
      <c r="B1436" s="85">
        <v>304</v>
      </c>
      <c r="C1436" s="85">
        <f t="shared" si="22"/>
        <v>1433</v>
      </c>
      <c r="D1436" s="85" t="s">
        <v>2527</v>
      </c>
    </row>
    <row r="1437" spans="1:4">
      <c r="A1437" s="85">
        <v>112</v>
      </c>
      <c r="B1437" s="85">
        <v>304</v>
      </c>
      <c r="C1437" s="85">
        <f t="shared" si="22"/>
        <v>1434</v>
      </c>
      <c r="D1437" s="85" t="s">
        <v>2528</v>
      </c>
    </row>
    <row r="1438" spans="1:4">
      <c r="A1438" s="85">
        <v>113</v>
      </c>
      <c r="B1438" s="85">
        <v>305</v>
      </c>
      <c r="C1438" s="85">
        <f t="shared" ref="C1438:C1501" si="23">C1437+1</f>
        <v>1435</v>
      </c>
      <c r="D1438" s="85" t="s">
        <v>2529</v>
      </c>
    </row>
    <row r="1439" spans="1:4">
      <c r="A1439" s="85">
        <v>113</v>
      </c>
      <c r="B1439" s="85">
        <v>305</v>
      </c>
      <c r="C1439" s="85">
        <f t="shared" si="23"/>
        <v>1436</v>
      </c>
      <c r="D1439" s="85" t="s">
        <v>2530</v>
      </c>
    </row>
    <row r="1440" spans="1:4">
      <c r="A1440" s="85">
        <v>113</v>
      </c>
      <c r="B1440" s="85">
        <v>305</v>
      </c>
      <c r="C1440" s="85">
        <f t="shared" si="23"/>
        <v>1437</v>
      </c>
      <c r="D1440" s="85" t="s">
        <v>2531</v>
      </c>
    </row>
    <row r="1441" spans="1:4">
      <c r="A1441" s="85">
        <v>113</v>
      </c>
      <c r="B1441" s="85">
        <v>306</v>
      </c>
      <c r="C1441" s="85">
        <f t="shared" si="23"/>
        <v>1438</v>
      </c>
      <c r="D1441" s="85" t="s">
        <v>2532</v>
      </c>
    </row>
    <row r="1442" spans="1:4">
      <c r="A1442" s="85">
        <v>113</v>
      </c>
      <c r="B1442" s="85">
        <v>306</v>
      </c>
      <c r="C1442" s="85">
        <f t="shared" si="23"/>
        <v>1439</v>
      </c>
      <c r="D1442" s="85" t="s">
        <v>2533</v>
      </c>
    </row>
    <row r="1443" spans="1:4">
      <c r="A1443" s="85">
        <v>113</v>
      </c>
      <c r="B1443" s="85">
        <v>307</v>
      </c>
      <c r="C1443" s="85">
        <f t="shared" si="23"/>
        <v>1440</v>
      </c>
      <c r="D1443" s="85" t="s">
        <v>2534</v>
      </c>
    </row>
    <row r="1444" spans="1:4">
      <c r="A1444" s="85">
        <v>113</v>
      </c>
      <c r="B1444" s="85">
        <v>307</v>
      </c>
      <c r="C1444" s="85">
        <f t="shared" si="23"/>
        <v>1441</v>
      </c>
      <c r="D1444" s="85" t="s">
        <v>2535</v>
      </c>
    </row>
    <row r="1445" spans="1:4">
      <c r="A1445" s="85">
        <v>113</v>
      </c>
      <c r="B1445" s="85">
        <v>307</v>
      </c>
      <c r="C1445" s="85">
        <f t="shared" si="23"/>
        <v>1442</v>
      </c>
      <c r="D1445" s="85" t="s">
        <v>2536</v>
      </c>
    </row>
    <row r="1446" spans="1:4">
      <c r="A1446" s="85">
        <v>113</v>
      </c>
      <c r="B1446" s="85">
        <v>307</v>
      </c>
      <c r="C1446" s="85">
        <f t="shared" si="23"/>
        <v>1443</v>
      </c>
      <c r="D1446" s="85" t="s">
        <v>2537</v>
      </c>
    </row>
    <row r="1447" spans="1:4">
      <c r="B1447" s="85">
        <v>307</v>
      </c>
      <c r="C1447" s="85">
        <f t="shared" si="23"/>
        <v>1444</v>
      </c>
      <c r="D1447" s="85" t="s">
        <v>2538</v>
      </c>
    </row>
    <row r="1448" spans="1:4">
      <c r="A1448" s="85">
        <v>113</v>
      </c>
      <c r="B1448" s="85">
        <v>307</v>
      </c>
      <c r="C1448" s="85">
        <f t="shared" si="23"/>
        <v>1445</v>
      </c>
      <c r="D1448" s="85" t="s">
        <v>2539</v>
      </c>
    </row>
    <row r="1449" spans="1:4">
      <c r="A1449" s="85">
        <v>114</v>
      </c>
      <c r="B1449" s="85">
        <v>308</v>
      </c>
      <c r="C1449" s="85">
        <f t="shared" si="23"/>
        <v>1446</v>
      </c>
      <c r="D1449" s="85" t="s">
        <v>2540</v>
      </c>
    </row>
    <row r="1450" spans="1:4">
      <c r="A1450" s="85">
        <v>114</v>
      </c>
      <c r="B1450" s="85">
        <v>308</v>
      </c>
      <c r="C1450" s="85">
        <f t="shared" si="23"/>
        <v>1447</v>
      </c>
      <c r="D1450" s="85" t="s">
        <v>2541</v>
      </c>
    </row>
    <row r="1451" spans="1:4">
      <c r="A1451" s="85">
        <v>114</v>
      </c>
      <c r="B1451" s="85">
        <v>308</v>
      </c>
      <c r="C1451" s="85">
        <f t="shared" si="23"/>
        <v>1448</v>
      </c>
      <c r="D1451" s="85" t="s">
        <v>2542</v>
      </c>
    </row>
    <row r="1452" spans="1:4">
      <c r="A1452" s="85">
        <v>114</v>
      </c>
      <c r="B1452" s="85">
        <v>308</v>
      </c>
      <c r="C1452" s="85">
        <f t="shared" si="23"/>
        <v>1449</v>
      </c>
      <c r="D1452" s="85" t="s">
        <v>2543</v>
      </c>
    </row>
    <row r="1453" spans="1:4">
      <c r="A1453" s="85">
        <v>114</v>
      </c>
      <c r="B1453" s="85">
        <v>308</v>
      </c>
      <c r="C1453" s="85">
        <f t="shared" si="23"/>
        <v>1450</v>
      </c>
      <c r="D1453" s="85" t="s">
        <v>2544</v>
      </c>
    </row>
    <row r="1454" spans="1:4">
      <c r="A1454" s="85">
        <v>114</v>
      </c>
      <c r="B1454" s="85">
        <v>309</v>
      </c>
      <c r="C1454" s="85">
        <f t="shared" si="23"/>
        <v>1451</v>
      </c>
      <c r="D1454" s="85" t="s">
        <v>2545</v>
      </c>
    </row>
    <row r="1455" spans="1:4">
      <c r="A1455" s="85">
        <v>114</v>
      </c>
      <c r="B1455" s="85">
        <v>309</v>
      </c>
      <c r="C1455" s="85">
        <f t="shared" si="23"/>
        <v>1452</v>
      </c>
      <c r="D1455" s="85" t="s">
        <v>2546</v>
      </c>
    </row>
    <row r="1456" spans="1:4">
      <c r="A1456" s="85">
        <v>114</v>
      </c>
      <c r="B1456" s="85">
        <v>309</v>
      </c>
      <c r="C1456" s="85">
        <f t="shared" si="23"/>
        <v>1453</v>
      </c>
      <c r="D1456" s="85" t="s">
        <v>2547</v>
      </c>
    </row>
    <row r="1457" spans="1:4">
      <c r="A1457" s="85">
        <v>114</v>
      </c>
      <c r="B1457" s="85">
        <v>309</v>
      </c>
      <c r="C1457" s="85">
        <f t="shared" si="23"/>
        <v>1454</v>
      </c>
      <c r="D1457" s="85" t="s">
        <v>2548</v>
      </c>
    </row>
    <row r="1458" spans="1:4">
      <c r="A1458" s="85">
        <v>114</v>
      </c>
      <c r="B1458" s="85">
        <v>309</v>
      </c>
      <c r="C1458" s="85">
        <f t="shared" si="23"/>
        <v>1455</v>
      </c>
      <c r="D1458" s="85" t="s">
        <v>2549</v>
      </c>
    </row>
    <row r="1459" spans="1:4">
      <c r="A1459" s="85">
        <v>114</v>
      </c>
      <c r="B1459" s="85">
        <v>309</v>
      </c>
      <c r="C1459" s="85">
        <f t="shared" si="23"/>
        <v>1456</v>
      </c>
      <c r="D1459" s="85" t="s">
        <v>2550</v>
      </c>
    </row>
    <row r="1460" spans="1:4">
      <c r="A1460" s="85">
        <v>114</v>
      </c>
      <c r="B1460" s="85">
        <v>310</v>
      </c>
      <c r="C1460" s="85">
        <f t="shared" si="23"/>
        <v>1457</v>
      </c>
      <c r="D1460" s="85" t="s">
        <v>2551</v>
      </c>
    </row>
    <row r="1461" spans="1:4">
      <c r="A1461" s="85">
        <v>114</v>
      </c>
      <c r="B1461" s="85">
        <v>310</v>
      </c>
      <c r="C1461" s="85">
        <f t="shared" si="23"/>
        <v>1458</v>
      </c>
      <c r="D1461" s="85" t="s">
        <v>2552</v>
      </c>
    </row>
    <row r="1462" spans="1:4">
      <c r="A1462" s="85">
        <v>114</v>
      </c>
      <c r="B1462" s="85">
        <v>310</v>
      </c>
      <c r="C1462" s="85">
        <f t="shared" si="23"/>
        <v>1459</v>
      </c>
      <c r="D1462" s="85" t="s">
        <v>2553</v>
      </c>
    </row>
    <row r="1463" spans="1:4">
      <c r="A1463" s="85">
        <v>114</v>
      </c>
      <c r="B1463" s="85">
        <v>310</v>
      </c>
      <c r="C1463" s="85">
        <f t="shared" si="23"/>
        <v>1460</v>
      </c>
      <c r="D1463" s="85" t="s">
        <v>2554</v>
      </c>
    </row>
    <row r="1464" spans="1:4">
      <c r="A1464" s="85">
        <v>115</v>
      </c>
      <c r="B1464" s="85">
        <v>311</v>
      </c>
      <c r="C1464" s="85">
        <f t="shared" si="23"/>
        <v>1461</v>
      </c>
      <c r="D1464" s="85" t="s">
        <v>2555</v>
      </c>
    </row>
    <row r="1465" spans="1:4">
      <c r="A1465" s="85">
        <v>115</v>
      </c>
      <c r="B1465" s="85">
        <v>311</v>
      </c>
      <c r="C1465" s="85">
        <f t="shared" si="23"/>
        <v>1462</v>
      </c>
      <c r="D1465" s="85" t="s">
        <v>2556</v>
      </c>
    </row>
    <row r="1466" spans="1:4">
      <c r="A1466" s="85">
        <v>115</v>
      </c>
      <c r="B1466" s="85">
        <v>311</v>
      </c>
      <c r="C1466" s="85">
        <f t="shared" si="23"/>
        <v>1463</v>
      </c>
      <c r="D1466" s="85" t="s">
        <v>2557</v>
      </c>
    </row>
    <row r="1467" spans="1:4">
      <c r="A1467" s="85">
        <v>115</v>
      </c>
      <c r="B1467" s="85">
        <v>311</v>
      </c>
      <c r="C1467" s="85">
        <f t="shared" si="23"/>
        <v>1464</v>
      </c>
      <c r="D1467" s="85" t="s">
        <v>2558</v>
      </c>
    </row>
    <row r="1468" spans="1:4">
      <c r="A1468" s="85">
        <v>115</v>
      </c>
      <c r="B1468" s="85">
        <v>311</v>
      </c>
      <c r="C1468" s="85">
        <f t="shared" si="23"/>
        <v>1465</v>
      </c>
      <c r="D1468" s="85" t="s">
        <v>2559</v>
      </c>
    </row>
    <row r="1469" spans="1:4">
      <c r="A1469" s="85">
        <v>115</v>
      </c>
      <c r="B1469" s="85">
        <v>311</v>
      </c>
      <c r="C1469" s="85">
        <f t="shared" si="23"/>
        <v>1466</v>
      </c>
      <c r="D1469" s="85" t="s">
        <v>2560</v>
      </c>
    </row>
    <row r="1470" spans="1:4">
      <c r="A1470" s="85">
        <v>115</v>
      </c>
      <c r="B1470" s="85">
        <v>311</v>
      </c>
      <c r="C1470" s="85">
        <f t="shared" si="23"/>
        <v>1467</v>
      </c>
      <c r="D1470" s="85" t="s">
        <v>2561</v>
      </c>
    </row>
    <row r="1471" spans="1:4">
      <c r="A1471" s="85">
        <v>115</v>
      </c>
      <c r="B1471" s="85">
        <v>311</v>
      </c>
      <c r="C1471" s="85">
        <f t="shared" si="23"/>
        <v>1468</v>
      </c>
      <c r="D1471" s="85" t="s">
        <v>2562</v>
      </c>
    </row>
    <row r="1472" spans="1:4">
      <c r="A1472" s="85">
        <v>115</v>
      </c>
      <c r="B1472" s="85">
        <v>311</v>
      </c>
      <c r="C1472" s="85">
        <f t="shared" si="23"/>
        <v>1469</v>
      </c>
      <c r="D1472" s="85" t="s">
        <v>2563</v>
      </c>
    </row>
    <row r="1473" spans="1:4">
      <c r="A1473" s="85">
        <v>115</v>
      </c>
      <c r="B1473" s="85">
        <v>312</v>
      </c>
      <c r="C1473" s="85">
        <f t="shared" si="23"/>
        <v>1470</v>
      </c>
      <c r="D1473" s="85" t="s">
        <v>2564</v>
      </c>
    </row>
    <row r="1474" spans="1:4">
      <c r="A1474" s="85">
        <v>115</v>
      </c>
      <c r="B1474" s="85">
        <v>312</v>
      </c>
      <c r="C1474" s="85">
        <f t="shared" si="23"/>
        <v>1471</v>
      </c>
      <c r="D1474" s="85" t="s">
        <v>2565</v>
      </c>
    </row>
    <row r="1475" spans="1:4">
      <c r="A1475" s="85">
        <v>115</v>
      </c>
      <c r="B1475" s="85">
        <v>312</v>
      </c>
      <c r="C1475" s="85">
        <f t="shared" si="23"/>
        <v>1472</v>
      </c>
      <c r="D1475" s="85" t="s">
        <v>2566</v>
      </c>
    </row>
    <row r="1476" spans="1:4">
      <c r="A1476" s="85">
        <v>116</v>
      </c>
      <c r="B1476" s="85">
        <v>313</v>
      </c>
      <c r="C1476" s="85">
        <f t="shared" si="23"/>
        <v>1473</v>
      </c>
      <c r="D1476" s="85" t="s">
        <v>2567</v>
      </c>
    </row>
    <row r="1477" spans="1:4">
      <c r="A1477" s="85">
        <v>116</v>
      </c>
      <c r="B1477" s="85">
        <v>313</v>
      </c>
      <c r="C1477" s="85">
        <f t="shared" si="23"/>
        <v>1474</v>
      </c>
      <c r="D1477" s="85" t="s">
        <v>2568</v>
      </c>
    </row>
    <row r="1478" spans="1:4">
      <c r="A1478" s="85">
        <v>116</v>
      </c>
      <c r="B1478" s="85">
        <v>313</v>
      </c>
      <c r="C1478" s="85">
        <f t="shared" si="23"/>
        <v>1475</v>
      </c>
      <c r="D1478" s="85" t="s">
        <v>2569</v>
      </c>
    </row>
    <row r="1479" spans="1:4">
      <c r="A1479" s="85">
        <v>116</v>
      </c>
      <c r="B1479" s="85">
        <v>313</v>
      </c>
      <c r="C1479" s="85">
        <f t="shared" si="23"/>
        <v>1476</v>
      </c>
      <c r="D1479" s="85" t="s">
        <v>2570</v>
      </c>
    </row>
    <row r="1480" spans="1:4">
      <c r="A1480" s="85">
        <v>116</v>
      </c>
      <c r="B1480" s="85">
        <v>313</v>
      </c>
      <c r="C1480" s="85">
        <f t="shared" si="23"/>
        <v>1477</v>
      </c>
      <c r="D1480" s="85" t="s">
        <v>2571</v>
      </c>
    </row>
    <row r="1481" spans="1:4">
      <c r="A1481" s="85">
        <v>116</v>
      </c>
      <c r="B1481" s="85">
        <v>313</v>
      </c>
      <c r="C1481" s="85">
        <f t="shared" si="23"/>
        <v>1478</v>
      </c>
      <c r="D1481" s="85" t="s">
        <v>2572</v>
      </c>
    </row>
    <row r="1482" spans="1:4">
      <c r="A1482" s="85">
        <v>116</v>
      </c>
      <c r="B1482" s="85">
        <v>313</v>
      </c>
      <c r="C1482" s="85">
        <f t="shared" si="23"/>
        <v>1479</v>
      </c>
      <c r="D1482" s="85" t="s">
        <v>2573</v>
      </c>
    </row>
    <row r="1483" spans="1:4">
      <c r="A1483" s="85">
        <v>116</v>
      </c>
      <c r="B1483" s="85">
        <v>313</v>
      </c>
      <c r="C1483" s="85">
        <f t="shared" si="23"/>
        <v>1480</v>
      </c>
      <c r="D1483" s="85" t="s">
        <v>2574</v>
      </c>
    </row>
    <row r="1484" spans="1:4">
      <c r="A1484" s="85">
        <v>116</v>
      </c>
      <c r="B1484" s="85">
        <v>313</v>
      </c>
      <c r="C1484" s="85">
        <f t="shared" si="23"/>
        <v>1481</v>
      </c>
      <c r="D1484" s="85" t="s">
        <v>2575</v>
      </c>
    </row>
    <row r="1485" spans="1:4">
      <c r="A1485" s="85">
        <v>116</v>
      </c>
      <c r="B1485" s="85">
        <v>313</v>
      </c>
      <c r="C1485" s="85">
        <f t="shared" si="23"/>
        <v>1482</v>
      </c>
      <c r="D1485" s="85" t="s">
        <v>2576</v>
      </c>
    </row>
    <row r="1486" spans="1:4">
      <c r="A1486" s="85">
        <v>116</v>
      </c>
      <c r="B1486" s="85">
        <v>313</v>
      </c>
      <c r="C1486" s="85">
        <f t="shared" si="23"/>
        <v>1483</v>
      </c>
      <c r="D1486" s="85" t="s">
        <v>2577</v>
      </c>
    </row>
    <row r="1487" spans="1:4">
      <c r="A1487" s="85">
        <v>116</v>
      </c>
      <c r="B1487" s="85">
        <v>313</v>
      </c>
      <c r="C1487" s="85">
        <f t="shared" si="23"/>
        <v>1484</v>
      </c>
      <c r="D1487" s="85" t="s">
        <v>2578</v>
      </c>
    </row>
    <row r="1488" spans="1:4">
      <c r="A1488" s="85">
        <v>116</v>
      </c>
      <c r="B1488" s="85">
        <v>313</v>
      </c>
      <c r="C1488" s="85">
        <f t="shared" si="23"/>
        <v>1485</v>
      </c>
      <c r="D1488" s="85" t="s">
        <v>2579</v>
      </c>
    </row>
    <row r="1489" spans="1:4">
      <c r="A1489" s="85">
        <v>116</v>
      </c>
      <c r="B1489" s="85">
        <v>313</v>
      </c>
      <c r="C1489" s="85">
        <f t="shared" si="23"/>
        <v>1486</v>
      </c>
      <c r="D1489" s="85" t="s">
        <v>2580</v>
      </c>
    </row>
    <row r="1490" spans="1:4">
      <c r="A1490" s="85">
        <v>116</v>
      </c>
      <c r="B1490" s="85">
        <v>313</v>
      </c>
      <c r="C1490" s="85">
        <f t="shared" si="23"/>
        <v>1487</v>
      </c>
      <c r="D1490" s="85" t="s">
        <v>2581</v>
      </c>
    </row>
    <row r="1491" spans="1:4">
      <c r="A1491" s="85">
        <v>116</v>
      </c>
      <c r="B1491" s="85">
        <v>314</v>
      </c>
      <c r="C1491" s="85">
        <f t="shared" si="23"/>
        <v>1488</v>
      </c>
      <c r="D1491" s="85" t="s">
        <v>2582</v>
      </c>
    </row>
    <row r="1492" spans="1:4">
      <c r="A1492" s="85">
        <v>116</v>
      </c>
      <c r="B1492" s="85">
        <v>314</v>
      </c>
      <c r="C1492" s="85">
        <f t="shared" si="23"/>
        <v>1489</v>
      </c>
      <c r="D1492" s="85" t="s">
        <v>2583</v>
      </c>
    </row>
    <row r="1493" spans="1:4">
      <c r="A1493" s="85">
        <v>116</v>
      </c>
      <c r="B1493" s="85">
        <v>314</v>
      </c>
      <c r="C1493" s="85">
        <f t="shared" si="23"/>
        <v>1490</v>
      </c>
      <c r="D1493" s="85" t="s">
        <v>2584</v>
      </c>
    </row>
    <row r="1494" spans="1:4">
      <c r="A1494" s="85">
        <v>116</v>
      </c>
      <c r="B1494" s="85">
        <v>314</v>
      </c>
      <c r="C1494" s="85">
        <f t="shared" si="23"/>
        <v>1491</v>
      </c>
      <c r="D1494" s="85" t="s">
        <v>2585</v>
      </c>
    </row>
    <row r="1495" spans="1:4">
      <c r="A1495" s="85">
        <v>117</v>
      </c>
      <c r="B1495" s="85">
        <v>315</v>
      </c>
      <c r="C1495" s="85">
        <f t="shared" si="23"/>
        <v>1492</v>
      </c>
      <c r="D1495" s="85" t="s">
        <v>2586</v>
      </c>
    </row>
    <row r="1496" spans="1:4">
      <c r="A1496" s="85">
        <v>117</v>
      </c>
      <c r="B1496" s="85">
        <v>315</v>
      </c>
      <c r="C1496" s="85">
        <f t="shared" si="23"/>
        <v>1493</v>
      </c>
      <c r="D1496" s="85" t="s">
        <v>2587</v>
      </c>
    </row>
    <row r="1497" spans="1:4">
      <c r="A1497" s="85">
        <v>117</v>
      </c>
      <c r="B1497" s="85">
        <v>315</v>
      </c>
      <c r="C1497" s="85">
        <f t="shared" si="23"/>
        <v>1494</v>
      </c>
      <c r="D1497" s="85" t="s">
        <v>2588</v>
      </c>
    </row>
    <row r="1498" spans="1:4">
      <c r="A1498" s="85">
        <v>117</v>
      </c>
      <c r="B1498" s="85">
        <v>315</v>
      </c>
      <c r="C1498" s="85">
        <f t="shared" si="23"/>
        <v>1495</v>
      </c>
      <c r="D1498" s="85" t="s">
        <v>2589</v>
      </c>
    </row>
    <row r="1499" spans="1:4">
      <c r="A1499" s="85">
        <v>117</v>
      </c>
      <c r="B1499" s="85">
        <v>316</v>
      </c>
      <c r="C1499" s="85">
        <f t="shared" si="23"/>
        <v>1496</v>
      </c>
      <c r="D1499" s="85" t="s">
        <v>2590</v>
      </c>
    </row>
    <row r="1500" spans="1:4">
      <c r="A1500" s="85">
        <v>117</v>
      </c>
      <c r="B1500" s="85">
        <v>316</v>
      </c>
      <c r="C1500" s="85">
        <f t="shared" si="23"/>
        <v>1497</v>
      </c>
      <c r="D1500" s="85" t="s">
        <v>2591</v>
      </c>
    </row>
    <row r="1501" spans="1:4">
      <c r="A1501" s="85">
        <v>117</v>
      </c>
      <c r="B1501" s="85">
        <v>317</v>
      </c>
      <c r="C1501" s="85">
        <f t="shared" si="23"/>
        <v>1498</v>
      </c>
      <c r="D1501" s="85" t="s">
        <v>2592</v>
      </c>
    </row>
    <row r="1502" spans="1:4">
      <c r="A1502" s="85">
        <v>117</v>
      </c>
      <c r="B1502" s="85">
        <v>317</v>
      </c>
      <c r="C1502" s="85">
        <f t="shared" ref="C1502:C1565" si="24">C1501+1</f>
        <v>1499</v>
      </c>
      <c r="D1502" s="85" t="s">
        <v>2593</v>
      </c>
    </row>
    <row r="1503" spans="1:4">
      <c r="A1503" s="85">
        <v>117</v>
      </c>
      <c r="B1503" s="85">
        <v>317</v>
      </c>
      <c r="C1503" s="85">
        <f t="shared" si="24"/>
        <v>1500</v>
      </c>
      <c r="D1503" s="85" t="s">
        <v>2594</v>
      </c>
    </row>
    <row r="1504" spans="1:4">
      <c r="A1504" s="85">
        <v>117</v>
      </c>
      <c r="B1504" s="85">
        <v>317</v>
      </c>
      <c r="C1504" s="85">
        <f t="shared" si="24"/>
        <v>1501</v>
      </c>
      <c r="D1504" s="85" t="s">
        <v>2595</v>
      </c>
    </row>
    <row r="1505" spans="1:4">
      <c r="A1505" s="85">
        <v>118</v>
      </c>
      <c r="B1505" s="85">
        <v>318</v>
      </c>
      <c r="C1505" s="85">
        <f t="shared" si="24"/>
        <v>1502</v>
      </c>
      <c r="D1505" s="85" t="s">
        <v>2596</v>
      </c>
    </row>
    <row r="1506" spans="1:4">
      <c r="A1506" s="85">
        <v>118</v>
      </c>
      <c r="B1506" s="85">
        <v>318</v>
      </c>
      <c r="C1506" s="85">
        <f t="shared" si="24"/>
        <v>1503</v>
      </c>
      <c r="D1506" s="85" t="s">
        <v>2597</v>
      </c>
    </row>
    <row r="1507" spans="1:4">
      <c r="A1507" s="85">
        <v>118</v>
      </c>
      <c r="B1507" s="85">
        <v>318</v>
      </c>
      <c r="C1507" s="85">
        <f t="shared" si="24"/>
        <v>1504</v>
      </c>
      <c r="D1507" s="85" t="s">
        <v>2598</v>
      </c>
    </row>
    <row r="1508" spans="1:4">
      <c r="A1508" s="85">
        <v>118</v>
      </c>
      <c r="B1508" s="85">
        <v>318</v>
      </c>
      <c r="C1508" s="85">
        <f t="shared" si="24"/>
        <v>1505</v>
      </c>
      <c r="D1508" s="85" t="s">
        <v>2599</v>
      </c>
    </row>
    <row r="1509" spans="1:4">
      <c r="A1509" s="85">
        <v>118</v>
      </c>
      <c r="B1509" s="85">
        <v>318</v>
      </c>
      <c r="C1509" s="85">
        <f t="shared" si="24"/>
        <v>1506</v>
      </c>
      <c r="D1509" s="85" t="s">
        <v>2600</v>
      </c>
    </row>
    <row r="1510" spans="1:4">
      <c r="A1510" s="85">
        <v>118</v>
      </c>
      <c r="B1510" s="85">
        <v>318</v>
      </c>
      <c r="C1510" s="85">
        <f t="shared" si="24"/>
        <v>1507</v>
      </c>
      <c r="D1510" s="85" t="s">
        <v>2601</v>
      </c>
    </row>
    <row r="1511" spans="1:4">
      <c r="A1511" s="85">
        <v>118</v>
      </c>
      <c r="B1511" s="85">
        <v>318</v>
      </c>
      <c r="C1511" s="85">
        <f t="shared" si="24"/>
        <v>1508</v>
      </c>
      <c r="D1511" s="85" t="s">
        <v>2602</v>
      </c>
    </row>
    <row r="1512" spans="1:4">
      <c r="A1512" s="85">
        <v>118</v>
      </c>
      <c r="B1512" s="85">
        <v>318</v>
      </c>
      <c r="C1512" s="85">
        <f t="shared" si="24"/>
        <v>1509</v>
      </c>
      <c r="D1512" s="85" t="s">
        <v>2603</v>
      </c>
    </row>
    <row r="1513" spans="1:4">
      <c r="A1513" s="85">
        <v>118</v>
      </c>
      <c r="B1513" s="85">
        <v>319</v>
      </c>
      <c r="C1513" s="85">
        <f t="shared" si="24"/>
        <v>1510</v>
      </c>
      <c r="D1513" s="85" t="s">
        <v>2604</v>
      </c>
    </row>
    <row r="1514" spans="1:4">
      <c r="A1514" s="85">
        <v>118</v>
      </c>
      <c r="B1514" s="85">
        <v>319</v>
      </c>
      <c r="C1514" s="85">
        <f t="shared" si="24"/>
        <v>1511</v>
      </c>
      <c r="D1514" s="85" t="s">
        <v>2605</v>
      </c>
    </row>
    <row r="1515" spans="1:4">
      <c r="A1515" s="85">
        <v>118</v>
      </c>
      <c r="B1515" s="85">
        <v>319</v>
      </c>
      <c r="C1515" s="85">
        <f t="shared" si="24"/>
        <v>1512</v>
      </c>
      <c r="D1515" s="85" t="s">
        <v>2606</v>
      </c>
    </row>
    <row r="1516" spans="1:4">
      <c r="A1516" s="85">
        <v>118</v>
      </c>
      <c r="B1516" s="85">
        <v>319</v>
      </c>
      <c r="C1516" s="85">
        <f t="shared" si="24"/>
        <v>1513</v>
      </c>
      <c r="D1516" s="85" t="s">
        <v>2607</v>
      </c>
    </row>
    <row r="1517" spans="1:4">
      <c r="A1517" s="85">
        <v>118</v>
      </c>
      <c r="B1517" s="85">
        <v>319</v>
      </c>
      <c r="C1517" s="85">
        <f t="shared" si="24"/>
        <v>1514</v>
      </c>
      <c r="D1517" s="85" t="s">
        <v>2608</v>
      </c>
    </row>
    <row r="1518" spans="1:4">
      <c r="A1518" s="85">
        <v>118</v>
      </c>
      <c r="B1518" s="85">
        <v>320</v>
      </c>
      <c r="C1518" s="85">
        <f t="shared" si="24"/>
        <v>1515</v>
      </c>
      <c r="D1518" s="85" t="s">
        <v>2609</v>
      </c>
    </row>
    <row r="1519" spans="1:4">
      <c r="A1519" s="85">
        <v>118</v>
      </c>
      <c r="B1519" s="85">
        <v>320</v>
      </c>
      <c r="C1519" s="85">
        <f t="shared" si="24"/>
        <v>1516</v>
      </c>
      <c r="D1519" s="85" t="s">
        <v>2610</v>
      </c>
    </row>
    <row r="1520" spans="1:4">
      <c r="A1520" s="85">
        <v>118</v>
      </c>
      <c r="B1520" s="85">
        <v>320</v>
      </c>
      <c r="C1520" s="85">
        <f t="shared" si="24"/>
        <v>1517</v>
      </c>
      <c r="D1520" s="85" t="s">
        <v>2611</v>
      </c>
    </row>
    <row r="1521" spans="1:4">
      <c r="A1521" s="85">
        <v>118</v>
      </c>
      <c r="B1521" s="85">
        <v>320</v>
      </c>
      <c r="C1521" s="85">
        <f t="shared" si="24"/>
        <v>1518</v>
      </c>
      <c r="D1521" s="85" t="s">
        <v>2612</v>
      </c>
    </row>
    <row r="1522" spans="1:4">
      <c r="A1522" s="85">
        <v>119</v>
      </c>
      <c r="B1522" s="85">
        <v>321</v>
      </c>
      <c r="C1522" s="85">
        <f t="shared" si="24"/>
        <v>1519</v>
      </c>
      <c r="D1522" s="85" t="s">
        <v>2613</v>
      </c>
    </row>
    <row r="1523" spans="1:4">
      <c r="A1523" s="85">
        <v>119</v>
      </c>
      <c r="B1523" s="85">
        <v>321</v>
      </c>
      <c r="C1523" s="85">
        <f t="shared" si="24"/>
        <v>1520</v>
      </c>
      <c r="D1523" s="85" t="s">
        <v>2614</v>
      </c>
    </row>
    <row r="1524" spans="1:4">
      <c r="A1524" s="85">
        <v>119</v>
      </c>
      <c r="B1524" s="85">
        <v>321</v>
      </c>
      <c r="C1524" s="85">
        <f t="shared" si="24"/>
        <v>1521</v>
      </c>
      <c r="D1524" s="85" t="s">
        <v>2615</v>
      </c>
    </row>
    <row r="1525" spans="1:4">
      <c r="A1525" s="85">
        <v>119</v>
      </c>
      <c r="B1525" s="85">
        <v>321</v>
      </c>
      <c r="C1525" s="85">
        <f t="shared" si="24"/>
        <v>1522</v>
      </c>
      <c r="D1525" s="85" t="s">
        <v>2616</v>
      </c>
    </row>
    <row r="1526" spans="1:4">
      <c r="A1526" s="85">
        <v>119</v>
      </c>
      <c r="B1526" s="85">
        <v>321</v>
      </c>
      <c r="C1526" s="85">
        <f t="shared" si="24"/>
        <v>1523</v>
      </c>
      <c r="D1526" s="85" t="s">
        <v>2617</v>
      </c>
    </row>
    <row r="1527" spans="1:4">
      <c r="A1527" s="85">
        <v>119</v>
      </c>
      <c r="B1527" s="85">
        <v>321</v>
      </c>
      <c r="C1527" s="85">
        <f t="shared" si="24"/>
        <v>1524</v>
      </c>
      <c r="D1527" s="85" t="s">
        <v>2618</v>
      </c>
    </row>
    <row r="1528" spans="1:4">
      <c r="A1528" s="85">
        <v>119</v>
      </c>
      <c r="B1528" s="85">
        <v>322</v>
      </c>
      <c r="C1528" s="85">
        <f t="shared" si="24"/>
        <v>1525</v>
      </c>
      <c r="D1528" s="85" t="s">
        <v>2619</v>
      </c>
    </row>
    <row r="1529" spans="1:4">
      <c r="A1529" s="85">
        <v>119</v>
      </c>
      <c r="B1529" s="85">
        <v>322</v>
      </c>
      <c r="C1529" s="85">
        <f t="shared" si="24"/>
        <v>1526</v>
      </c>
      <c r="D1529" s="85" t="s">
        <v>2620</v>
      </c>
    </row>
    <row r="1530" spans="1:4">
      <c r="A1530" s="85">
        <v>119</v>
      </c>
      <c r="B1530" s="85">
        <v>322</v>
      </c>
      <c r="C1530" s="85">
        <f t="shared" si="24"/>
        <v>1527</v>
      </c>
      <c r="D1530" s="85" t="s">
        <v>2621</v>
      </c>
    </row>
    <row r="1531" spans="1:4">
      <c r="A1531" s="85">
        <v>119</v>
      </c>
      <c r="B1531" s="85">
        <v>322</v>
      </c>
      <c r="C1531" s="85">
        <f t="shared" si="24"/>
        <v>1528</v>
      </c>
      <c r="D1531" s="85" t="s">
        <v>2622</v>
      </c>
    </row>
    <row r="1532" spans="1:4">
      <c r="A1532" s="85">
        <v>119</v>
      </c>
      <c r="B1532" s="85">
        <v>323</v>
      </c>
      <c r="C1532" s="85">
        <f t="shared" si="24"/>
        <v>1529</v>
      </c>
      <c r="D1532" s="85" t="s">
        <v>2623</v>
      </c>
    </row>
    <row r="1533" spans="1:4">
      <c r="A1533" s="85">
        <v>119</v>
      </c>
      <c r="B1533" s="85">
        <v>323</v>
      </c>
      <c r="C1533" s="85">
        <f t="shared" si="24"/>
        <v>1530</v>
      </c>
      <c r="D1533" s="85" t="s">
        <v>2624</v>
      </c>
    </row>
    <row r="1534" spans="1:4">
      <c r="A1534" s="85">
        <v>119</v>
      </c>
      <c r="B1534" s="85">
        <v>323</v>
      </c>
      <c r="C1534" s="85">
        <f t="shared" si="24"/>
        <v>1531</v>
      </c>
      <c r="D1534" s="85" t="s">
        <v>2625</v>
      </c>
    </row>
    <row r="1535" spans="1:4">
      <c r="A1535" s="85">
        <v>119</v>
      </c>
      <c r="B1535" s="85">
        <v>323</v>
      </c>
      <c r="C1535" s="85">
        <f t="shared" si="24"/>
        <v>1532</v>
      </c>
      <c r="D1535" s="85" t="s">
        <v>2626</v>
      </c>
    </row>
    <row r="1536" spans="1:4">
      <c r="A1536" s="85">
        <v>120</v>
      </c>
      <c r="B1536" s="85">
        <v>324</v>
      </c>
      <c r="C1536" s="85">
        <f t="shared" si="24"/>
        <v>1533</v>
      </c>
      <c r="D1536" s="85" t="s">
        <v>2627</v>
      </c>
    </row>
    <row r="1537" spans="1:4">
      <c r="A1537" s="85">
        <v>120</v>
      </c>
      <c r="B1537" s="85">
        <v>324</v>
      </c>
      <c r="C1537" s="85">
        <f t="shared" si="24"/>
        <v>1534</v>
      </c>
      <c r="D1537" s="85" t="s">
        <v>2628</v>
      </c>
    </row>
    <row r="1538" spans="1:4">
      <c r="A1538" s="85">
        <v>120</v>
      </c>
      <c r="B1538" s="85">
        <v>324</v>
      </c>
      <c r="C1538" s="85">
        <f t="shared" si="24"/>
        <v>1535</v>
      </c>
      <c r="D1538" s="85" t="s">
        <v>2629</v>
      </c>
    </row>
    <row r="1539" spans="1:4">
      <c r="A1539" s="85">
        <v>120</v>
      </c>
      <c r="B1539" s="85">
        <v>324</v>
      </c>
      <c r="C1539" s="85">
        <f t="shared" si="24"/>
        <v>1536</v>
      </c>
      <c r="D1539" s="85" t="s">
        <v>2630</v>
      </c>
    </row>
    <row r="1540" spans="1:4">
      <c r="A1540" s="85">
        <v>120</v>
      </c>
      <c r="B1540" s="85">
        <v>324</v>
      </c>
      <c r="C1540" s="85">
        <f t="shared" si="24"/>
        <v>1537</v>
      </c>
      <c r="D1540" s="85" t="s">
        <v>2631</v>
      </c>
    </row>
    <row r="1541" spans="1:4">
      <c r="A1541" s="85">
        <v>120</v>
      </c>
      <c r="B1541" s="85">
        <v>324</v>
      </c>
      <c r="C1541" s="85">
        <f t="shared" si="24"/>
        <v>1538</v>
      </c>
      <c r="D1541" s="85" t="s">
        <v>2632</v>
      </c>
    </row>
    <row r="1542" spans="1:4">
      <c r="A1542" s="85">
        <v>120</v>
      </c>
      <c r="B1542" s="85">
        <v>325</v>
      </c>
      <c r="C1542" s="85">
        <f t="shared" si="24"/>
        <v>1539</v>
      </c>
      <c r="D1542" s="85" t="s">
        <v>2633</v>
      </c>
    </row>
    <row r="1543" spans="1:4">
      <c r="A1543" s="85">
        <v>120</v>
      </c>
      <c r="B1543" s="85">
        <v>325</v>
      </c>
      <c r="C1543" s="85">
        <f t="shared" si="24"/>
        <v>1540</v>
      </c>
      <c r="D1543" s="85" t="s">
        <v>2634</v>
      </c>
    </row>
    <row r="1544" spans="1:4">
      <c r="A1544" s="85">
        <v>120</v>
      </c>
      <c r="B1544" s="85">
        <v>325</v>
      </c>
      <c r="C1544" s="85">
        <f t="shared" si="24"/>
        <v>1541</v>
      </c>
      <c r="D1544" s="85" t="s">
        <v>2635</v>
      </c>
    </row>
    <row r="1545" spans="1:4">
      <c r="A1545" s="85">
        <v>120</v>
      </c>
      <c r="B1545" s="85">
        <v>325</v>
      </c>
      <c r="C1545" s="85">
        <f t="shared" si="24"/>
        <v>1542</v>
      </c>
      <c r="D1545" s="85" t="s">
        <v>2636</v>
      </c>
    </row>
    <row r="1546" spans="1:4">
      <c r="A1546" s="85">
        <v>120</v>
      </c>
      <c r="B1546" s="85">
        <v>325</v>
      </c>
      <c r="C1546" s="85">
        <f t="shared" si="24"/>
        <v>1543</v>
      </c>
      <c r="D1546" s="85" t="s">
        <v>2637</v>
      </c>
    </row>
    <row r="1547" spans="1:4">
      <c r="A1547" s="85">
        <v>120</v>
      </c>
      <c r="B1547" s="85">
        <v>325</v>
      </c>
      <c r="C1547" s="85">
        <f t="shared" si="24"/>
        <v>1544</v>
      </c>
      <c r="D1547" s="85" t="s">
        <v>2638</v>
      </c>
    </row>
    <row r="1548" spans="1:4">
      <c r="A1548" s="85">
        <v>120</v>
      </c>
      <c r="B1548" s="85">
        <v>326</v>
      </c>
      <c r="C1548" s="85">
        <f t="shared" si="24"/>
        <v>1545</v>
      </c>
      <c r="D1548" s="85" t="s">
        <v>2639</v>
      </c>
    </row>
    <row r="1549" spans="1:4">
      <c r="A1549" s="85">
        <v>120</v>
      </c>
      <c r="B1549" s="85">
        <v>326</v>
      </c>
      <c r="C1549" s="85">
        <f t="shared" si="24"/>
        <v>1546</v>
      </c>
      <c r="D1549" s="85" t="s">
        <v>2640</v>
      </c>
    </row>
    <row r="1550" spans="1:4">
      <c r="A1550" s="85">
        <v>120</v>
      </c>
      <c r="B1550" s="85">
        <v>326</v>
      </c>
      <c r="C1550" s="85">
        <f t="shared" si="24"/>
        <v>1547</v>
      </c>
      <c r="D1550" s="85" t="s">
        <v>2641</v>
      </c>
    </row>
    <row r="1551" spans="1:4">
      <c r="A1551" s="85">
        <v>120</v>
      </c>
      <c r="B1551" s="85">
        <v>326</v>
      </c>
      <c r="C1551" s="85">
        <f t="shared" si="24"/>
        <v>1548</v>
      </c>
      <c r="D1551" s="85" t="s">
        <v>2642</v>
      </c>
    </row>
    <row r="1552" spans="1:4">
      <c r="A1552" s="85">
        <v>120</v>
      </c>
      <c r="B1552" s="85">
        <v>326</v>
      </c>
      <c r="C1552" s="85">
        <f t="shared" si="24"/>
        <v>1549</v>
      </c>
      <c r="D1552" s="85" t="s">
        <v>2643</v>
      </c>
    </row>
    <row r="1553" spans="1:4">
      <c r="A1553" s="85">
        <v>120</v>
      </c>
      <c r="B1553" s="85">
        <v>326</v>
      </c>
      <c r="C1553" s="85">
        <f t="shared" si="24"/>
        <v>1550</v>
      </c>
      <c r="D1553" s="85" t="s">
        <v>2644</v>
      </c>
    </row>
    <row r="1554" spans="1:4">
      <c r="A1554" s="85">
        <v>121</v>
      </c>
      <c r="B1554" s="85">
        <v>327</v>
      </c>
      <c r="C1554" s="85">
        <f t="shared" si="24"/>
        <v>1551</v>
      </c>
      <c r="D1554" s="85" t="s">
        <v>2645</v>
      </c>
    </row>
    <row r="1555" spans="1:4">
      <c r="A1555" s="85">
        <v>121</v>
      </c>
      <c r="B1555" s="85">
        <v>327</v>
      </c>
      <c r="C1555" s="85">
        <f t="shared" si="24"/>
        <v>1552</v>
      </c>
      <c r="D1555" s="85" t="s">
        <v>2646</v>
      </c>
    </row>
    <row r="1556" spans="1:4">
      <c r="A1556" s="85">
        <v>121</v>
      </c>
      <c r="B1556" s="85">
        <v>327</v>
      </c>
      <c r="C1556" s="85">
        <f t="shared" si="24"/>
        <v>1553</v>
      </c>
      <c r="D1556" s="85" t="s">
        <v>2647</v>
      </c>
    </row>
    <row r="1557" spans="1:4">
      <c r="A1557" s="85">
        <v>121</v>
      </c>
      <c r="B1557" s="85">
        <v>327</v>
      </c>
      <c r="C1557" s="85">
        <f t="shared" si="24"/>
        <v>1554</v>
      </c>
      <c r="D1557" s="85" t="s">
        <v>2648</v>
      </c>
    </row>
    <row r="1558" spans="1:4">
      <c r="A1558" s="85">
        <v>121</v>
      </c>
      <c r="B1558" s="85">
        <v>328</v>
      </c>
      <c r="C1558" s="85">
        <f t="shared" si="24"/>
        <v>1555</v>
      </c>
      <c r="D1558" s="85" t="s">
        <v>2649</v>
      </c>
    </row>
    <row r="1559" spans="1:4">
      <c r="A1559" s="85">
        <v>121</v>
      </c>
      <c r="B1559" s="85">
        <v>328</v>
      </c>
      <c r="C1559" s="85">
        <f t="shared" si="24"/>
        <v>1556</v>
      </c>
      <c r="D1559" s="85" t="s">
        <v>2650</v>
      </c>
    </row>
    <row r="1560" spans="1:4">
      <c r="A1560" s="85">
        <v>121</v>
      </c>
      <c r="B1560" s="85">
        <v>328</v>
      </c>
      <c r="C1560" s="85">
        <f t="shared" si="24"/>
        <v>1557</v>
      </c>
      <c r="D1560" s="85" t="s">
        <v>2651</v>
      </c>
    </row>
    <row r="1561" spans="1:4">
      <c r="A1561" s="85">
        <v>121</v>
      </c>
      <c r="B1561" s="85">
        <v>329</v>
      </c>
      <c r="C1561" s="85">
        <f t="shared" si="24"/>
        <v>1558</v>
      </c>
      <c r="D1561" s="85" t="s">
        <v>2652</v>
      </c>
    </row>
    <row r="1562" spans="1:4">
      <c r="A1562" s="85">
        <v>121</v>
      </c>
      <c r="B1562" s="85">
        <v>329</v>
      </c>
      <c r="C1562" s="85">
        <f t="shared" si="24"/>
        <v>1559</v>
      </c>
      <c r="D1562" s="85" t="s">
        <v>2653</v>
      </c>
    </row>
    <row r="1563" spans="1:4">
      <c r="A1563" s="85">
        <v>121</v>
      </c>
      <c r="B1563" s="85">
        <v>329</v>
      </c>
      <c r="C1563" s="85">
        <f t="shared" si="24"/>
        <v>1560</v>
      </c>
      <c r="D1563" s="85" t="s">
        <v>2654</v>
      </c>
    </row>
    <row r="1564" spans="1:4">
      <c r="A1564" s="85">
        <v>121</v>
      </c>
      <c r="B1564" s="85">
        <v>329</v>
      </c>
      <c r="C1564" s="85">
        <f t="shared" si="24"/>
        <v>1561</v>
      </c>
      <c r="D1564" s="85" t="s">
        <v>2655</v>
      </c>
    </row>
    <row r="1565" spans="1:4">
      <c r="A1565" s="85">
        <v>121</v>
      </c>
      <c r="B1565" s="85">
        <v>329</v>
      </c>
      <c r="C1565" s="85">
        <f t="shared" si="24"/>
        <v>1562</v>
      </c>
      <c r="D1565" s="85" t="s">
        <v>2656</v>
      </c>
    </row>
    <row r="1566" spans="1:4">
      <c r="A1566" s="85">
        <v>121</v>
      </c>
      <c r="B1566" s="85">
        <v>329</v>
      </c>
      <c r="C1566" s="85">
        <f t="shared" ref="C1566:C1629" si="25">C1565+1</f>
        <v>1563</v>
      </c>
      <c r="D1566" s="85" t="s">
        <v>2657</v>
      </c>
    </row>
    <row r="1567" spans="1:4">
      <c r="A1567" s="85">
        <v>121</v>
      </c>
      <c r="B1567" s="85">
        <v>329</v>
      </c>
      <c r="C1567" s="85">
        <f t="shared" si="25"/>
        <v>1564</v>
      </c>
      <c r="D1567" s="85" t="s">
        <v>2658</v>
      </c>
    </row>
    <row r="1568" spans="1:4">
      <c r="A1568" s="85">
        <v>122</v>
      </c>
      <c r="B1568" s="85">
        <v>330</v>
      </c>
      <c r="C1568" s="85">
        <f t="shared" si="25"/>
        <v>1565</v>
      </c>
      <c r="D1568" s="85" t="s">
        <v>2659</v>
      </c>
    </row>
    <row r="1569" spans="1:4">
      <c r="A1569" s="85">
        <v>122</v>
      </c>
      <c r="B1569" s="85">
        <v>330</v>
      </c>
      <c r="C1569" s="85">
        <f t="shared" si="25"/>
        <v>1566</v>
      </c>
      <c r="D1569" s="85" t="s">
        <v>2660</v>
      </c>
    </row>
    <row r="1570" spans="1:4">
      <c r="A1570" s="85">
        <v>122</v>
      </c>
      <c r="B1570" s="85">
        <v>330</v>
      </c>
      <c r="C1570" s="85">
        <f t="shared" si="25"/>
        <v>1567</v>
      </c>
      <c r="D1570" s="85" t="s">
        <v>2647</v>
      </c>
    </row>
    <row r="1571" spans="1:4">
      <c r="A1571" s="85">
        <v>122</v>
      </c>
      <c r="B1571" s="85">
        <v>330</v>
      </c>
      <c r="C1571" s="85">
        <f t="shared" si="25"/>
        <v>1568</v>
      </c>
      <c r="D1571" s="85" t="s">
        <v>2661</v>
      </c>
    </row>
    <row r="1572" spans="1:4">
      <c r="A1572" s="85">
        <v>122</v>
      </c>
      <c r="B1572" s="85">
        <v>331</v>
      </c>
      <c r="C1572" s="85">
        <f t="shared" si="25"/>
        <v>1569</v>
      </c>
      <c r="D1572" s="85" t="s">
        <v>2662</v>
      </c>
    </row>
    <row r="1573" spans="1:4">
      <c r="A1573" s="85">
        <v>122</v>
      </c>
      <c r="B1573" s="85">
        <v>331</v>
      </c>
      <c r="C1573" s="85">
        <f t="shared" si="25"/>
        <v>1570</v>
      </c>
      <c r="D1573" s="85" t="s">
        <v>2663</v>
      </c>
    </row>
    <row r="1574" spans="1:4">
      <c r="A1574" s="85">
        <v>122</v>
      </c>
      <c r="B1574" s="85">
        <v>331</v>
      </c>
      <c r="C1574" s="85">
        <f t="shared" si="25"/>
        <v>1571</v>
      </c>
      <c r="D1574" s="85" t="s">
        <v>2664</v>
      </c>
    </row>
    <row r="1575" spans="1:4">
      <c r="A1575" s="85">
        <v>122</v>
      </c>
      <c r="B1575" s="85">
        <v>331</v>
      </c>
      <c r="C1575" s="85">
        <f t="shared" si="25"/>
        <v>1572</v>
      </c>
      <c r="D1575" s="85" t="s">
        <v>2665</v>
      </c>
    </row>
    <row r="1576" spans="1:4">
      <c r="A1576" s="85">
        <v>122</v>
      </c>
      <c r="B1576" s="85">
        <v>331</v>
      </c>
      <c r="C1576" s="85">
        <f t="shared" si="25"/>
        <v>1573</v>
      </c>
      <c r="D1576" s="85" t="s">
        <v>2666</v>
      </c>
    </row>
    <row r="1577" spans="1:4">
      <c r="A1577" s="85">
        <v>122</v>
      </c>
      <c r="B1577" s="85">
        <v>331</v>
      </c>
      <c r="C1577" s="85">
        <f t="shared" si="25"/>
        <v>1574</v>
      </c>
      <c r="D1577" s="85" t="s">
        <v>2667</v>
      </c>
    </row>
    <row r="1578" spans="1:4">
      <c r="A1578" s="85">
        <v>122</v>
      </c>
      <c r="B1578" s="85">
        <v>332</v>
      </c>
      <c r="C1578" s="85">
        <f t="shared" si="25"/>
        <v>1575</v>
      </c>
      <c r="D1578" s="85" t="s">
        <v>2668</v>
      </c>
    </row>
    <row r="1579" spans="1:4">
      <c r="A1579" s="85">
        <v>122</v>
      </c>
      <c r="B1579" s="85">
        <v>332</v>
      </c>
      <c r="C1579" s="85">
        <f t="shared" si="25"/>
        <v>1576</v>
      </c>
      <c r="D1579" s="85" t="s">
        <v>2669</v>
      </c>
    </row>
    <row r="1580" spans="1:4">
      <c r="A1580" s="85">
        <v>122</v>
      </c>
      <c r="B1580" s="85">
        <v>332</v>
      </c>
      <c r="C1580" s="85">
        <f t="shared" si="25"/>
        <v>1577</v>
      </c>
      <c r="D1580" s="85" t="s">
        <v>2670</v>
      </c>
    </row>
    <row r="1581" spans="1:4">
      <c r="A1581" s="85">
        <v>122</v>
      </c>
      <c r="B1581" s="85">
        <v>332</v>
      </c>
      <c r="C1581" s="85">
        <f t="shared" si="25"/>
        <v>1578</v>
      </c>
      <c r="D1581" s="85" t="s">
        <v>2671</v>
      </c>
    </row>
    <row r="1582" spans="1:4">
      <c r="A1582" s="85">
        <v>123</v>
      </c>
      <c r="B1582" s="85">
        <v>333</v>
      </c>
      <c r="C1582" s="85">
        <v>1578</v>
      </c>
      <c r="D1582" s="85" t="s">
        <v>2672</v>
      </c>
    </row>
    <row r="1583" spans="1:4">
      <c r="A1583" s="85">
        <v>123</v>
      </c>
      <c r="B1583" s="85">
        <v>333</v>
      </c>
      <c r="C1583" s="85">
        <f>C1581+1</f>
        <v>1579</v>
      </c>
      <c r="D1583" s="85" t="s">
        <v>2673</v>
      </c>
    </row>
    <row r="1584" spans="1:4">
      <c r="A1584" s="85">
        <v>123</v>
      </c>
      <c r="B1584" s="85">
        <v>333</v>
      </c>
      <c r="C1584" s="85">
        <f t="shared" si="25"/>
        <v>1580</v>
      </c>
      <c r="D1584" s="85" t="s">
        <v>2674</v>
      </c>
    </row>
    <row r="1585" spans="1:4">
      <c r="A1585" s="85">
        <v>123</v>
      </c>
      <c r="B1585" s="85">
        <v>333</v>
      </c>
      <c r="C1585" s="85">
        <f t="shared" si="25"/>
        <v>1581</v>
      </c>
      <c r="D1585" s="85" t="s">
        <v>2675</v>
      </c>
    </row>
    <row r="1586" spans="1:4">
      <c r="A1586" s="85">
        <v>123</v>
      </c>
      <c r="B1586" s="85">
        <v>334</v>
      </c>
      <c r="C1586" s="85">
        <f t="shared" si="25"/>
        <v>1582</v>
      </c>
      <c r="D1586" s="85" t="s">
        <v>2676</v>
      </c>
    </row>
    <row r="1587" spans="1:4">
      <c r="A1587" s="85">
        <v>123</v>
      </c>
      <c r="B1587" s="85">
        <v>334</v>
      </c>
      <c r="C1587" s="85">
        <f t="shared" si="25"/>
        <v>1583</v>
      </c>
      <c r="D1587" s="85" t="s">
        <v>2677</v>
      </c>
    </row>
    <row r="1588" spans="1:4">
      <c r="A1588" s="85">
        <v>123</v>
      </c>
      <c r="B1588" s="85">
        <v>334</v>
      </c>
      <c r="C1588" s="85">
        <f t="shared" si="25"/>
        <v>1584</v>
      </c>
      <c r="D1588" s="85" t="s">
        <v>2678</v>
      </c>
    </row>
    <row r="1589" spans="1:4">
      <c r="A1589" s="85">
        <v>123</v>
      </c>
      <c r="B1589" s="85">
        <v>334</v>
      </c>
      <c r="C1589" s="85">
        <f t="shared" si="25"/>
        <v>1585</v>
      </c>
      <c r="D1589" s="85" t="s">
        <v>2679</v>
      </c>
    </row>
    <row r="1590" spans="1:4">
      <c r="A1590" s="85">
        <v>123</v>
      </c>
      <c r="B1590" s="85">
        <v>334</v>
      </c>
      <c r="C1590" s="85">
        <f t="shared" si="25"/>
        <v>1586</v>
      </c>
      <c r="D1590" s="85" t="s">
        <v>2680</v>
      </c>
    </row>
    <row r="1591" spans="1:4">
      <c r="A1591" s="85">
        <v>123</v>
      </c>
      <c r="B1591" s="85">
        <v>334</v>
      </c>
      <c r="C1591" s="85">
        <f t="shared" si="25"/>
        <v>1587</v>
      </c>
      <c r="D1591" s="85" t="s">
        <v>2681</v>
      </c>
    </row>
    <row r="1592" spans="1:4">
      <c r="A1592" s="85">
        <v>123</v>
      </c>
      <c r="B1592" s="85">
        <v>334</v>
      </c>
      <c r="C1592" s="85">
        <f t="shared" si="25"/>
        <v>1588</v>
      </c>
      <c r="D1592" s="85" t="s">
        <v>2682</v>
      </c>
    </row>
    <row r="1593" spans="1:4">
      <c r="A1593" s="85">
        <v>123</v>
      </c>
      <c r="B1593" s="85">
        <v>334</v>
      </c>
      <c r="C1593" s="85">
        <f t="shared" si="25"/>
        <v>1589</v>
      </c>
      <c r="D1593" s="85" t="s">
        <v>2683</v>
      </c>
    </row>
    <row r="1594" spans="1:4">
      <c r="A1594" s="85">
        <v>123</v>
      </c>
      <c r="B1594" s="85">
        <v>334</v>
      </c>
      <c r="C1594" s="85">
        <f t="shared" si="25"/>
        <v>1590</v>
      </c>
      <c r="D1594" s="85" t="s">
        <v>2684</v>
      </c>
    </row>
    <row r="1595" spans="1:4">
      <c r="A1595" s="85">
        <v>123</v>
      </c>
      <c r="B1595" s="85">
        <v>334</v>
      </c>
      <c r="C1595" s="85">
        <f t="shared" si="25"/>
        <v>1591</v>
      </c>
      <c r="D1595" s="85" t="s">
        <v>2685</v>
      </c>
    </row>
    <row r="1596" spans="1:4">
      <c r="A1596" s="85">
        <v>124</v>
      </c>
      <c r="B1596" s="85">
        <v>335</v>
      </c>
      <c r="C1596" s="85">
        <f t="shared" si="25"/>
        <v>1592</v>
      </c>
      <c r="D1596" s="85" t="s">
        <v>2686</v>
      </c>
    </row>
    <row r="1597" spans="1:4">
      <c r="A1597" s="85">
        <v>124</v>
      </c>
      <c r="B1597" s="85">
        <v>335</v>
      </c>
      <c r="C1597" s="85">
        <f t="shared" si="25"/>
        <v>1593</v>
      </c>
      <c r="D1597" s="85" t="s">
        <v>2687</v>
      </c>
    </row>
    <row r="1598" spans="1:4">
      <c r="A1598" s="85">
        <v>124</v>
      </c>
      <c r="B1598" s="85">
        <v>335</v>
      </c>
      <c r="C1598" s="85">
        <f t="shared" si="25"/>
        <v>1594</v>
      </c>
      <c r="D1598" s="85" t="s">
        <v>2688</v>
      </c>
    </row>
    <row r="1599" spans="1:4">
      <c r="A1599" s="85">
        <v>124</v>
      </c>
      <c r="B1599" s="85">
        <v>335</v>
      </c>
      <c r="C1599" s="85">
        <f t="shared" si="25"/>
        <v>1595</v>
      </c>
      <c r="D1599" s="85" t="s">
        <v>2689</v>
      </c>
    </row>
    <row r="1600" spans="1:4">
      <c r="A1600" s="85">
        <v>124</v>
      </c>
      <c r="B1600" s="85">
        <v>336</v>
      </c>
      <c r="C1600" s="85">
        <f t="shared" si="25"/>
        <v>1596</v>
      </c>
      <c r="D1600" s="85" t="s">
        <v>2690</v>
      </c>
    </row>
    <row r="1601" spans="1:4">
      <c r="A1601" s="85">
        <v>124</v>
      </c>
      <c r="B1601" s="85">
        <v>336</v>
      </c>
      <c r="C1601" s="85">
        <f t="shared" si="25"/>
        <v>1597</v>
      </c>
      <c r="D1601" s="85" t="s">
        <v>2691</v>
      </c>
    </row>
    <row r="1602" spans="1:4">
      <c r="A1602" s="85">
        <v>124</v>
      </c>
      <c r="B1602" s="85">
        <v>336</v>
      </c>
      <c r="C1602" s="85">
        <f t="shared" si="25"/>
        <v>1598</v>
      </c>
      <c r="D1602" s="85" t="s">
        <v>2692</v>
      </c>
    </row>
    <row r="1603" spans="1:4">
      <c r="A1603" s="85">
        <v>125</v>
      </c>
      <c r="B1603" s="85">
        <v>337</v>
      </c>
      <c r="C1603" s="85">
        <f t="shared" si="25"/>
        <v>1599</v>
      </c>
      <c r="D1603" s="85" t="s">
        <v>2693</v>
      </c>
    </row>
    <row r="1604" spans="1:4">
      <c r="A1604" s="85">
        <v>125</v>
      </c>
      <c r="B1604" s="85">
        <v>337</v>
      </c>
      <c r="C1604" s="85">
        <f t="shared" si="25"/>
        <v>1600</v>
      </c>
      <c r="D1604" s="85" t="s">
        <v>2694</v>
      </c>
    </row>
    <row r="1605" spans="1:4">
      <c r="A1605" s="85">
        <v>125</v>
      </c>
      <c r="B1605" s="85">
        <v>337</v>
      </c>
      <c r="C1605" s="85">
        <f t="shared" si="25"/>
        <v>1601</v>
      </c>
      <c r="D1605" s="85" t="s">
        <v>2695</v>
      </c>
    </row>
    <row r="1606" spans="1:4">
      <c r="A1606" s="85">
        <v>125</v>
      </c>
      <c r="B1606" s="85">
        <v>337</v>
      </c>
      <c r="C1606" s="85">
        <f t="shared" si="25"/>
        <v>1602</v>
      </c>
      <c r="D1606" s="85" t="s">
        <v>2696</v>
      </c>
    </row>
    <row r="1607" spans="1:4">
      <c r="A1607" s="85">
        <v>125</v>
      </c>
      <c r="B1607" s="85">
        <v>337</v>
      </c>
      <c r="C1607" s="85">
        <f t="shared" si="25"/>
        <v>1603</v>
      </c>
      <c r="D1607" s="85" t="s">
        <v>2697</v>
      </c>
    </row>
    <row r="1608" spans="1:4">
      <c r="A1608" s="85">
        <v>125</v>
      </c>
      <c r="B1608" s="85">
        <v>337</v>
      </c>
      <c r="C1608" s="85">
        <f t="shared" si="25"/>
        <v>1604</v>
      </c>
      <c r="D1608" s="85" t="s">
        <v>2698</v>
      </c>
    </row>
    <row r="1609" spans="1:4">
      <c r="A1609" s="85">
        <v>125</v>
      </c>
      <c r="B1609" s="85">
        <v>337</v>
      </c>
      <c r="C1609" s="85">
        <f t="shared" si="25"/>
        <v>1605</v>
      </c>
      <c r="D1609" s="85" t="s">
        <v>2699</v>
      </c>
    </row>
    <row r="1610" spans="1:4">
      <c r="A1610" s="85">
        <v>125</v>
      </c>
      <c r="B1610" s="85">
        <v>337</v>
      </c>
      <c r="C1610" s="85">
        <f t="shared" si="25"/>
        <v>1606</v>
      </c>
      <c r="D1610" s="85" t="s">
        <v>2700</v>
      </c>
    </row>
    <row r="1611" spans="1:4">
      <c r="A1611" s="85">
        <v>125</v>
      </c>
      <c r="B1611" s="85">
        <v>337</v>
      </c>
      <c r="C1611" s="85">
        <f t="shared" si="25"/>
        <v>1607</v>
      </c>
      <c r="D1611" s="85" t="s">
        <v>2701</v>
      </c>
    </row>
    <row r="1612" spans="1:4">
      <c r="A1612" s="85">
        <v>125</v>
      </c>
      <c r="B1612" s="85">
        <v>337</v>
      </c>
      <c r="C1612" s="85">
        <f t="shared" si="25"/>
        <v>1608</v>
      </c>
      <c r="D1612" s="85" t="s">
        <v>2702</v>
      </c>
    </row>
    <row r="1613" spans="1:4">
      <c r="A1613" s="85">
        <v>125</v>
      </c>
      <c r="B1613" s="85">
        <v>338</v>
      </c>
      <c r="C1613" s="85">
        <f t="shared" si="25"/>
        <v>1609</v>
      </c>
      <c r="D1613" s="85" t="s">
        <v>2703</v>
      </c>
    </row>
    <row r="1614" spans="1:4">
      <c r="A1614" s="85">
        <v>125</v>
      </c>
      <c r="B1614" s="85">
        <v>338</v>
      </c>
      <c r="C1614" s="85">
        <f t="shared" si="25"/>
        <v>1610</v>
      </c>
      <c r="D1614" s="85" t="s">
        <v>2704</v>
      </c>
    </row>
    <row r="1615" spans="1:4">
      <c r="A1615" s="85">
        <v>125</v>
      </c>
      <c r="B1615" s="85">
        <v>338</v>
      </c>
      <c r="C1615" s="85">
        <f t="shared" si="25"/>
        <v>1611</v>
      </c>
      <c r="D1615" s="85" t="s">
        <v>2705</v>
      </c>
    </row>
    <row r="1616" spans="1:4">
      <c r="A1616" s="85">
        <v>125</v>
      </c>
      <c r="B1616" s="85">
        <v>338</v>
      </c>
      <c r="C1616" s="85">
        <f t="shared" si="25"/>
        <v>1612</v>
      </c>
      <c r="D1616" s="85" t="s">
        <v>2706</v>
      </c>
    </row>
    <row r="1617" spans="1:4">
      <c r="A1617" s="85">
        <v>125</v>
      </c>
      <c r="B1617" s="85">
        <v>339</v>
      </c>
      <c r="C1617" s="85">
        <f t="shared" si="25"/>
        <v>1613</v>
      </c>
      <c r="D1617" s="85" t="s">
        <v>2707</v>
      </c>
    </row>
    <row r="1618" spans="1:4">
      <c r="A1618" s="85">
        <v>125</v>
      </c>
      <c r="B1618" s="85">
        <v>339</v>
      </c>
      <c r="C1618" s="85">
        <f t="shared" si="25"/>
        <v>1614</v>
      </c>
      <c r="D1618" s="85" t="s">
        <v>2708</v>
      </c>
    </row>
    <row r="1619" spans="1:4">
      <c r="A1619" s="85">
        <v>125</v>
      </c>
      <c r="B1619" s="85">
        <v>339</v>
      </c>
      <c r="C1619" s="85">
        <f t="shared" si="25"/>
        <v>1615</v>
      </c>
      <c r="D1619" s="85" t="s">
        <v>2709</v>
      </c>
    </row>
    <row r="1620" spans="1:4">
      <c r="A1620" s="85">
        <v>125</v>
      </c>
      <c r="B1620" s="85">
        <v>339</v>
      </c>
      <c r="C1620" s="85">
        <f t="shared" si="25"/>
        <v>1616</v>
      </c>
      <c r="D1620" s="85" t="s">
        <v>2710</v>
      </c>
    </row>
    <row r="1621" spans="1:4">
      <c r="A1621" s="85">
        <v>126</v>
      </c>
      <c r="B1621" s="85">
        <v>340</v>
      </c>
      <c r="C1621" s="85">
        <f t="shared" si="25"/>
        <v>1617</v>
      </c>
      <c r="D1621" s="85" t="s">
        <v>2711</v>
      </c>
    </row>
    <row r="1622" spans="1:4">
      <c r="A1622" s="85">
        <v>126</v>
      </c>
      <c r="B1622" s="85">
        <v>340</v>
      </c>
      <c r="C1622" s="85">
        <f t="shared" si="25"/>
        <v>1618</v>
      </c>
      <c r="D1622" s="85" t="s">
        <v>2712</v>
      </c>
    </row>
    <row r="1623" spans="1:4">
      <c r="A1623" s="85">
        <v>126</v>
      </c>
      <c r="B1623" s="85">
        <v>340</v>
      </c>
      <c r="C1623" s="85">
        <f t="shared" si="25"/>
        <v>1619</v>
      </c>
      <c r="D1623" s="85" t="s">
        <v>2713</v>
      </c>
    </row>
    <row r="1624" spans="1:4">
      <c r="A1624" s="85">
        <v>126</v>
      </c>
      <c r="B1624" s="85">
        <v>340</v>
      </c>
      <c r="C1624" s="85">
        <f t="shared" si="25"/>
        <v>1620</v>
      </c>
      <c r="D1624" s="85" t="s">
        <v>2714</v>
      </c>
    </row>
    <row r="1625" spans="1:4">
      <c r="A1625" s="85">
        <v>126</v>
      </c>
      <c r="B1625" s="85">
        <v>340</v>
      </c>
      <c r="C1625" s="85">
        <f t="shared" si="25"/>
        <v>1621</v>
      </c>
      <c r="D1625" s="85" t="s">
        <v>2715</v>
      </c>
    </row>
    <row r="1626" spans="1:4">
      <c r="A1626" s="85">
        <v>126</v>
      </c>
      <c r="B1626" s="85">
        <v>340</v>
      </c>
      <c r="C1626" s="85">
        <f t="shared" si="25"/>
        <v>1622</v>
      </c>
      <c r="D1626" s="85" t="s">
        <v>2716</v>
      </c>
    </row>
    <row r="1627" spans="1:4">
      <c r="A1627" s="85">
        <v>126</v>
      </c>
      <c r="B1627" s="85">
        <v>341</v>
      </c>
      <c r="C1627" s="85">
        <f t="shared" si="25"/>
        <v>1623</v>
      </c>
      <c r="D1627" s="85" t="s">
        <v>2717</v>
      </c>
    </row>
    <row r="1628" spans="1:4">
      <c r="A1628" s="85">
        <v>126</v>
      </c>
      <c r="B1628" s="85">
        <v>341</v>
      </c>
      <c r="C1628" s="85">
        <f t="shared" si="25"/>
        <v>1624</v>
      </c>
      <c r="D1628" s="85" t="s">
        <v>2718</v>
      </c>
    </row>
    <row r="1629" spans="1:4">
      <c r="A1629" s="85">
        <v>126</v>
      </c>
      <c r="B1629" s="85">
        <v>341</v>
      </c>
      <c r="C1629" s="85">
        <f t="shared" si="25"/>
        <v>1625</v>
      </c>
      <c r="D1629" s="85" t="s">
        <v>2719</v>
      </c>
    </row>
    <row r="1630" spans="1:4">
      <c r="A1630" s="85">
        <v>126</v>
      </c>
      <c r="B1630" s="85">
        <v>341</v>
      </c>
      <c r="C1630" s="85">
        <f t="shared" ref="C1630:C1657" si="26">C1629+1</f>
        <v>1626</v>
      </c>
      <c r="D1630" s="85" t="s">
        <v>2720</v>
      </c>
    </row>
    <row r="1631" spans="1:4">
      <c r="A1631" s="85">
        <v>126</v>
      </c>
      <c r="B1631" s="85">
        <v>341</v>
      </c>
      <c r="C1631" s="85">
        <f t="shared" si="26"/>
        <v>1627</v>
      </c>
      <c r="D1631" s="85" t="s">
        <v>2721</v>
      </c>
    </row>
    <row r="1632" spans="1:4">
      <c r="A1632" s="85">
        <v>126</v>
      </c>
      <c r="B1632" s="85">
        <v>342</v>
      </c>
      <c r="C1632" s="85">
        <f t="shared" si="26"/>
        <v>1628</v>
      </c>
      <c r="D1632" s="85" t="s">
        <v>2722</v>
      </c>
    </row>
    <row r="1633" spans="1:4">
      <c r="A1633" s="85">
        <v>126</v>
      </c>
      <c r="B1633" s="85">
        <v>342</v>
      </c>
      <c r="C1633" s="85">
        <f t="shared" si="26"/>
        <v>1629</v>
      </c>
      <c r="D1633" s="85" t="s">
        <v>2723</v>
      </c>
    </row>
    <row r="1634" spans="1:4">
      <c r="A1634" s="85">
        <v>126</v>
      </c>
      <c r="B1634" s="85">
        <v>342</v>
      </c>
      <c r="C1634" s="85">
        <f t="shared" si="26"/>
        <v>1630</v>
      </c>
      <c r="D1634" s="85" t="s">
        <v>2724</v>
      </c>
    </row>
    <row r="1635" spans="1:4">
      <c r="A1635" s="85">
        <v>126</v>
      </c>
      <c r="B1635" s="85">
        <v>343</v>
      </c>
      <c r="C1635" s="85">
        <f t="shared" si="26"/>
        <v>1631</v>
      </c>
      <c r="D1635" s="85" t="s">
        <v>2725</v>
      </c>
    </row>
    <row r="1636" spans="1:4">
      <c r="A1636" s="85">
        <v>127</v>
      </c>
      <c r="B1636" s="85">
        <v>344</v>
      </c>
      <c r="C1636" s="85">
        <f t="shared" si="26"/>
        <v>1632</v>
      </c>
      <c r="D1636" s="85" t="s">
        <v>2726</v>
      </c>
    </row>
    <row r="1637" spans="1:4">
      <c r="A1637" s="85">
        <v>127</v>
      </c>
      <c r="B1637" s="85">
        <v>344</v>
      </c>
      <c r="C1637" s="85">
        <f t="shared" si="26"/>
        <v>1633</v>
      </c>
      <c r="D1637" s="85" t="s">
        <v>2727</v>
      </c>
    </row>
    <row r="1638" spans="1:4">
      <c r="A1638" s="85">
        <v>127</v>
      </c>
      <c r="B1638" s="85">
        <v>344</v>
      </c>
      <c r="C1638" s="85">
        <f t="shared" si="26"/>
        <v>1634</v>
      </c>
      <c r="D1638" s="85" t="s">
        <v>2728</v>
      </c>
    </row>
    <row r="1639" spans="1:4">
      <c r="A1639" s="85">
        <v>127</v>
      </c>
      <c r="B1639" s="85">
        <v>344</v>
      </c>
      <c r="C1639" s="85">
        <f t="shared" si="26"/>
        <v>1635</v>
      </c>
      <c r="D1639" s="85" t="s">
        <v>2729</v>
      </c>
    </row>
    <row r="1640" spans="1:4">
      <c r="A1640" s="85">
        <v>127</v>
      </c>
      <c r="B1640" s="85">
        <v>344</v>
      </c>
      <c r="C1640" s="85">
        <f t="shared" si="26"/>
        <v>1636</v>
      </c>
      <c r="D1640" s="85" t="s">
        <v>2729</v>
      </c>
    </row>
    <row r="1641" spans="1:4">
      <c r="A1641" s="85">
        <v>127</v>
      </c>
      <c r="B1641" s="85">
        <v>344</v>
      </c>
      <c r="C1641" s="85">
        <f t="shared" si="26"/>
        <v>1637</v>
      </c>
      <c r="D1641" s="85" t="s">
        <v>2730</v>
      </c>
    </row>
    <row r="1642" spans="1:4">
      <c r="A1642" s="85">
        <v>127</v>
      </c>
      <c r="B1642" s="85">
        <v>345</v>
      </c>
      <c r="C1642" s="85">
        <f t="shared" si="26"/>
        <v>1638</v>
      </c>
      <c r="D1642" s="85" t="s">
        <v>2731</v>
      </c>
    </row>
    <row r="1643" spans="1:4">
      <c r="A1643" s="85">
        <v>127</v>
      </c>
      <c r="B1643" s="85">
        <v>345</v>
      </c>
      <c r="C1643" s="85">
        <f t="shared" si="26"/>
        <v>1639</v>
      </c>
      <c r="D1643" s="85" t="s">
        <v>2732</v>
      </c>
    </row>
    <row r="1644" spans="1:4">
      <c r="A1644" s="85">
        <v>127</v>
      </c>
      <c r="B1644" s="85">
        <v>345</v>
      </c>
      <c r="C1644" s="85">
        <f t="shared" si="26"/>
        <v>1640</v>
      </c>
      <c r="D1644" s="85" t="s">
        <v>2733</v>
      </c>
    </row>
    <row r="1645" spans="1:4">
      <c r="A1645" s="85">
        <v>127</v>
      </c>
      <c r="B1645" s="85">
        <v>345</v>
      </c>
      <c r="C1645" s="85">
        <f t="shared" si="26"/>
        <v>1641</v>
      </c>
      <c r="D1645" s="85" t="s">
        <v>2734</v>
      </c>
    </row>
    <row r="1646" spans="1:4">
      <c r="A1646" s="85">
        <v>127</v>
      </c>
      <c r="B1646" s="85">
        <v>345</v>
      </c>
      <c r="C1646" s="85">
        <f t="shared" si="26"/>
        <v>1642</v>
      </c>
      <c r="D1646" s="85" t="s">
        <v>2735</v>
      </c>
    </row>
    <row r="1647" spans="1:4">
      <c r="A1647" s="85">
        <v>127</v>
      </c>
      <c r="B1647" s="85">
        <v>345</v>
      </c>
      <c r="C1647" s="85">
        <f t="shared" si="26"/>
        <v>1643</v>
      </c>
      <c r="D1647" s="85" t="s">
        <v>2736</v>
      </c>
    </row>
    <row r="1648" spans="1:4">
      <c r="A1648" s="85">
        <v>128</v>
      </c>
      <c r="B1648" s="85">
        <v>346</v>
      </c>
      <c r="C1648" s="85">
        <f t="shared" si="26"/>
        <v>1644</v>
      </c>
      <c r="D1648" s="85" t="s">
        <v>2737</v>
      </c>
    </row>
    <row r="1649" spans="1:4">
      <c r="A1649" s="85">
        <v>128</v>
      </c>
      <c r="B1649" s="85">
        <v>346</v>
      </c>
      <c r="C1649" s="85">
        <f t="shared" si="26"/>
        <v>1645</v>
      </c>
      <c r="D1649" s="85" t="s">
        <v>2738</v>
      </c>
    </row>
    <row r="1650" spans="1:4">
      <c r="A1650" s="85">
        <v>128</v>
      </c>
      <c r="B1650" s="85">
        <v>346</v>
      </c>
      <c r="C1650" s="85">
        <f t="shared" si="26"/>
        <v>1646</v>
      </c>
      <c r="D1650" s="85" t="s">
        <v>2739</v>
      </c>
    </row>
    <row r="1651" spans="1:4">
      <c r="A1651" s="85">
        <v>128</v>
      </c>
      <c r="B1651" s="85">
        <v>346</v>
      </c>
      <c r="C1651" s="85">
        <f t="shared" si="26"/>
        <v>1647</v>
      </c>
      <c r="D1651" s="85" t="s">
        <v>2740</v>
      </c>
    </row>
    <row r="1652" spans="1:4">
      <c r="A1652" s="85">
        <v>128</v>
      </c>
      <c r="B1652" s="85">
        <v>346</v>
      </c>
      <c r="C1652" s="85">
        <f t="shared" si="26"/>
        <v>1648</v>
      </c>
      <c r="D1652" s="85" t="s">
        <v>2741</v>
      </c>
    </row>
    <row r="1653" spans="1:4">
      <c r="A1653" s="85">
        <v>128</v>
      </c>
      <c r="B1653" s="85">
        <v>347</v>
      </c>
      <c r="C1653" s="85">
        <f t="shared" si="26"/>
        <v>1649</v>
      </c>
      <c r="D1653" s="85" t="s">
        <v>2742</v>
      </c>
    </row>
    <row r="1654" spans="1:4">
      <c r="A1654" s="85">
        <v>128</v>
      </c>
      <c r="B1654" s="85">
        <v>347</v>
      </c>
      <c r="C1654" s="85">
        <f t="shared" si="26"/>
        <v>1650</v>
      </c>
      <c r="D1654" s="85" t="s">
        <v>2743</v>
      </c>
    </row>
    <row r="1655" spans="1:4">
      <c r="A1655" s="85">
        <v>128</v>
      </c>
      <c r="B1655" s="85">
        <v>347</v>
      </c>
      <c r="C1655" s="85">
        <f t="shared" si="26"/>
        <v>1651</v>
      </c>
      <c r="D1655" s="85" t="s">
        <v>2744</v>
      </c>
    </row>
    <row r="1656" spans="1:4">
      <c r="A1656" s="85">
        <v>128</v>
      </c>
      <c r="B1656" s="85">
        <v>347</v>
      </c>
      <c r="C1656" s="85">
        <f t="shared" si="26"/>
        <v>1652</v>
      </c>
      <c r="D1656" s="85" t="s">
        <v>2745</v>
      </c>
    </row>
    <row r="1657" spans="1:4">
      <c r="A1657" s="85">
        <v>128</v>
      </c>
      <c r="B1657" s="85">
        <v>347</v>
      </c>
      <c r="C1657" s="85">
        <f t="shared" si="26"/>
        <v>1653</v>
      </c>
      <c r="D1657" s="85" t="s">
        <v>2746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4"/>
  <sheetViews>
    <sheetView workbookViewId="0">
      <selection activeCell="F5" sqref="F5"/>
    </sheetView>
  </sheetViews>
  <sheetFormatPr defaultRowHeight="15"/>
  <cols>
    <col min="1" max="1" width="9" style="12" customWidth="1"/>
    <col min="2" max="2" width="11.7109375" style="12" customWidth="1"/>
    <col min="3" max="3" width="8.42578125" style="12" customWidth="1"/>
    <col min="4" max="4" width="30.85546875" style="12" customWidth="1"/>
    <col min="5" max="6" width="7.140625" style="12" customWidth="1"/>
  </cols>
  <sheetData>
    <row r="1" spans="1:4">
      <c r="A1" s="12" t="s">
        <v>1094</v>
      </c>
      <c r="B1" s="12" t="s">
        <v>1095</v>
      </c>
      <c r="C1" s="12" t="s">
        <v>1096</v>
      </c>
      <c r="D1" s="30" t="s">
        <v>2747</v>
      </c>
    </row>
    <row r="2" spans="1:4">
      <c r="A2" s="12">
        <v>1</v>
      </c>
      <c r="B2" s="12">
        <v>1</v>
      </c>
      <c r="C2" s="12">
        <v>1</v>
      </c>
      <c r="D2" s="12" t="s">
        <v>1097</v>
      </c>
    </row>
    <row r="3" spans="1:4">
      <c r="A3" s="12">
        <v>1</v>
      </c>
      <c r="B3" s="12">
        <v>2</v>
      </c>
      <c r="C3" s="12">
        <v>5</v>
      </c>
      <c r="D3" s="12" t="s">
        <v>1101</v>
      </c>
    </row>
    <row r="4" spans="1:4">
      <c r="A4" s="12">
        <v>1</v>
      </c>
      <c r="B4" s="12">
        <v>3</v>
      </c>
      <c r="C4" s="12">
        <v>9</v>
      </c>
      <c r="D4" s="12" t="s">
        <v>1105</v>
      </c>
    </row>
    <row r="5" spans="1:4">
      <c r="A5" s="30">
        <v>2</v>
      </c>
      <c r="B5" s="12">
        <v>4</v>
      </c>
      <c r="C5" s="12">
        <v>17</v>
      </c>
      <c r="D5" s="12" t="s">
        <v>1113</v>
      </c>
    </row>
    <row r="6" spans="1:4">
      <c r="A6" s="30">
        <v>2</v>
      </c>
      <c r="B6" s="12">
        <v>5</v>
      </c>
      <c r="C6" s="12">
        <v>24</v>
      </c>
      <c r="D6" s="12" t="s">
        <v>1120</v>
      </c>
    </row>
    <row r="7" spans="1:4">
      <c r="A7" s="30">
        <v>3</v>
      </c>
      <c r="B7" s="12">
        <v>6</v>
      </c>
      <c r="C7" s="12">
        <v>28</v>
      </c>
      <c r="D7" s="12" t="s">
        <v>1124</v>
      </c>
    </row>
    <row r="8" spans="1:4">
      <c r="A8" s="30">
        <v>3</v>
      </c>
      <c r="B8" s="12">
        <v>7</v>
      </c>
      <c r="C8" s="12">
        <v>33</v>
      </c>
      <c r="D8" s="12" t="s">
        <v>1129</v>
      </c>
    </row>
    <row r="9" spans="1:4">
      <c r="A9" s="30">
        <v>3</v>
      </c>
      <c r="B9" s="12">
        <v>8</v>
      </c>
      <c r="C9" s="12">
        <v>36</v>
      </c>
      <c r="D9" s="12" t="s">
        <v>1132</v>
      </c>
    </row>
    <row r="10" spans="1:4">
      <c r="A10" s="30">
        <v>4</v>
      </c>
      <c r="B10" s="12">
        <v>9</v>
      </c>
      <c r="C10" s="12">
        <v>40</v>
      </c>
      <c r="D10" s="12" t="s">
        <v>1136</v>
      </c>
    </row>
    <row r="11" spans="1:4">
      <c r="A11" s="30">
        <v>4</v>
      </c>
      <c r="B11" s="12">
        <v>10</v>
      </c>
      <c r="C11" s="12">
        <v>44</v>
      </c>
      <c r="D11" s="12" t="s">
        <v>1140</v>
      </c>
    </row>
    <row r="12" spans="1:4">
      <c r="A12" s="30">
        <v>4</v>
      </c>
      <c r="B12" s="12">
        <v>11</v>
      </c>
      <c r="C12" s="12">
        <v>48</v>
      </c>
      <c r="D12" s="12" t="s">
        <v>1144</v>
      </c>
    </row>
    <row r="13" spans="1:4">
      <c r="A13" s="30">
        <v>5</v>
      </c>
      <c r="B13" s="12">
        <v>12</v>
      </c>
      <c r="C13" s="12">
        <v>51</v>
      </c>
      <c r="D13" s="12" t="s">
        <v>1147</v>
      </c>
    </row>
    <row r="14" spans="1:4">
      <c r="A14" s="12">
        <v>5</v>
      </c>
      <c r="B14" s="12">
        <v>13</v>
      </c>
      <c r="C14" s="12">
        <v>56</v>
      </c>
      <c r="D14" s="12" t="s">
        <v>1152</v>
      </c>
    </row>
    <row r="15" spans="1:4">
      <c r="A15" s="12">
        <v>5</v>
      </c>
      <c r="B15" s="12">
        <v>14</v>
      </c>
      <c r="C15" s="12">
        <v>60</v>
      </c>
      <c r="D15" s="12" t="s">
        <v>1156</v>
      </c>
    </row>
    <row r="16" spans="1:4">
      <c r="A16" s="12">
        <v>6</v>
      </c>
      <c r="B16" s="12">
        <v>15</v>
      </c>
      <c r="C16" s="12">
        <v>64</v>
      </c>
      <c r="D16" s="12" t="s">
        <v>1159</v>
      </c>
    </row>
    <row r="17" spans="1:4">
      <c r="A17" s="12">
        <v>6</v>
      </c>
      <c r="B17" s="12">
        <v>16</v>
      </c>
      <c r="C17" s="12">
        <v>69</v>
      </c>
      <c r="D17" s="12" t="s">
        <v>1164</v>
      </c>
    </row>
    <row r="18" spans="1:4">
      <c r="A18" s="12">
        <v>6</v>
      </c>
      <c r="B18" s="12">
        <v>17</v>
      </c>
      <c r="C18" s="12">
        <v>71</v>
      </c>
      <c r="D18" s="12" t="s">
        <v>1166</v>
      </c>
    </row>
    <row r="19" spans="1:4">
      <c r="A19" s="12">
        <v>7</v>
      </c>
      <c r="B19" s="12">
        <v>18</v>
      </c>
      <c r="C19" s="12">
        <v>78</v>
      </c>
      <c r="D19" s="12" t="s">
        <v>1173</v>
      </c>
    </row>
    <row r="20" spans="1:4">
      <c r="A20" s="12">
        <v>7</v>
      </c>
      <c r="B20" s="12">
        <v>19</v>
      </c>
      <c r="C20" s="12">
        <v>82</v>
      </c>
      <c r="D20" s="12" t="s">
        <v>1177</v>
      </c>
    </row>
    <row r="21" spans="1:4">
      <c r="A21" s="12">
        <v>7</v>
      </c>
      <c r="B21" s="12">
        <v>20</v>
      </c>
      <c r="C21" s="12">
        <v>85</v>
      </c>
      <c r="D21" s="12" t="s">
        <v>1180</v>
      </c>
    </row>
    <row r="22" spans="1:4">
      <c r="A22" s="12">
        <v>8</v>
      </c>
      <c r="B22" s="12">
        <v>21</v>
      </c>
      <c r="C22" s="12">
        <v>89</v>
      </c>
      <c r="D22" s="12" t="s">
        <v>1184</v>
      </c>
    </row>
    <row r="23" spans="1:4">
      <c r="A23" s="12">
        <v>8</v>
      </c>
      <c r="B23" s="12">
        <v>22</v>
      </c>
      <c r="C23" s="12">
        <v>93</v>
      </c>
      <c r="D23" s="12" t="s">
        <v>1188</v>
      </c>
    </row>
    <row r="24" spans="1:4">
      <c r="A24" s="12">
        <v>8</v>
      </c>
      <c r="B24" s="12">
        <v>23</v>
      </c>
      <c r="C24" s="12">
        <v>97</v>
      </c>
      <c r="D24" s="12" t="s">
        <v>1192</v>
      </c>
    </row>
    <row r="25" spans="1:4">
      <c r="A25" s="12">
        <v>9</v>
      </c>
      <c r="B25" s="12">
        <v>24</v>
      </c>
      <c r="C25" s="12">
        <v>103</v>
      </c>
      <c r="D25" s="12" t="s">
        <v>1198</v>
      </c>
    </row>
    <row r="26" spans="1:4">
      <c r="A26" s="12">
        <v>9</v>
      </c>
      <c r="B26" s="12">
        <v>25</v>
      </c>
      <c r="C26" s="12">
        <v>107</v>
      </c>
      <c r="D26" s="12" t="s">
        <v>1202</v>
      </c>
    </row>
    <row r="27" spans="1:4">
      <c r="A27" s="12">
        <v>9</v>
      </c>
      <c r="B27" s="12">
        <v>26</v>
      </c>
      <c r="C27" s="12">
        <v>108</v>
      </c>
      <c r="D27" s="12" t="s">
        <v>1203</v>
      </c>
    </row>
    <row r="28" spans="1:4">
      <c r="A28" s="12">
        <v>9</v>
      </c>
      <c r="B28" s="12">
        <v>27</v>
      </c>
      <c r="C28" s="12">
        <v>112</v>
      </c>
      <c r="D28" s="12" t="s">
        <v>1207</v>
      </c>
    </row>
    <row r="29" spans="1:4">
      <c r="A29" s="12">
        <v>10</v>
      </c>
      <c r="B29" s="12">
        <v>28</v>
      </c>
      <c r="C29" s="12">
        <v>115</v>
      </c>
      <c r="D29" s="12" t="s">
        <v>1128</v>
      </c>
    </row>
    <row r="30" spans="1:4">
      <c r="A30" s="12">
        <v>10</v>
      </c>
      <c r="B30" s="12">
        <v>29</v>
      </c>
      <c r="C30" s="12">
        <v>116</v>
      </c>
      <c r="D30" s="12" t="s">
        <v>1210</v>
      </c>
    </row>
    <row r="31" spans="1:4">
      <c r="A31" s="12">
        <v>10</v>
      </c>
      <c r="B31" s="12">
        <v>30</v>
      </c>
      <c r="C31" s="12">
        <v>121</v>
      </c>
      <c r="D31" s="12" t="s">
        <v>1215</v>
      </c>
    </row>
    <row r="32" spans="1:4">
      <c r="A32" s="12">
        <v>11</v>
      </c>
      <c r="B32" s="12">
        <v>31</v>
      </c>
      <c r="C32" s="12">
        <v>126</v>
      </c>
      <c r="D32" s="12" t="s">
        <v>1220</v>
      </c>
    </row>
    <row r="33" spans="1:4">
      <c r="A33" s="12">
        <v>11</v>
      </c>
      <c r="B33" s="12">
        <v>32</v>
      </c>
      <c r="C33" s="12">
        <v>131</v>
      </c>
      <c r="D33" s="12" t="s">
        <v>1225</v>
      </c>
    </row>
    <row r="34" spans="1:4">
      <c r="A34" s="12">
        <v>11</v>
      </c>
      <c r="B34" s="12">
        <v>33</v>
      </c>
      <c r="C34" s="12">
        <v>134</v>
      </c>
      <c r="D34" s="12" t="s">
        <v>1228</v>
      </c>
    </row>
    <row r="35" spans="1:4">
      <c r="A35" s="12">
        <v>12</v>
      </c>
      <c r="B35" s="12">
        <v>34</v>
      </c>
      <c r="C35" s="12">
        <v>138</v>
      </c>
      <c r="D35" s="12" t="s">
        <v>1232</v>
      </c>
    </row>
    <row r="36" spans="1:4">
      <c r="A36" s="12">
        <v>12</v>
      </c>
      <c r="B36" s="12">
        <v>35</v>
      </c>
      <c r="C36" s="12">
        <v>142</v>
      </c>
      <c r="D36" s="12" t="s">
        <v>1236</v>
      </c>
    </row>
    <row r="37" spans="1:4">
      <c r="A37" s="12">
        <v>12</v>
      </c>
      <c r="B37" s="12">
        <v>36</v>
      </c>
      <c r="C37" s="12">
        <v>143</v>
      </c>
      <c r="D37" s="12" t="s">
        <v>1237</v>
      </c>
    </row>
    <row r="38" spans="1:4">
      <c r="A38" s="12">
        <v>13</v>
      </c>
      <c r="B38" s="12">
        <v>37</v>
      </c>
      <c r="C38" s="12">
        <v>147</v>
      </c>
      <c r="D38" s="12" t="s">
        <v>1241</v>
      </c>
    </row>
    <row r="39" spans="1:4">
      <c r="A39" s="12">
        <v>13</v>
      </c>
      <c r="B39" s="12">
        <v>38</v>
      </c>
      <c r="C39" s="12">
        <v>152</v>
      </c>
      <c r="D39" s="12" t="s">
        <v>1246</v>
      </c>
    </row>
    <row r="40" spans="1:4">
      <c r="A40" s="12">
        <v>13</v>
      </c>
      <c r="B40" s="12">
        <v>39</v>
      </c>
      <c r="C40" s="12">
        <v>156</v>
      </c>
      <c r="D40" s="12" t="s">
        <v>1250</v>
      </c>
    </row>
    <row r="41" spans="1:4">
      <c r="A41" s="12">
        <v>14</v>
      </c>
      <c r="B41" s="12">
        <v>40</v>
      </c>
      <c r="C41" s="12">
        <v>158</v>
      </c>
      <c r="D41" s="12" t="s">
        <v>1252</v>
      </c>
    </row>
    <row r="42" spans="1:4">
      <c r="A42" s="12">
        <v>14</v>
      </c>
      <c r="B42" s="12">
        <v>41</v>
      </c>
      <c r="C42" s="12">
        <v>160</v>
      </c>
      <c r="D42" s="12" t="s">
        <v>1254</v>
      </c>
    </row>
    <row r="43" spans="1:4">
      <c r="A43" s="12">
        <v>14</v>
      </c>
      <c r="B43" s="12">
        <v>42</v>
      </c>
      <c r="C43" s="12">
        <v>163</v>
      </c>
      <c r="D43" s="12" t="s">
        <v>1257</v>
      </c>
    </row>
    <row r="44" spans="1:4">
      <c r="A44" s="12">
        <v>14</v>
      </c>
      <c r="B44" s="12">
        <v>43</v>
      </c>
      <c r="C44" s="12">
        <v>166</v>
      </c>
      <c r="D44" s="12" t="s">
        <v>1260</v>
      </c>
    </row>
    <row r="45" spans="1:4">
      <c r="A45" s="12">
        <v>15</v>
      </c>
      <c r="B45" s="12">
        <v>44</v>
      </c>
      <c r="C45" s="12">
        <v>169</v>
      </c>
      <c r="D45" s="12" t="s">
        <v>1263</v>
      </c>
    </row>
    <row r="46" spans="1:4">
      <c r="A46" s="12">
        <v>15</v>
      </c>
      <c r="B46" s="12">
        <v>45</v>
      </c>
      <c r="C46" s="12">
        <v>175</v>
      </c>
      <c r="D46" s="12" t="s">
        <v>1269</v>
      </c>
    </row>
    <row r="47" spans="1:4">
      <c r="A47" s="12">
        <v>16</v>
      </c>
      <c r="B47" s="12">
        <v>46</v>
      </c>
      <c r="C47" s="12">
        <v>189</v>
      </c>
      <c r="D47" s="12" t="s">
        <v>1283</v>
      </c>
    </row>
    <row r="48" spans="1:4">
      <c r="A48" s="12">
        <v>16</v>
      </c>
      <c r="B48" s="12">
        <v>47</v>
      </c>
      <c r="C48" s="12">
        <v>193</v>
      </c>
      <c r="D48" s="12" t="s">
        <v>1287</v>
      </c>
    </row>
    <row r="49" spans="1:4">
      <c r="A49" s="12">
        <v>17</v>
      </c>
      <c r="B49" s="12">
        <v>48</v>
      </c>
      <c r="C49" s="12">
        <v>199</v>
      </c>
      <c r="D49" s="12" t="s">
        <v>1293</v>
      </c>
    </row>
    <row r="50" spans="1:4">
      <c r="A50" s="12">
        <v>17</v>
      </c>
      <c r="B50" s="12">
        <v>49</v>
      </c>
      <c r="C50" s="12">
        <v>206</v>
      </c>
      <c r="D50" s="12" t="s">
        <v>1300</v>
      </c>
    </row>
    <row r="51" spans="1:4">
      <c r="A51" s="12">
        <v>17</v>
      </c>
      <c r="B51" s="12">
        <v>50</v>
      </c>
      <c r="C51" s="12">
        <v>210</v>
      </c>
      <c r="D51" s="12" t="s">
        <v>1304</v>
      </c>
    </row>
    <row r="52" spans="1:4">
      <c r="A52" s="12">
        <v>18</v>
      </c>
      <c r="B52" s="12">
        <v>51</v>
      </c>
      <c r="C52" s="12">
        <v>213</v>
      </c>
      <c r="D52" s="12" t="s">
        <v>1307</v>
      </c>
    </row>
    <row r="53" spans="1:4">
      <c r="A53" s="12">
        <v>18</v>
      </c>
      <c r="B53" s="12">
        <v>52</v>
      </c>
      <c r="C53" s="12">
        <v>217</v>
      </c>
      <c r="D53" s="12" t="s">
        <v>1311</v>
      </c>
    </row>
    <row r="54" spans="1:4">
      <c r="A54" s="12">
        <v>19</v>
      </c>
      <c r="B54" s="12">
        <v>53</v>
      </c>
      <c r="C54" s="12">
        <v>222</v>
      </c>
      <c r="D54" s="12" t="s">
        <v>1316</v>
      </c>
    </row>
    <row r="55" spans="1:4">
      <c r="A55" s="12">
        <v>20</v>
      </c>
      <c r="B55" s="12">
        <v>54</v>
      </c>
      <c r="C55" s="12">
        <v>226</v>
      </c>
      <c r="D55" s="12" t="s">
        <v>1320</v>
      </c>
    </row>
    <row r="56" spans="1:4">
      <c r="A56" s="12">
        <v>20</v>
      </c>
      <c r="B56" s="12">
        <v>55</v>
      </c>
      <c r="C56" s="12">
        <v>236</v>
      </c>
      <c r="D56" s="12" t="s">
        <v>1330</v>
      </c>
    </row>
    <row r="57" spans="1:4">
      <c r="A57" s="12">
        <v>21</v>
      </c>
      <c r="B57" s="12">
        <v>56</v>
      </c>
      <c r="C57" s="12">
        <v>246</v>
      </c>
      <c r="D57" s="12" t="s">
        <v>1340</v>
      </c>
    </row>
    <row r="58" spans="1:4">
      <c r="A58" s="12">
        <v>21</v>
      </c>
      <c r="B58" s="12">
        <v>57</v>
      </c>
      <c r="C58" s="12">
        <v>250</v>
      </c>
      <c r="D58" s="12" t="s">
        <v>1344</v>
      </c>
    </row>
    <row r="59" spans="1:4">
      <c r="A59" s="12">
        <v>21</v>
      </c>
      <c r="B59" s="12">
        <v>58</v>
      </c>
      <c r="C59" s="12">
        <v>254</v>
      </c>
      <c r="D59" s="12" t="s">
        <v>1348</v>
      </c>
    </row>
    <row r="60" spans="1:4">
      <c r="A60" s="12">
        <v>22</v>
      </c>
      <c r="B60" s="12">
        <v>60</v>
      </c>
      <c r="C60" s="12">
        <v>262</v>
      </c>
      <c r="D60" s="12" t="s">
        <v>1356</v>
      </c>
    </row>
    <row r="61" spans="1:4">
      <c r="A61" s="12">
        <v>22</v>
      </c>
      <c r="B61" s="12">
        <v>61</v>
      </c>
      <c r="C61" s="12">
        <v>269</v>
      </c>
      <c r="D61" s="12" t="s">
        <v>1363</v>
      </c>
    </row>
    <row r="62" spans="1:4">
      <c r="A62" s="12">
        <v>23</v>
      </c>
      <c r="B62" s="12">
        <v>63</v>
      </c>
      <c r="C62" s="12">
        <v>278</v>
      </c>
      <c r="D62" s="12" t="s">
        <v>1372</v>
      </c>
    </row>
    <row r="63" spans="1:4">
      <c r="A63" s="12">
        <v>23</v>
      </c>
      <c r="B63" s="12">
        <v>64</v>
      </c>
      <c r="C63" s="12">
        <v>280</v>
      </c>
      <c r="D63" s="12" t="s">
        <v>1374</v>
      </c>
    </row>
    <row r="64" spans="1:4">
      <c r="A64" s="12">
        <v>24</v>
      </c>
      <c r="B64" s="12">
        <v>65</v>
      </c>
      <c r="C64" s="12">
        <v>285</v>
      </c>
      <c r="D64" s="12" t="s">
        <v>1379</v>
      </c>
    </row>
    <row r="65" spans="1:4">
      <c r="A65" s="12">
        <v>24</v>
      </c>
      <c r="B65" s="12">
        <v>67</v>
      </c>
      <c r="C65" s="12">
        <v>293</v>
      </c>
      <c r="D65" s="12" t="s">
        <v>1387</v>
      </c>
    </row>
    <row r="66" spans="1:4">
      <c r="A66" s="12">
        <v>25</v>
      </c>
      <c r="B66" s="12">
        <v>68</v>
      </c>
      <c r="C66" s="12">
        <v>296</v>
      </c>
      <c r="D66" s="12" t="s">
        <v>1390</v>
      </c>
    </row>
    <row r="67" spans="1:4">
      <c r="A67" s="12">
        <v>25</v>
      </c>
      <c r="B67" s="12">
        <v>69</v>
      </c>
      <c r="C67" s="12">
        <v>300</v>
      </c>
      <c r="D67" s="12" t="s">
        <v>1394</v>
      </c>
    </row>
    <row r="68" spans="1:4">
      <c r="A68" s="12">
        <v>25</v>
      </c>
      <c r="B68" s="12">
        <v>70</v>
      </c>
      <c r="C68" s="12">
        <v>303</v>
      </c>
      <c r="D68" s="12" t="s">
        <v>1397</v>
      </c>
    </row>
    <row r="69" spans="1:4">
      <c r="A69" s="12">
        <v>26</v>
      </c>
      <c r="B69" s="12">
        <v>71</v>
      </c>
      <c r="C69" s="12">
        <v>308</v>
      </c>
      <c r="D69" s="12" t="s">
        <v>1402</v>
      </c>
    </row>
    <row r="70" spans="1:4">
      <c r="A70" s="12">
        <v>26</v>
      </c>
      <c r="B70" s="12">
        <v>72</v>
      </c>
      <c r="C70" s="12">
        <v>314</v>
      </c>
      <c r="D70" s="12" t="s">
        <v>1408</v>
      </c>
    </row>
    <row r="71" spans="1:4">
      <c r="A71" s="12">
        <v>26</v>
      </c>
      <c r="B71" s="12">
        <v>73</v>
      </c>
      <c r="C71" s="12">
        <v>317</v>
      </c>
      <c r="D71" s="12" t="s">
        <v>1411</v>
      </c>
    </row>
    <row r="72" spans="1:4">
      <c r="A72" s="12">
        <v>27</v>
      </c>
      <c r="B72" s="12">
        <v>74</v>
      </c>
      <c r="C72" s="12">
        <v>323</v>
      </c>
      <c r="D72" s="12" t="s">
        <v>1417</v>
      </c>
    </row>
    <row r="73" spans="1:4">
      <c r="A73" s="12">
        <v>27</v>
      </c>
      <c r="B73" s="12">
        <v>75</v>
      </c>
      <c r="C73" s="12">
        <v>328</v>
      </c>
      <c r="D73" s="12" t="s">
        <v>1422</v>
      </c>
    </row>
    <row r="74" spans="1:4">
      <c r="A74" s="12">
        <v>27</v>
      </c>
      <c r="B74" s="12">
        <v>76</v>
      </c>
      <c r="C74" s="12">
        <v>332</v>
      </c>
      <c r="D74" s="12" t="s">
        <v>1426</v>
      </c>
    </row>
    <row r="75" spans="1:4">
      <c r="A75" s="12">
        <v>28</v>
      </c>
      <c r="B75" s="12">
        <v>77</v>
      </c>
      <c r="C75" s="12">
        <v>336</v>
      </c>
      <c r="D75" s="12" t="s">
        <v>1430</v>
      </c>
    </row>
    <row r="76" spans="1:4">
      <c r="A76" s="12">
        <v>29</v>
      </c>
      <c r="B76" s="12">
        <v>78</v>
      </c>
      <c r="C76" s="12">
        <v>342</v>
      </c>
      <c r="D76" s="12" t="s">
        <v>1436</v>
      </c>
    </row>
    <row r="77" spans="1:4">
      <c r="A77" s="12">
        <v>29</v>
      </c>
      <c r="B77" s="12">
        <v>79</v>
      </c>
      <c r="C77" s="12">
        <v>346</v>
      </c>
      <c r="D77" s="12" t="s">
        <v>1440</v>
      </c>
    </row>
    <row r="78" spans="1:4">
      <c r="A78" s="12">
        <v>29</v>
      </c>
      <c r="B78" s="12">
        <v>80</v>
      </c>
      <c r="C78" s="12">
        <v>349</v>
      </c>
      <c r="D78" s="12" t="s">
        <v>1443</v>
      </c>
    </row>
    <row r="79" spans="1:4">
      <c r="A79" s="12">
        <v>30</v>
      </c>
      <c r="B79" s="12">
        <v>81</v>
      </c>
      <c r="C79" s="12">
        <v>352</v>
      </c>
      <c r="D79" s="12" t="s">
        <v>1446</v>
      </c>
    </row>
    <row r="80" spans="1:4">
      <c r="A80" s="12">
        <v>30</v>
      </c>
      <c r="B80" s="12">
        <v>82</v>
      </c>
      <c r="C80" s="12">
        <v>358</v>
      </c>
      <c r="D80" s="12" t="s">
        <v>1452</v>
      </c>
    </row>
    <row r="81" spans="1:4">
      <c r="A81" s="12">
        <v>31</v>
      </c>
      <c r="B81" s="12">
        <v>83</v>
      </c>
      <c r="C81" s="12">
        <v>368</v>
      </c>
      <c r="D81" s="12" t="s">
        <v>1462</v>
      </c>
    </row>
    <row r="82" spans="1:4">
      <c r="A82" s="12">
        <v>31</v>
      </c>
      <c r="B82" s="12">
        <v>84</v>
      </c>
      <c r="C82" s="12">
        <v>372</v>
      </c>
      <c r="D82" s="12" t="s">
        <v>1466</v>
      </c>
    </row>
    <row r="83" spans="1:4">
      <c r="A83" s="12">
        <v>31</v>
      </c>
      <c r="B83" s="12">
        <v>85</v>
      </c>
      <c r="C83" s="12">
        <v>375</v>
      </c>
      <c r="D83" s="12" t="s">
        <v>1469</v>
      </c>
    </row>
    <row r="84" spans="1:4">
      <c r="A84" s="12">
        <v>32</v>
      </c>
      <c r="B84" s="12">
        <v>86</v>
      </c>
      <c r="C84" s="12">
        <v>379</v>
      </c>
      <c r="D84" s="12" t="s">
        <v>1473</v>
      </c>
    </row>
    <row r="85" spans="1:4">
      <c r="A85" s="12">
        <v>32</v>
      </c>
      <c r="B85" s="12">
        <v>87</v>
      </c>
      <c r="C85" s="12">
        <v>383</v>
      </c>
      <c r="D85" s="12" t="s">
        <v>1477</v>
      </c>
    </row>
    <row r="86" spans="1:4">
      <c r="A86" s="12">
        <v>33</v>
      </c>
      <c r="B86" s="12">
        <v>88</v>
      </c>
      <c r="C86" s="12">
        <v>389</v>
      </c>
      <c r="D86" s="12" t="s">
        <v>1483</v>
      </c>
    </row>
    <row r="87" spans="1:4">
      <c r="A87" s="12">
        <v>33</v>
      </c>
      <c r="B87" s="12">
        <v>89</v>
      </c>
      <c r="C87" s="12">
        <v>394</v>
      </c>
      <c r="D87" s="12" t="s">
        <v>1488</v>
      </c>
    </row>
    <row r="88" spans="1:4">
      <c r="A88" s="12">
        <v>34</v>
      </c>
      <c r="B88" s="12">
        <v>90</v>
      </c>
      <c r="C88" s="12">
        <v>397</v>
      </c>
      <c r="D88" s="12" t="s">
        <v>1491</v>
      </c>
    </row>
    <row r="89" spans="1:4">
      <c r="A89" s="12">
        <v>34</v>
      </c>
      <c r="B89" s="12">
        <v>91</v>
      </c>
      <c r="C89" s="12">
        <v>399</v>
      </c>
      <c r="D89" s="12" t="s">
        <v>1493</v>
      </c>
    </row>
    <row r="90" spans="1:4">
      <c r="A90" s="12">
        <v>34</v>
      </c>
      <c r="B90" s="12">
        <v>92</v>
      </c>
      <c r="C90" s="12">
        <v>404</v>
      </c>
      <c r="D90" s="12" t="s">
        <v>1498</v>
      </c>
    </row>
    <row r="91" spans="1:4">
      <c r="A91" s="12">
        <v>35</v>
      </c>
      <c r="B91" s="12">
        <v>93</v>
      </c>
      <c r="C91" s="12">
        <v>408</v>
      </c>
      <c r="D91" s="12" t="s">
        <v>1502</v>
      </c>
    </row>
    <row r="92" spans="1:4">
      <c r="A92" s="12">
        <v>35</v>
      </c>
      <c r="B92" s="12">
        <v>94</v>
      </c>
      <c r="C92" s="12">
        <v>412</v>
      </c>
      <c r="D92" s="12" t="s">
        <v>1506</v>
      </c>
    </row>
    <row r="93" spans="1:4">
      <c r="A93" s="12">
        <v>35</v>
      </c>
      <c r="B93" s="12">
        <v>95</v>
      </c>
      <c r="C93" s="12">
        <v>414</v>
      </c>
      <c r="D93" s="12" t="s">
        <v>1508</v>
      </c>
    </row>
    <row r="94" spans="1:4">
      <c r="A94" s="12">
        <v>35</v>
      </c>
      <c r="B94" s="12">
        <v>96</v>
      </c>
      <c r="C94" s="12">
        <v>416</v>
      </c>
      <c r="D94" s="12" t="s">
        <v>1510</v>
      </c>
    </row>
    <row r="95" spans="1:4">
      <c r="A95" s="12">
        <v>36</v>
      </c>
      <c r="B95" s="12">
        <v>97</v>
      </c>
      <c r="C95" s="12">
        <v>420</v>
      </c>
      <c r="D95" s="12" t="s">
        <v>1514</v>
      </c>
    </row>
    <row r="96" spans="1:4">
      <c r="A96" s="12">
        <v>36</v>
      </c>
      <c r="B96" s="12">
        <v>98</v>
      </c>
      <c r="C96" s="12">
        <v>426</v>
      </c>
      <c r="D96" s="12" t="s">
        <v>1520</v>
      </c>
    </row>
    <row r="97" spans="1:4">
      <c r="A97" s="12">
        <v>36</v>
      </c>
      <c r="B97" s="12">
        <v>99</v>
      </c>
      <c r="C97" s="12">
        <v>432</v>
      </c>
      <c r="D97" s="12" t="s">
        <v>1526</v>
      </c>
    </row>
    <row r="98" spans="1:4">
      <c r="A98" s="12">
        <v>37</v>
      </c>
      <c r="B98" s="12">
        <v>100</v>
      </c>
      <c r="C98" s="12">
        <v>437</v>
      </c>
      <c r="D98" s="12" t="s">
        <v>1531</v>
      </c>
    </row>
    <row r="99" spans="1:4">
      <c r="A99" s="12">
        <v>37</v>
      </c>
      <c r="B99" s="12">
        <v>101</v>
      </c>
      <c r="C99" s="12">
        <v>440</v>
      </c>
      <c r="D99" s="12" t="s">
        <v>1534</v>
      </c>
    </row>
    <row r="100" spans="1:4">
      <c r="A100" s="12">
        <v>37</v>
      </c>
      <c r="B100" s="12">
        <v>102</v>
      </c>
      <c r="C100" s="12">
        <v>445</v>
      </c>
      <c r="D100" s="12" t="s">
        <v>1539</v>
      </c>
    </row>
    <row r="101" spans="1:4">
      <c r="A101" s="12">
        <v>38</v>
      </c>
      <c r="B101" s="12">
        <v>103</v>
      </c>
      <c r="C101" s="12">
        <v>450</v>
      </c>
      <c r="D101" s="12" t="s">
        <v>1544</v>
      </c>
    </row>
    <row r="102" spans="1:4">
      <c r="A102" s="12">
        <v>38</v>
      </c>
      <c r="B102" s="12">
        <v>104</v>
      </c>
      <c r="C102" s="12">
        <v>454</v>
      </c>
      <c r="D102" s="12" t="s">
        <v>1548</v>
      </c>
    </row>
    <row r="103" spans="1:4">
      <c r="A103" s="12">
        <v>39</v>
      </c>
      <c r="B103" s="12">
        <v>105</v>
      </c>
      <c r="C103" s="12">
        <v>462</v>
      </c>
      <c r="D103" s="12" t="s">
        <v>1556</v>
      </c>
    </row>
    <row r="104" spans="1:4">
      <c r="A104" s="12">
        <v>39</v>
      </c>
      <c r="B104" s="12">
        <v>106</v>
      </c>
      <c r="C104" s="12">
        <v>469</v>
      </c>
      <c r="D104" s="12" t="s">
        <v>1563</v>
      </c>
    </row>
    <row r="105" spans="1:4">
      <c r="A105" s="12">
        <v>40</v>
      </c>
      <c r="B105" s="12">
        <v>107</v>
      </c>
      <c r="C105" s="12">
        <v>472</v>
      </c>
      <c r="D105" s="12" t="s">
        <v>1566</v>
      </c>
    </row>
    <row r="106" spans="1:4">
      <c r="A106" s="12">
        <v>40</v>
      </c>
      <c r="B106" s="12">
        <v>108</v>
      </c>
      <c r="C106" s="12">
        <v>479</v>
      </c>
      <c r="D106" s="12" t="s">
        <v>1573</v>
      </c>
    </row>
    <row r="107" spans="1:4">
      <c r="A107" s="12">
        <v>41</v>
      </c>
      <c r="B107" s="12">
        <v>109</v>
      </c>
      <c r="C107" s="12">
        <v>485</v>
      </c>
      <c r="D107" s="12" t="s">
        <v>1579</v>
      </c>
    </row>
    <row r="108" spans="1:4">
      <c r="A108" s="12">
        <v>41</v>
      </c>
      <c r="B108" s="12">
        <v>110</v>
      </c>
      <c r="C108" s="12">
        <v>493</v>
      </c>
      <c r="D108" s="12" t="s">
        <v>1587</v>
      </c>
    </row>
    <row r="109" spans="1:4">
      <c r="A109" s="12">
        <v>41</v>
      </c>
      <c r="B109" s="12">
        <v>111</v>
      </c>
      <c r="C109" s="12">
        <v>494</v>
      </c>
      <c r="D109" s="12" t="s">
        <v>1588</v>
      </c>
    </row>
    <row r="110" spans="1:4">
      <c r="A110" s="12">
        <v>42</v>
      </c>
      <c r="B110" s="12">
        <v>113</v>
      </c>
      <c r="C110" s="12">
        <v>503</v>
      </c>
      <c r="D110" s="12" t="s">
        <v>1597</v>
      </c>
    </row>
    <row r="111" spans="1:4">
      <c r="A111" s="12">
        <v>42</v>
      </c>
      <c r="B111" s="12">
        <v>114</v>
      </c>
      <c r="C111" s="12">
        <v>509</v>
      </c>
      <c r="D111" s="12" t="s">
        <v>1603</v>
      </c>
    </row>
    <row r="112" spans="1:4">
      <c r="A112" s="12">
        <v>43</v>
      </c>
      <c r="B112" s="12">
        <v>115</v>
      </c>
      <c r="C112" s="12">
        <v>512</v>
      </c>
      <c r="D112" s="12" t="s">
        <v>1606</v>
      </c>
    </row>
    <row r="113" spans="1:4">
      <c r="A113" s="12">
        <v>43</v>
      </c>
      <c r="B113" s="12">
        <v>116</v>
      </c>
      <c r="C113" s="12">
        <v>519</v>
      </c>
      <c r="D113" s="12" t="s">
        <v>1613</v>
      </c>
    </row>
    <row r="114" spans="1:4">
      <c r="A114" s="12">
        <v>44</v>
      </c>
      <c r="B114" s="12">
        <v>117</v>
      </c>
      <c r="C114" s="12">
        <v>528</v>
      </c>
      <c r="D114" s="12" t="s">
        <v>1622</v>
      </c>
    </row>
    <row r="115" spans="1:4">
      <c r="A115" s="12">
        <v>44</v>
      </c>
      <c r="B115" s="12">
        <v>118</v>
      </c>
      <c r="C115" s="12">
        <v>537</v>
      </c>
      <c r="D115" s="12" t="s">
        <v>1631</v>
      </c>
    </row>
    <row r="116" spans="1:4">
      <c r="A116" s="12">
        <v>45</v>
      </c>
      <c r="B116" s="12">
        <v>119</v>
      </c>
      <c r="C116" s="12">
        <v>543</v>
      </c>
      <c r="D116" s="12" t="s">
        <v>1637</v>
      </c>
    </row>
    <row r="117" spans="1:4">
      <c r="A117" s="12">
        <v>45</v>
      </c>
      <c r="B117" s="12">
        <v>120</v>
      </c>
      <c r="C117" s="12">
        <v>546</v>
      </c>
      <c r="D117" s="12" t="s">
        <v>1640</v>
      </c>
    </row>
    <row r="118" spans="1:4">
      <c r="A118" s="12">
        <v>46</v>
      </c>
      <c r="B118" s="12">
        <v>121</v>
      </c>
      <c r="C118" s="12">
        <v>559</v>
      </c>
      <c r="D118" s="12" t="s">
        <v>1653</v>
      </c>
    </row>
    <row r="119" spans="1:4">
      <c r="A119" s="12">
        <v>46</v>
      </c>
      <c r="B119" s="12">
        <v>122</v>
      </c>
      <c r="C119" s="12">
        <v>562</v>
      </c>
      <c r="D119" s="12" t="s">
        <v>1656</v>
      </c>
    </row>
    <row r="120" spans="1:4">
      <c r="A120" s="12">
        <v>46</v>
      </c>
      <c r="B120" s="12">
        <v>123</v>
      </c>
      <c r="C120" s="12">
        <v>565</v>
      </c>
      <c r="D120" s="12" t="s">
        <v>1659</v>
      </c>
    </row>
    <row r="121" spans="1:4">
      <c r="A121" s="12">
        <v>47</v>
      </c>
      <c r="B121" s="12">
        <v>124</v>
      </c>
      <c r="C121" s="12">
        <v>569</v>
      </c>
      <c r="D121" s="12" t="s">
        <v>1663</v>
      </c>
    </row>
    <row r="122" spans="1:4">
      <c r="A122" s="12">
        <v>47</v>
      </c>
      <c r="B122" s="12">
        <v>125</v>
      </c>
      <c r="C122" s="12">
        <v>573</v>
      </c>
      <c r="D122" s="12" t="s">
        <v>1667</v>
      </c>
    </row>
    <row r="123" spans="1:4">
      <c r="A123" s="12">
        <v>47</v>
      </c>
      <c r="B123" s="12">
        <v>126</v>
      </c>
      <c r="C123" s="12">
        <v>579</v>
      </c>
      <c r="D123" s="12" t="s">
        <v>1673</v>
      </c>
    </row>
    <row r="124" spans="1:4">
      <c r="A124" s="12">
        <v>48</v>
      </c>
      <c r="B124" s="12">
        <v>127</v>
      </c>
      <c r="C124" s="12">
        <v>583</v>
      </c>
      <c r="D124" s="12" t="s">
        <v>1678</v>
      </c>
    </row>
    <row r="125" spans="1:4">
      <c r="A125" s="12">
        <v>48</v>
      </c>
      <c r="B125" s="12">
        <v>128</v>
      </c>
      <c r="C125" s="12">
        <v>590</v>
      </c>
      <c r="D125" s="12" t="s">
        <v>1685</v>
      </c>
    </row>
    <row r="126" spans="1:4">
      <c r="A126" s="12">
        <v>49</v>
      </c>
      <c r="B126" s="12">
        <v>129</v>
      </c>
      <c r="C126" s="12">
        <v>598</v>
      </c>
      <c r="D126" s="12" t="s">
        <v>1693</v>
      </c>
    </row>
    <row r="127" spans="1:4">
      <c r="A127" s="12">
        <v>49</v>
      </c>
      <c r="B127" s="12">
        <v>130</v>
      </c>
      <c r="C127" s="12">
        <v>604</v>
      </c>
      <c r="D127" s="12" t="s">
        <v>1699</v>
      </c>
    </row>
    <row r="128" spans="1:4">
      <c r="A128" s="12">
        <v>49</v>
      </c>
      <c r="B128" s="12">
        <v>131</v>
      </c>
      <c r="C128" s="12">
        <v>608</v>
      </c>
      <c r="D128" s="12" t="s">
        <v>1703</v>
      </c>
    </row>
    <row r="129" spans="1:4">
      <c r="A129" s="12">
        <v>50</v>
      </c>
      <c r="B129" s="12">
        <v>132</v>
      </c>
      <c r="C129" s="12">
        <v>613</v>
      </c>
      <c r="D129" s="12" t="s">
        <v>1708</v>
      </c>
    </row>
    <row r="130" spans="1:4">
      <c r="A130" s="12">
        <v>50</v>
      </c>
      <c r="B130" s="12">
        <v>133</v>
      </c>
      <c r="C130" s="12">
        <v>620</v>
      </c>
      <c r="D130" s="12" t="s">
        <v>1715</v>
      </c>
    </row>
    <row r="131" spans="1:4">
      <c r="A131" s="12">
        <v>50</v>
      </c>
      <c r="B131" s="12">
        <v>134</v>
      </c>
      <c r="C131" s="12">
        <v>623</v>
      </c>
      <c r="D131" s="12" t="s">
        <v>1718</v>
      </c>
    </row>
    <row r="132" spans="1:4">
      <c r="A132" s="12">
        <v>51</v>
      </c>
      <c r="B132" s="12">
        <v>135</v>
      </c>
      <c r="C132" s="12">
        <v>626</v>
      </c>
      <c r="D132" s="12" t="s">
        <v>1721</v>
      </c>
    </row>
    <row r="133" spans="1:4">
      <c r="A133" s="12">
        <v>51</v>
      </c>
      <c r="B133" s="12">
        <v>136</v>
      </c>
      <c r="C133" s="12">
        <v>629</v>
      </c>
      <c r="D133" s="12" t="s">
        <v>1724</v>
      </c>
    </row>
    <row r="134" spans="1:4">
      <c r="A134" s="12">
        <v>51</v>
      </c>
      <c r="B134" s="12">
        <v>137</v>
      </c>
      <c r="C134" s="12">
        <v>635</v>
      </c>
      <c r="D134" s="12" t="s">
        <v>1730</v>
      </c>
    </row>
    <row r="135" spans="1:4">
      <c r="A135" s="12">
        <v>52</v>
      </c>
      <c r="B135" s="12">
        <v>138</v>
      </c>
      <c r="C135" s="12">
        <v>639</v>
      </c>
      <c r="D135" s="12" t="s">
        <v>1734</v>
      </c>
    </row>
    <row r="136" spans="1:4">
      <c r="A136" s="12">
        <v>52</v>
      </c>
      <c r="B136" s="12">
        <v>139</v>
      </c>
      <c r="C136" s="12">
        <v>643</v>
      </c>
      <c r="D136" s="12" t="s">
        <v>1738</v>
      </c>
    </row>
    <row r="137" spans="1:4">
      <c r="A137" s="12">
        <v>52</v>
      </c>
      <c r="B137" s="12">
        <v>140</v>
      </c>
      <c r="C137" s="12">
        <v>649</v>
      </c>
      <c r="D137" s="12" t="s">
        <v>1744</v>
      </c>
    </row>
    <row r="138" spans="1:4">
      <c r="A138" s="12">
        <v>53</v>
      </c>
      <c r="B138" s="12">
        <v>141</v>
      </c>
      <c r="C138" s="12">
        <v>652</v>
      </c>
      <c r="D138" s="12" t="s">
        <v>1747</v>
      </c>
    </row>
    <row r="139" spans="1:4">
      <c r="A139" s="12">
        <v>53</v>
      </c>
      <c r="B139" s="12">
        <v>142</v>
      </c>
      <c r="C139" s="12">
        <v>658</v>
      </c>
      <c r="D139" s="12" t="s">
        <v>1753</v>
      </c>
    </row>
    <row r="140" spans="1:4">
      <c r="A140" s="12">
        <v>53</v>
      </c>
      <c r="B140" s="12">
        <v>143</v>
      </c>
      <c r="C140" s="12">
        <v>662</v>
      </c>
      <c r="D140" s="12" t="s">
        <v>1757</v>
      </c>
    </row>
    <row r="141" spans="1:4">
      <c r="A141" s="12">
        <v>54</v>
      </c>
      <c r="B141" s="12">
        <v>144</v>
      </c>
      <c r="C141" s="12">
        <v>669</v>
      </c>
      <c r="D141" s="12" t="s">
        <v>1764</v>
      </c>
    </row>
    <row r="142" spans="1:4">
      <c r="A142" s="12">
        <v>54</v>
      </c>
      <c r="B142" s="12">
        <v>145</v>
      </c>
      <c r="C142" s="12">
        <v>673</v>
      </c>
      <c r="D142" s="12" t="s">
        <v>1768</v>
      </c>
    </row>
    <row r="143" spans="1:4">
      <c r="A143" s="12">
        <v>54</v>
      </c>
      <c r="B143" s="12">
        <v>146</v>
      </c>
      <c r="C143" s="12">
        <v>676</v>
      </c>
      <c r="D143" s="12" t="s">
        <v>1771</v>
      </c>
    </row>
    <row r="144" spans="1:4">
      <c r="A144" s="12">
        <v>55</v>
      </c>
      <c r="B144" s="12">
        <v>147</v>
      </c>
      <c r="C144" s="12">
        <v>681</v>
      </c>
      <c r="D144" s="12" t="s">
        <v>1776</v>
      </c>
    </row>
    <row r="145" spans="1:4">
      <c r="A145" s="12">
        <v>55</v>
      </c>
      <c r="B145" s="12">
        <v>148</v>
      </c>
      <c r="C145" s="12">
        <v>686</v>
      </c>
      <c r="D145" s="12" t="s">
        <v>1781</v>
      </c>
    </row>
    <row r="146" spans="1:4">
      <c r="A146" s="12">
        <v>55</v>
      </c>
      <c r="B146" s="12">
        <v>149</v>
      </c>
      <c r="C146" s="12">
        <v>691</v>
      </c>
      <c r="D146" s="12" t="s">
        <v>1786</v>
      </c>
    </row>
    <row r="147" spans="1:4">
      <c r="A147" s="12">
        <v>56</v>
      </c>
      <c r="B147" s="12">
        <v>150</v>
      </c>
      <c r="C147" s="12">
        <v>695</v>
      </c>
      <c r="D147" s="12" t="s">
        <v>1790</v>
      </c>
    </row>
    <row r="148" spans="1:4">
      <c r="A148" s="12">
        <v>56</v>
      </c>
      <c r="B148" s="12">
        <v>151</v>
      </c>
      <c r="C148" s="12">
        <v>699</v>
      </c>
      <c r="D148" s="12" t="s">
        <v>1794</v>
      </c>
    </row>
    <row r="149" spans="1:4">
      <c r="A149" s="12">
        <v>56</v>
      </c>
      <c r="B149" s="12">
        <v>152</v>
      </c>
      <c r="C149" s="12">
        <v>703</v>
      </c>
      <c r="D149" s="12" t="s">
        <v>1798</v>
      </c>
    </row>
    <row r="150" spans="1:4">
      <c r="A150" s="12">
        <v>57</v>
      </c>
      <c r="B150" s="12">
        <v>153</v>
      </c>
      <c r="C150" s="12">
        <v>707</v>
      </c>
      <c r="D150" s="12" t="s">
        <v>1802</v>
      </c>
    </row>
    <row r="151" spans="1:4">
      <c r="A151" s="12">
        <v>57</v>
      </c>
      <c r="B151" s="12">
        <v>154</v>
      </c>
      <c r="C151" s="12">
        <v>716</v>
      </c>
      <c r="D151" s="12" t="s">
        <v>1811</v>
      </c>
    </row>
    <row r="152" spans="1:4">
      <c r="A152" s="12">
        <v>58</v>
      </c>
      <c r="B152" s="12">
        <v>156</v>
      </c>
      <c r="C152" s="12">
        <v>726</v>
      </c>
      <c r="D152" s="12" t="s">
        <v>1821</v>
      </c>
    </row>
    <row r="153" spans="1:4">
      <c r="A153" s="12">
        <v>59</v>
      </c>
      <c r="B153" s="12">
        <v>157</v>
      </c>
      <c r="C153" s="12">
        <v>732</v>
      </c>
      <c r="D153" s="12" t="s">
        <v>1827</v>
      </c>
    </row>
    <row r="154" spans="1:4">
      <c r="A154" s="12">
        <v>59</v>
      </c>
      <c r="B154" s="12">
        <v>158</v>
      </c>
      <c r="C154" s="12">
        <v>739</v>
      </c>
      <c r="D154" s="12" t="s">
        <v>1834</v>
      </c>
    </row>
    <row r="155" spans="1:4">
      <c r="A155" s="12">
        <v>59</v>
      </c>
      <c r="B155" s="12">
        <v>159</v>
      </c>
      <c r="C155" s="12">
        <v>743</v>
      </c>
      <c r="D155" s="12" t="s">
        <v>1838</v>
      </c>
    </row>
    <row r="156" spans="1:4">
      <c r="A156" s="12">
        <v>60</v>
      </c>
      <c r="B156" s="12">
        <v>160</v>
      </c>
      <c r="C156" s="12">
        <v>747</v>
      </c>
      <c r="D156" s="12" t="s">
        <v>1842</v>
      </c>
    </row>
    <row r="157" spans="1:4">
      <c r="A157" s="12">
        <v>60</v>
      </c>
      <c r="B157" s="12">
        <v>161</v>
      </c>
      <c r="C157" s="12">
        <v>749</v>
      </c>
      <c r="D157" s="12" t="s">
        <v>1844</v>
      </c>
    </row>
    <row r="158" spans="1:4">
      <c r="A158" s="12">
        <v>60</v>
      </c>
      <c r="B158" s="12">
        <v>162</v>
      </c>
      <c r="C158" s="12">
        <v>751</v>
      </c>
      <c r="D158" s="12" t="s">
        <v>1846</v>
      </c>
    </row>
    <row r="159" spans="1:4">
      <c r="A159" s="12">
        <v>60</v>
      </c>
      <c r="B159" s="12">
        <v>163</v>
      </c>
      <c r="C159" s="12">
        <v>756</v>
      </c>
      <c r="D159" s="12" t="s">
        <v>1851</v>
      </c>
    </row>
    <row r="160" spans="1:4">
      <c r="A160" s="12">
        <v>61</v>
      </c>
      <c r="B160" s="12">
        <v>164</v>
      </c>
      <c r="C160" s="12">
        <v>759</v>
      </c>
      <c r="D160" s="12" t="s">
        <v>1854</v>
      </c>
    </row>
    <row r="161" spans="1:4">
      <c r="A161" s="12">
        <v>61</v>
      </c>
      <c r="B161" s="12">
        <v>165</v>
      </c>
      <c r="C161" s="12">
        <v>762</v>
      </c>
      <c r="D161" s="12" t="s">
        <v>1857</v>
      </c>
    </row>
    <row r="162" spans="1:4">
      <c r="A162" s="12">
        <v>61</v>
      </c>
      <c r="B162" s="12">
        <v>166</v>
      </c>
      <c r="C162" s="12">
        <v>766</v>
      </c>
      <c r="D162" s="12" t="s">
        <v>1861</v>
      </c>
    </row>
    <row r="163" spans="1:4">
      <c r="A163" s="12">
        <v>62</v>
      </c>
      <c r="B163" s="12">
        <v>167</v>
      </c>
      <c r="C163" s="12">
        <v>770</v>
      </c>
      <c r="D163" s="12" t="s">
        <v>1865</v>
      </c>
    </row>
    <row r="164" spans="1:4">
      <c r="A164" s="12">
        <v>62</v>
      </c>
      <c r="B164" s="12">
        <v>168</v>
      </c>
      <c r="C164" s="12">
        <v>776</v>
      </c>
      <c r="D164" s="12" t="s">
        <v>1871</v>
      </c>
    </row>
    <row r="165" spans="1:4">
      <c r="A165" s="12">
        <v>62</v>
      </c>
      <c r="B165" s="12">
        <v>169</v>
      </c>
      <c r="C165" s="12">
        <v>780</v>
      </c>
      <c r="D165" s="12" t="s">
        <v>1875</v>
      </c>
    </row>
    <row r="166" spans="1:4">
      <c r="A166" s="12">
        <v>62</v>
      </c>
      <c r="B166" s="12">
        <v>170</v>
      </c>
      <c r="C166" s="12">
        <v>782</v>
      </c>
      <c r="D166" s="12" t="s">
        <v>1877</v>
      </c>
    </row>
    <row r="167" spans="1:4">
      <c r="A167" s="12">
        <v>63</v>
      </c>
      <c r="B167" s="12">
        <v>171</v>
      </c>
      <c r="C167" s="12">
        <v>786</v>
      </c>
      <c r="D167" s="12" t="s">
        <v>1881</v>
      </c>
    </row>
    <row r="168" spans="1:4">
      <c r="A168" s="12">
        <v>63</v>
      </c>
      <c r="B168" s="12">
        <v>172</v>
      </c>
      <c r="C168" s="12">
        <v>793</v>
      </c>
      <c r="D168" s="12" t="s">
        <v>1888</v>
      </c>
    </row>
    <row r="169" spans="1:4">
      <c r="A169" s="12">
        <v>63</v>
      </c>
      <c r="B169" s="12">
        <v>173</v>
      </c>
      <c r="C169" s="12">
        <v>799</v>
      </c>
      <c r="D169" s="12" t="s">
        <v>1894</v>
      </c>
    </row>
    <row r="170" spans="1:4">
      <c r="A170" s="12">
        <v>64</v>
      </c>
      <c r="B170" s="12">
        <v>174</v>
      </c>
      <c r="C170" s="12">
        <v>805</v>
      </c>
      <c r="D170" s="12" t="s">
        <v>1900</v>
      </c>
    </row>
    <row r="171" spans="1:4">
      <c r="A171" s="12">
        <v>64</v>
      </c>
      <c r="B171" s="12">
        <v>175</v>
      </c>
      <c r="C171" s="12">
        <v>809</v>
      </c>
      <c r="D171" s="12" t="s">
        <v>1904</v>
      </c>
    </row>
    <row r="172" spans="1:4">
      <c r="A172" s="12">
        <v>64</v>
      </c>
      <c r="B172" s="12">
        <v>176</v>
      </c>
      <c r="C172" s="12">
        <v>810</v>
      </c>
      <c r="D172" s="12" t="s">
        <v>1905</v>
      </c>
    </row>
    <row r="173" spans="1:4">
      <c r="A173" s="12">
        <v>65</v>
      </c>
      <c r="B173" s="12">
        <v>177</v>
      </c>
      <c r="C173" s="12">
        <v>814</v>
      </c>
      <c r="D173" s="12" t="s">
        <v>1909</v>
      </c>
    </row>
    <row r="174" spans="1:4">
      <c r="A174" s="12">
        <v>65</v>
      </c>
      <c r="B174" s="12">
        <v>178</v>
      </c>
      <c r="C174" s="12">
        <v>817</v>
      </c>
      <c r="D174" s="12" t="s">
        <v>1912</v>
      </c>
    </row>
    <row r="175" spans="1:4">
      <c r="A175" s="12">
        <v>65</v>
      </c>
      <c r="B175" s="12">
        <v>179</v>
      </c>
      <c r="C175" s="12">
        <v>820</v>
      </c>
      <c r="D175" s="12" t="s">
        <v>1915</v>
      </c>
    </row>
    <row r="176" spans="1:4">
      <c r="A176" s="12">
        <v>66</v>
      </c>
      <c r="B176" s="12">
        <v>180</v>
      </c>
      <c r="C176" s="12">
        <v>826</v>
      </c>
      <c r="D176" s="12" t="s">
        <v>1921</v>
      </c>
    </row>
    <row r="177" spans="1:4">
      <c r="A177" s="12">
        <v>66</v>
      </c>
      <c r="B177" s="12">
        <v>181</v>
      </c>
      <c r="C177" s="12">
        <v>831</v>
      </c>
      <c r="D177" s="12" t="s">
        <v>1926</v>
      </c>
    </row>
    <row r="178" spans="1:4">
      <c r="A178" s="12">
        <v>66</v>
      </c>
      <c r="B178" s="12">
        <v>182</v>
      </c>
      <c r="C178" s="12">
        <v>837</v>
      </c>
      <c r="D178" s="12" t="s">
        <v>1931</v>
      </c>
    </row>
    <row r="179" spans="1:4">
      <c r="A179" s="12">
        <v>67</v>
      </c>
      <c r="B179" s="12">
        <v>183</v>
      </c>
      <c r="C179" s="12">
        <v>838</v>
      </c>
      <c r="D179" s="12" t="s">
        <v>1932</v>
      </c>
    </row>
    <row r="180" spans="1:4">
      <c r="A180" s="12">
        <v>67</v>
      </c>
      <c r="B180" s="12">
        <v>184</v>
      </c>
      <c r="C180" s="12">
        <v>847</v>
      </c>
      <c r="D180" s="12" t="s">
        <v>1941</v>
      </c>
    </row>
    <row r="181" spans="1:4">
      <c r="A181" s="12">
        <v>68</v>
      </c>
      <c r="B181" s="12">
        <v>185</v>
      </c>
      <c r="C181" s="12">
        <v>851</v>
      </c>
      <c r="D181" s="12" t="s">
        <v>1945</v>
      </c>
    </row>
    <row r="182" spans="1:4">
      <c r="A182" s="12">
        <v>68</v>
      </c>
      <c r="B182" s="12">
        <v>186</v>
      </c>
      <c r="C182" s="12">
        <v>858</v>
      </c>
      <c r="D182" s="12" t="s">
        <v>1952</v>
      </c>
    </row>
    <row r="183" spans="1:4">
      <c r="A183" s="12">
        <v>68</v>
      </c>
      <c r="B183" s="12">
        <v>187</v>
      </c>
      <c r="C183" s="12">
        <v>860</v>
      </c>
      <c r="D183" s="12" t="s">
        <v>1954</v>
      </c>
    </row>
    <row r="184" spans="1:4">
      <c r="A184" s="12">
        <v>69</v>
      </c>
      <c r="B184" s="12">
        <v>188</v>
      </c>
      <c r="C184" s="12">
        <v>864</v>
      </c>
      <c r="D184" s="12" t="s">
        <v>1958</v>
      </c>
    </row>
    <row r="185" spans="1:4">
      <c r="A185" s="12">
        <v>69</v>
      </c>
      <c r="B185" s="12">
        <v>189</v>
      </c>
      <c r="C185" s="12">
        <v>875</v>
      </c>
      <c r="D185" s="12" t="s">
        <v>1969</v>
      </c>
    </row>
    <row r="186" spans="1:4">
      <c r="A186" s="12">
        <v>69</v>
      </c>
      <c r="B186" s="12">
        <v>189</v>
      </c>
      <c r="C186" s="12">
        <v>881</v>
      </c>
      <c r="D186" s="12" t="s">
        <v>1975</v>
      </c>
    </row>
    <row r="187" spans="1:4">
      <c r="A187" s="12">
        <v>71</v>
      </c>
      <c r="B187" s="12">
        <v>191</v>
      </c>
      <c r="C187" s="12">
        <v>891</v>
      </c>
      <c r="D187" s="12" t="s">
        <v>1986</v>
      </c>
    </row>
    <row r="188" spans="1:4">
      <c r="A188" s="12">
        <v>71</v>
      </c>
      <c r="B188" s="12">
        <v>192</v>
      </c>
      <c r="C188" s="12">
        <v>894</v>
      </c>
      <c r="D188" s="12" t="s">
        <v>1989</v>
      </c>
    </row>
    <row r="189" spans="1:4">
      <c r="A189" s="12">
        <v>71</v>
      </c>
      <c r="B189" s="12">
        <v>193</v>
      </c>
      <c r="C189" s="12">
        <v>897</v>
      </c>
      <c r="D189" s="12" t="s">
        <v>1992</v>
      </c>
    </row>
    <row r="190" spans="1:4">
      <c r="A190" s="12">
        <v>71</v>
      </c>
      <c r="B190" s="12">
        <v>194</v>
      </c>
      <c r="C190" s="12">
        <v>900</v>
      </c>
      <c r="D190" s="12" t="s">
        <v>1995</v>
      </c>
    </row>
    <row r="191" spans="1:4">
      <c r="A191" s="12">
        <v>72</v>
      </c>
      <c r="B191" s="12">
        <v>195</v>
      </c>
      <c r="C191" s="12">
        <v>904</v>
      </c>
      <c r="D191" s="12" t="s">
        <v>1999</v>
      </c>
    </row>
    <row r="192" spans="1:4">
      <c r="A192" s="12">
        <v>72</v>
      </c>
      <c r="B192" s="12">
        <v>196</v>
      </c>
      <c r="C192" s="12">
        <v>908</v>
      </c>
      <c r="D192" s="12" t="s">
        <v>2003</v>
      </c>
    </row>
    <row r="193" spans="1:4">
      <c r="A193" s="12">
        <v>72</v>
      </c>
      <c r="B193" s="12">
        <v>197</v>
      </c>
      <c r="C193" s="12">
        <v>913</v>
      </c>
      <c r="D193" s="12" t="s">
        <v>2008</v>
      </c>
    </row>
    <row r="194" spans="1:4">
      <c r="A194" s="12">
        <v>73</v>
      </c>
      <c r="B194" s="12">
        <v>198</v>
      </c>
      <c r="C194" s="12">
        <v>914</v>
      </c>
      <c r="D194" s="12" t="s">
        <v>2009</v>
      </c>
    </row>
    <row r="195" spans="1:4">
      <c r="A195" s="12">
        <v>74</v>
      </c>
      <c r="B195" s="12">
        <v>199</v>
      </c>
      <c r="C195" s="12">
        <v>922</v>
      </c>
      <c r="D195" s="12" t="s">
        <v>2017</v>
      </c>
    </row>
    <row r="196" spans="1:4">
      <c r="A196" s="12">
        <v>75</v>
      </c>
      <c r="B196" s="12">
        <v>200</v>
      </c>
      <c r="C196" s="12">
        <v>926</v>
      </c>
      <c r="D196" s="12" t="s">
        <v>2021</v>
      </c>
    </row>
    <row r="197" spans="1:4">
      <c r="A197" s="12">
        <v>75</v>
      </c>
      <c r="B197" s="12">
        <v>201</v>
      </c>
      <c r="C197" s="12">
        <v>928</v>
      </c>
      <c r="D197" s="12" t="s">
        <v>2023</v>
      </c>
    </row>
    <row r="198" spans="1:4">
      <c r="A198" s="12">
        <v>75</v>
      </c>
      <c r="B198" s="12">
        <v>202</v>
      </c>
      <c r="C198" s="12">
        <v>934</v>
      </c>
      <c r="D198" s="12" t="s">
        <v>2029</v>
      </c>
    </row>
    <row r="199" spans="1:4">
      <c r="A199" s="12">
        <v>76</v>
      </c>
      <c r="B199" s="12">
        <v>203</v>
      </c>
      <c r="C199" s="12">
        <v>936</v>
      </c>
      <c r="D199" s="12" t="s">
        <v>2031</v>
      </c>
    </row>
    <row r="200" spans="1:4">
      <c r="A200" s="12">
        <v>76</v>
      </c>
      <c r="B200" s="12">
        <v>204</v>
      </c>
      <c r="C200" s="12">
        <v>939</v>
      </c>
      <c r="D200" s="12" t="s">
        <v>2034</v>
      </c>
    </row>
    <row r="201" spans="1:4">
      <c r="A201" s="12">
        <v>76</v>
      </c>
      <c r="B201" s="12">
        <v>205</v>
      </c>
      <c r="C201" s="12">
        <v>944</v>
      </c>
      <c r="D201" s="12" t="s">
        <v>2039</v>
      </c>
    </row>
    <row r="202" spans="1:4">
      <c r="A202" s="12">
        <v>77</v>
      </c>
      <c r="B202" s="12">
        <v>206</v>
      </c>
      <c r="C202" s="12">
        <v>949</v>
      </c>
      <c r="D202" s="12" t="s">
        <v>2044</v>
      </c>
    </row>
    <row r="203" spans="1:4">
      <c r="A203" s="12">
        <v>77</v>
      </c>
      <c r="B203" s="12">
        <v>207</v>
      </c>
      <c r="C203" s="12">
        <v>953</v>
      </c>
      <c r="D203" s="12" t="s">
        <v>2048</v>
      </c>
    </row>
    <row r="204" spans="1:4">
      <c r="A204" s="12">
        <v>77</v>
      </c>
      <c r="B204" s="12">
        <v>208</v>
      </c>
      <c r="C204" s="12">
        <v>955</v>
      </c>
      <c r="D204" s="12" t="s">
        <v>2050</v>
      </c>
    </row>
    <row r="205" spans="1:4">
      <c r="A205" s="12">
        <v>77</v>
      </c>
      <c r="B205" s="12">
        <v>209</v>
      </c>
      <c r="C205" s="12">
        <v>956</v>
      </c>
      <c r="D205" s="12" t="s">
        <v>2051</v>
      </c>
    </row>
    <row r="206" spans="1:4">
      <c r="A206" s="12">
        <v>78</v>
      </c>
      <c r="B206" s="12">
        <v>210</v>
      </c>
      <c r="C206" s="12">
        <v>961</v>
      </c>
      <c r="D206" s="12" t="s">
        <v>2056</v>
      </c>
    </row>
    <row r="207" spans="1:4">
      <c r="A207" s="12">
        <v>78</v>
      </c>
      <c r="B207" s="12">
        <v>211</v>
      </c>
      <c r="C207" s="12">
        <v>967</v>
      </c>
      <c r="D207" s="12" t="s">
        <v>2062</v>
      </c>
    </row>
    <row r="208" spans="1:4">
      <c r="A208" s="12">
        <v>78</v>
      </c>
      <c r="B208" s="12">
        <v>212</v>
      </c>
      <c r="C208" s="12">
        <v>971</v>
      </c>
      <c r="D208" s="12" t="s">
        <v>2066</v>
      </c>
    </row>
    <row r="209" spans="1:4">
      <c r="A209" s="12">
        <v>79</v>
      </c>
      <c r="B209" s="12">
        <v>213</v>
      </c>
      <c r="C209" s="12">
        <v>978</v>
      </c>
      <c r="D209" s="12" t="s">
        <v>2073</v>
      </c>
    </row>
    <row r="210" spans="1:4">
      <c r="A210" s="12">
        <v>79</v>
      </c>
      <c r="B210" s="12">
        <v>214</v>
      </c>
      <c r="C210" s="12">
        <v>983</v>
      </c>
      <c r="D210" s="12" t="s">
        <v>2078</v>
      </c>
    </row>
    <row r="211" spans="1:4">
      <c r="A211" s="12">
        <v>79</v>
      </c>
      <c r="B211" s="12">
        <v>215</v>
      </c>
      <c r="C211" s="12">
        <v>990</v>
      </c>
      <c r="D211" s="12" t="s">
        <v>2085</v>
      </c>
    </row>
    <row r="212" spans="1:4">
      <c r="A212" s="12">
        <v>80</v>
      </c>
      <c r="B212" s="12">
        <v>216</v>
      </c>
      <c r="C212" s="12">
        <v>994</v>
      </c>
      <c r="D212" s="12" t="s">
        <v>2089</v>
      </c>
    </row>
    <row r="213" spans="1:4">
      <c r="A213" s="12">
        <v>80</v>
      </c>
      <c r="B213" s="12">
        <v>217</v>
      </c>
      <c r="C213" s="12">
        <v>997</v>
      </c>
      <c r="D213" s="12" t="s">
        <v>2092</v>
      </c>
    </row>
    <row r="214" spans="1:4">
      <c r="A214" s="12">
        <v>80</v>
      </c>
      <c r="B214" s="12">
        <v>218</v>
      </c>
      <c r="C214" s="12">
        <v>1002</v>
      </c>
      <c r="D214" s="12" t="s">
        <v>2097</v>
      </c>
    </row>
    <row r="215" spans="1:4">
      <c r="A215" s="12">
        <v>81</v>
      </c>
      <c r="B215" s="12">
        <v>219</v>
      </c>
      <c r="C215" s="12">
        <v>1008</v>
      </c>
      <c r="D215" s="12" t="s">
        <v>2103</v>
      </c>
    </row>
    <row r="216" spans="1:4">
      <c r="A216" s="12">
        <v>81</v>
      </c>
      <c r="B216" s="12">
        <v>220</v>
      </c>
      <c r="C216" s="12">
        <v>1013</v>
      </c>
      <c r="D216" s="12" t="s">
        <v>2108</v>
      </c>
    </row>
    <row r="217" spans="1:4">
      <c r="A217" s="12">
        <v>82</v>
      </c>
      <c r="B217" s="12">
        <v>221</v>
      </c>
      <c r="C217" s="12">
        <v>1023</v>
      </c>
      <c r="D217" s="12" t="s">
        <v>2118</v>
      </c>
    </row>
    <row r="218" spans="1:4">
      <c r="A218" s="12">
        <v>82</v>
      </c>
      <c r="B218" s="12">
        <v>222</v>
      </c>
      <c r="C218" s="12">
        <v>1030</v>
      </c>
      <c r="D218" s="12" t="s">
        <v>2125</v>
      </c>
    </row>
    <row r="219" spans="1:4">
      <c r="B219" s="12">
        <v>223</v>
      </c>
      <c r="C219" s="12">
        <v>1034</v>
      </c>
      <c r="D219" s="12" t="s">
        <v>2129</v>
      </c>
    </row>
    <row r="220" spans="1:4">
      <c r="A220" s="12">
        <v>83</v>
      </c>
      <c r="B220" s="12">
        <v>224</v>
      </c>
      <c r="C220" s="12">
        <v>1038</v>
      </c>
      <c r="D220" s="12" t="s">
        <v>2133</v>
      </c>
    </row>
    <row r="221" spans="1:4">
      <c r="A221" s="12">
        <v>83</v>
      </c>
      <c r="B221" s="12">
        <v>225</v>
      </c>
      <c r="C221" s="12">
        <v>1039</v>
      </c>
      <c r="D221" s="12" t="s">
        <v>2134</v>
      </c>
    </row>
    <row r="222" spans="1:4">
      <c r="A222" s="12">
        <v>83</v>
      </c>
      <c r="B222" s="12">
        <v>226</v>
      </c>
      <c r="C222" s="12">
        <v>1044</v>
      </c>
      <c r="D222" s="12" t="s">
        <v>2139</v>
      </c>
    </row>
    <row r="223" spans="1:4">
      <c r="A223" s="12">
        <v>84</v>
      </c>
      <c r="B223" s="12">
        <v>227</v>
      </c>
      <c r="C223" s="12">
        <v>1049</v>
      </c>
      <c r="D223" s="12" t="s">
        <v>2144</v>
      </c>
    </row>
    <row r="224" spans="1:4">
      <c r="A224" s="12">
        <v>84</v>
      </c>
      <c r="B224" s="12">
        <v>228</v>
      </c>
      <c r="C224" s="12">
        <v>1064</v>
      </c>
      <c r="D224" s="12" t="s">
        <v>2159</v>
      </c>
    </row>
    <row r="225" spans="1:4">
      <c r="A225" s="12">
        <v>85</v>
      </c>
      <c r="B225" s="12">
        <v>229</v>
      </c>
      <c r="C225" s="12">
        <v>1068</v>
      </c>
      <c r="D225" s="12" t="s">
        <v>2163</v>
      </c>
    </row>
    <row r="226" spans="1:4">
      <c r="A226" s="12">
        <v>85</v>
      </c>
      <c r="B226" s="12">
        <v>230</v>
      </c>
      <c r="C226" s="12">
        <v>1074</v>
      </c>
      <c r="D226" s="12" t="s">
        <v>2169</v>
      </c>
    </row>
    <row r="227" spans="1:4">
      <c r="A227" s="12">
        <v>85</v>
      </c>
      <c r="B227" s="12">
        <v>231</v>
      </c>
      <c r="C227" s="12">
        <v>1081</v>
      </c>
      <c r="D227" s="12" t="s">
        <v>2176</v>
      </c>
    </row>
    <row r="228" spans="1:4">
      <c r="A228" s="12">
        <v>86</v>
      </c>
      <c r="B228" s="12">
        <v>232</v>
      </c>
      <c r="C228" s="12">
        <v>1085</v>
      </c>
      <c r="D228" s="12" t="s">
        <v>2180</v>
      </c>
    </row>
    <row r="229" spans="1:4">
      <c r="A229" s="12">
        <v>86</v>
      </c>
      <c r="B229" s="12">
        <v>233</v>
      </c>
      <c r="C229" s="12">
        <v>1090</v>
      </c>
      <c r="D229" s="12" t="s">
        <v>2185</v>
      </c>
    </row>
    <row r="230" spans="1:4">
      <c r="A230" s="12">
        <v>87</v>
      </c>
      <c r="B230" s="12">
        <v>234</v>
      </c>
      <c r="C230" s="12">
        <v>1102</v>
      </c>
      <c r="D230" s="12" t="s">
        <v>2197</v>
      </c>
    </row>
    <row r="231" spans="1:4">
      <c r="A231" s="12">
        <v>87</v>
      </c>
      <c r="B231" s="12">
        <v>235</v>
      </c>
      <c r="C231" s="12">
        <v>1104</v>
      </c>
      <c r="D231" s="12" t="s">
        <v>2199</v>
      </c>
    </row>
    <row r="232" spans="1:4">
      <c r="A232" s="12">
        <v>87</v>
      </c>
      <c r="B232" s="12">
        <v>236</v>
      </c>
      <c r="C232" s="12">
        <v>1108</v>
      </c>
      <c r="D232" s="12" t="s">
        <v>2203</v>
      </c>
    </row>
    <row r="233" spans="1:4">
      <c r="A233" s="12">
        <v>87</v>
      </c>
      <c r="B233" s="12">
        <v>237</v>
      </c>
      <c r="C233" s="12">
        <v>1111</v>
      </c>
      <c r="D233" s="12" t="s">
        <v>2206</v>
      </c>
    </row>
    <row r="234" spans="1:4">
      <c r="A234" s="12">
        <v>88</v>
      </c>
      <c r="B234" s="12">
        <v>238</v>
      </c>
      <c r="C234" s="12">
        <v>1116</v>
      </c>
      <c r="D234" s="12" t="s">
        <v>2211</v>
      </c>
    </row>
    <row r="235" spans="1:4">
      <c r="A235" s="12">
        <v>88</v>
      </c>
      <c r="B235" s="12">
        <v>239</v>
      </c>
      <c r="C235" s="12">
        <v>1121</v>
      </c>
      <c r="D235" s="12" t="s">
        <v>2216</v>
      </c>
    </row>
    <row r="236" spans="1:4">
      <c r="A236" s="12">
        <v>89</v>
      </c>
      <c r="B236" s="12">
        <v>240</v>
      </c>
      <c r="C236" s="12">
        <v>1126</v>
      </c>
      <c r="D236" s="12" t="s">
        <v>2221</v>
      </c>
    </row>
    <row r="237" spans="1:4">
      <c r="A237" s="12">
        <v>89</v>
      </c>
      <c r="B237" s="12">
        <v>241</v>
      </c>
      <c r="C237" s="12">
        <v>1130</v>
      </c>
      <c r="D237" s="12" t="s">
        <v>2225</v>
      </c>
    </row>
    <row r="238" spans="1:4">
      <c r="A238" s="12">
        <v>89</v>
      </c>
      <c r="B238" s="12">
        <v>242</v>
      </c>
      <c r="C238" s="12">
        <v>1134</v>
      </c>
      <c r="D238" s="12" t="s">
        <v>2229</v>
      </c>
    </row>
    <row r="239" spans="1:4">
      <c r="A239" s="12">
        <v>90</v>
      </c>
      <c r="B239" s="12">
        <v>243</v>
      </c>
      <c r="C239" s="12">
        <v>1141</v>
      </c>
      <c r="D239" s="12" t="s">
        <v>2236</v>
      </c>
    </row>
    <row r="240" spans="1:4">
      <c r="A240" s="12">
        <v>90</v>
      </c>
      <c r="B240" s="12">
        <v>244</v>
      </c>
      <c r="C240" s="12">
        <v>1146</v>
      </c>
      <c r="D240" s="12" t="s">
        <v>2241</v>
      </c>
    </row>
    <row r="241" spans="1:4">
      <c r="A241" s="12">
        <v>90</v>
      </c>
      <c r="B241" s="12">
        <v>245</v>
      </c>
      <c r="C241" s="12">
        <v>1149</v>
      </c>
      <c r="D241" s="12" t="s">
        <v>2244</v>
      </c>
    </row>
    <row r="242" spans="1:4">
      <c r="A242" s="12">
        <v>91</v>
      </c>
      <c r="B242" s="12">
        <v>246</v>
      </c>
      <c r="C242" s="12">
        <v>1150</v>
      </c>
      <c r="D242" s="12" t="s">
        <v>2245</v>
      </c>
    </row>
    <row r="243" spans="1:4">
      <c r="A243" s="12">
        <v>91</v>
      </c>
      <c r="B243" s="12">
        <v>247</v>
      </c>
      <c r="C243" s="12">
        <v>1153</v>
      </c>
      <c r="D243" s="12" t="s">
        <v>2248</v>
      </c>
    </row>
    <row r="244" spans="1:4">
      <c r="A244" s="12">
        <v>92</v>
      </c>
      <c r="B244" s="12">
        <v>248</v>
      </c>
      <c r="C244" s="12">
        <v>1165</v>
      </c>
      <c r="D244" s="12" t="s">
        <v>2260</v>
      </c>
    </row>
    <row r="245" spans="1:4">
      <c r="A245" s="12">
        <v>92</v>
      </c>
      <c r="B245" s="12">
        <v>249</v>
      </c>
      <c r="C245" s="12">
        <v>1171</v>
      </c>
      <c r="D245" s="12" t="s">
        <v>2266</v>
      </c>
    </row>
    <row r="246" spans="1:4">
      <c r="A246" s="12">
        <v>92</v>
      </c>
      <c r="B246" s="12">
        <v>250</v>
      </c>
      <c r="C246" s="12">
        <v>1175</v>
      </c>
      <c r="D246" s="12" t="s">
        <v>2270</v>
      </c>
    </row>
    <row r="247" spans="1:4">
      <c r="A247" s="12">
        <v>93</v>
      </c>
      <c r="B247" s="12">
        <v>251</v>
      </c>
      <c r="C247" s="12">
        <v>1178</v>
      </c>
      <c r="D247" s="12" t="s">
        <v>2273</v>
      </c>
    </row>
    <row r="248" spans="1:4">
      <c r="A248" s="12">
        <v>93</v>
      </c>
      <c r="B248" s="12">
        <v>252</v>
      </c>
      <c r="C248" s="12">
        <v>1183</v>
      </c>
      <c r="D248" s="12" t="s">
        <v>2278</v>
      </c>
    </row>
    <row r="249" spans="1:4">
      <c r="A249" s="12">
        <v>93</v>
      </c>
      <c r="B249" s="12">
        <v>253</v>
      </c>
      <c r="C249" s="12">
        <v>1188</v>
      </c>
      <c r="D249" s="12" t="s">
        <v>2283</v>
      </c>
    </row>
    <row r="250" spans="1:4">
      <c r="A250" s="12">
        <v>94</v>
      </c>
      <c r="B250" s="12">
        <v>254</v>
      </c>
      <c r="C250" s="12">
        <v>1189</v>
      </c>
      <c r="D250" s="12" t="s">
        <v>2284</v>
      </c>
    </row>
    <row r="251" spans="1:4">
      <c r="A251" s="12">
        <v>94</v>
      </c>
      <c r="B251" s="12">
        <v>255</v>
      </c>
      <c r="C251" s="12">
        <v>1195</v>
      </c>
      <c r="D251" s="12" t="s">
        <v>2290</v>
      </c>
    </row>
    <row r="252" spans="1:4">
      <c r="A252" s="12">
        <v>94</v>
      </c>
      <c r="B252" s="12">
        <v>256</v>
      </c>
      <c r="C252" s="12">
        <v>1199</v>
      </c>
      <c r="D252" s="12" t="s">
        <v>2294</v>
      </c>
    </row>
    <row r="253" spans="1:4">
      <c r="A253" s="12">
        <v>95</v>
      </c>
      <c r="B253" s="12">
        <v>257</v>
      </c>
      <c r="C253" s="12">
        <v>1202</v>
      </c>
      <c r="D253" s="12" t="s">
        <v>2297</v>
      </c>
    </row>
    <row r="254" spans="1:4">
      <c r="A254" s="12">
        <v>95</v>
      </c>
      <c r="B254" s="12">
        <v>258</v>
      </c>
      <c r="C254" s="12">
        <v>1207</v>
      </c>
      <c r="D254" s="12" t="s">
        <v>2302</v>
      </c>
    </row>
    <row r="255" spans="1:4">
      <c r="A255" s="12">
        <v>95</v>
      </c>
      <c r="B255" s="12">
        <v>259</v>
      </c>
      <c r="C255" s="12">
        <v>1211</v>
      </c>
      <c r="D255" s="12" t="s">
        <v>2306</v>
      </c>
    </row>
    <row r="256" spans="1:4">
      <c r="A256" s="12">
        <v>96</v>
      </c>
      <c r="B256" s="12">
        <v>260</v>
      </c>
      <c r="C256" s="12">
        <v>1214</v>
      </c>
      <c r="D256" s="12" t="s">
        <v>2297</v>
      </c>
    </row>
    <row r="257" spans="1:4">
      <c r="A257" s="12">
        <v>96</v>
      </c>
      <c r="B257" s="12">
        <v>261</v>
      </c>
      <c r="C257" s="12">
        <v>1220</v>
      </c>
      <c r="D257" s="12" t="s">
        <v>2314</v>
      </c>
    </row>
    <row r="258" spans="1:4">
      <c r="A258" s="12">
        <v>96</v>
      </c>
      <c r="B258" s="12">
        <v>262</v>
      </c>
      <c r="C258" s="12">
        <v>1224</v>
      </c>
      <c r="D258" s="12" t="s">
        <v>2318</v>
      </c>
    </row>
    <row r="259" spans="1:4">
      <c r="A259" s="12">
        <v>97</v>
      </c>
      <c r="B259" s="12">
        <v>263</v>
      </c>
      <c r="C259" s="12">
        <v>1230</v>
      </c>
      <c r="D259" s="12" t="s">
        <v>2324</v>
      </c>
    </row>
    <row r="260" spans="1:4">
      <c r="B260" s="12">
        <v>264</v>
      </c>
      <c r="C260" s="12">
        <v>1235</v>
      </c>
      <c r="D260" s="12" t="s">
        <v>2329</v>
      </c>
    </row>
    <row r="261" spans="1:4">
      <c r="A261" s="12">
        <v>97</v>
      </c>
      <c r="B261" s="12">
        <v>265</v>
      </c>
      <c r="C261" s="12">
        <v>1240</v>
      </c>
      <c r="D261" s="12" t="s">
        <v>2334</v>
      </c>
    </row>
    <row r="262" spans="1:4">
      <c r="A262" s="12">
        <v>98</v>
      </c>
      <c r="B262" s="12">
        <v>266</v>
      </c>
      <c r="C262" s="12">
        <v>1244</v>
      </c>
      <c r="D262" s="12" t="s">
        <v>2338</v>
      </c>
    </row>
    <row r="263" spans="1:4">
      <c r="A263" s="12">
        <v>98</v>
      </c>
      <c r="B263" s="12">
        <v>267</v>
      </c>
      <c r="C263" s="12">
        <v>1247</v>
      </c>
      <c r="D263" s="12" t="s">
        <v>2341</v>
      </c>
    </row>
    <row r="264" spans="1:4">
      <c r="A264" s="12">
        <v>98</v>
      </c>
      <c r="B264" s="12">
        <v>268</v>
      </c>
      <c r="C264" s="12">
        <v>1254</v>
      </c>
      <c r="D264" s="12" t="s">
        <v>2348</v>
      </c>
    </row>
    <row r="265" spans="1:4">
      <c r="A265" s="12">
        <v>99</v>
      </c>
      <c r="B265" s="12">
        <v>269</v>
      </c>
      <c r="C265" s="12">
        <v>1259</v>
      </c>
      <c r="D265" s="12" t="s">
        <v>2353</v>
      </c>
    </row>
    <row r="266" spans="1:4">
      <c r="A266" s="12">
        <v>99</v>
      </c>
      <c r="B266" s="12">
        <v>270</v>
      </c>
      <c r="C266" s="12">
        <v>1262</v>
      </c>
      <c r="D266" s="12" t="s">
        <v>2356</v>
      </c>
    </row>
    <row r="267" spans="1:4">
      <c r="A267" s="12">
        <v>99</v>
      </c>
      <c r="B267" s="12">
        <v>271</v>
      </c>
      <c r="C267" s="12">
        <v>1269</v>
      </c>
      <c r="D267" s="12" t="s">
        <v>2363</v>
      </c>
    </row>
    <row r="268" spans="1:4">
      <c r="A268" s="12">
        <v>100</v>
      </c>
      <c r="B268" s="12">
        <v>272</v>
      </c>
      <c r="C268" s="12">
        <v>1273</v>
      </c>
      <c r="D268" s="12" t="s">
        <v>2367</v>
      </c>
    </row>
    <row r="269" spans="1:4">
      <c r="A269" s="12">
        <v>100</v>
      </c>
      <c r="B269" s="12">
        <v>273</v>
      </c>
      <c r="C269" s="12">
        <v>1278</v>
      </c>
      <c r="D269" s="12" t="s">
        <v>2372</v>
      </c>
    </row>
    <row r="270" spans="1:4">
      <c r="A270" s="12">
        <v>100</v>
      </c>
      <c r="B270" s="12">
        <v>274</v>
      </c>
      <c r="C270" s="12">
        <v>1282</v>
      </c>
      <c r="D270" s="12" t="s">
        <v>2376</v>
      </c>
    </row>
    <row r="271" spans="1:4">
      <c r="A271" s="12">
        <v>101</v>
      </c>
      <c r="B271" s="12">
        <v>275</v>
      </c>
      <c r="C271" s="12">
        <v>1284</v>
      </c>
      <c r="D271" s="12" t="s">
        <v>2378</v>
      </c>
    </row>
    <row r="272" spans="1:4">
      <c r="A272" s="12">
        <v>102</v>
      </c>
      <c r="B272" s="12">
        <v>276</v>
      </c>
      <c r="C272" s="12">
        <v>1290</v>
      </c>
      <c r="D272" s="12" t="s">
        <v>2384</v>
      </c>
    </row>
    <row r="273" spans="1:4">
      <c r="A273" s="12">
        <v>102</v>
      </c>
      <c r="B273" s="12">
        <v>277</v>
      </c>
      <c r="C273" s="12">
        <v>1298</v>
      </c>
      <c r="D273" s="12" t="s">
        <v>2392</v>
      </c>
    </row>
    <row r="274" spans="1:4">
      <c r="A274" s="12">
        <v>102</v>
      </c>
      <c r="B274" s="12">
        <v>278</v>
      </c>
      <c r="C274" s="12">
        <v>1302</v>
      </c>
      <c r="D274" s="12" t="s">
        <v>2396</v>
      </c>
    </row>
    <row r="275" spans="1:4">
      <c r="A275" s="12">
        <v>103</v>
      </c>
      <c r="B275" s="12">
        <v>279</v>
      </c>
      <c r="C275" s="12">
        <v>1305</v>
      </c>
      <c r="D275" s="12" t="s">
        <v>2399</v>
      </c>
    </row>
    <row r="276" spans="1:4">
      <c r="A276" s="12">
        <v>103</v>
      </c>
      <c r="B276" s="12">
        <v>280</v>
      </c>
      <c r="C276" s="12">
        <v>1309</v>
      </c>
      <c r="D276" s="12" t="s">
        <v>2403</v>
      </c>
    </row>
    <row r="277" spans="1:4">
      <c r="A277" s="12">
        <v>104</v>
      </c>
      <c r="B277" s="12">
        <v>281</v>
      </c>
      <c r="C277" s="12">
        <v>1312</v>
      </c>
      <c r="D277" s="12" t="s">
        <v>2406</v>
      </c>
    </row>
    <row r="278" spans="1:4">
      <c r="A278" s="12">
        <v>105</v>
      </c>
      <c r="B278" s="12">
        <v>282</v>
      </c>
      <c r="C278" s="12">
        <v>1329</v>
      </c>
      <c r="D278" s="12" t="s">
        <v>2423</v>
      </c>
    </row>
    <row r="279" spans="1:4">
      <c r="A279" s="12">
        <v>105</v>
      </c>
      <c r="B279" s="12">
        <v>283</v>
      </c>
      <c r="C279" s="12">
        <v>1333</v>
      </c>
      <c r="D279" s="12" t="s">
        <v>2427</v>
      </c>
    </row>
    <row r="280" spans="1:4">
      <c r="A280" s="12">
        <v>105</v>
      </c>
      <c r="B280" s="12">
        <v>284</v>
      </c>
      <c r="C280" s="12">
        <v>1338</v>
      </c>
      <c r="D280" s="12" t="s">
        <v>2432</v>
      </c>
    </row>
    <row r="281" spans="1:4">
      <c r="A281" s="12">
        <v>106</v>
      </c>
      <c r="B281" s="12">
        <v>285</v>
      </c>
      <c r="C281" s="12">
        <v>1345</v>
      </c>
      <c r="D281" s="12" t="s">
        <v>2439</v>
      </c>
    </row>
    <row r="282" spans="1:4">
      <c r="A282" s="12">
        <v>106</v>
      </c>
      <c r="B282" s="12">
        <v>286</v>
      </c>
      <c r="C282" s="12">
        <v>1348</v>
      </c>
      <c r="D282" s="12" t="s">
        <v>2442</v>
      </c>
    </row>
    <row r="283" spans="1:4">
      <c r="A283" s="12">
        <v>106</v>
      </c>
      <c r="B283" s="12">
        <v>287</v>
      </c>
      <c r="C283" s="12">
        <v>1353</v>
      </c>
      <c r="D283" s="12" t="s">
        <v>2447</v>
      </c>
    </row>
    <row r="284" spans="1:4">
      <c r="A284" s="12">
        <v>107</v>
      </c>
      <c r="B284" s="12">
        <v>288</v>
      </c>
      <c r="C284" s="12">
        <v>1358</v>
      </c>
      <c r="D284" s="12" t="s">
        <v>2452</v>
      </c>
    </row>
    <row r="285" spans="1:4">
      <c r="A285" s="12">
        <v>107</v>
      </c>
      <c r="B285" s="12">
        <v>289</v>
      </c>
      <c r="C285" s="12">
        <v>1363</v>
      </c>
      <c r="D285" s="12" t="s">
        <v>2457</v>
      </c>
    </row>
    <row r="286" spans="1:4">
      <c r="A286" s="12">
        <v>107</v>
      </c>
      <c r="B286" s="12">
        <v>290</v>
      </c>
      <c r="C286" s="12">
        <v>1367</v>
      </c>
      <c r="D286" s="12" t="s">
        <v>2461</v>
      </c>
    </row>
    <row r="287" spans="1:4">
      <c r="A287" s="12">
        <v>108</v>
      </c>
      <c r="B287" s="12">
        <v>291</v>
      </c>
      <c r="C287" s="12">
        <v>1372</v>
      </c>
      <c r="D287" s="12" t="s">
        <v>2466</v>
      </c>
    </row>
    <row r="288" spans="1:4">
      <c r="A288" s="12">
        <v>108</v>
      </c>
      <c r="B288" s="12">
        <v>292</v>
      </c>
      <c r="C288" s="12">
        <v>1378</v>
      </c>
      <c r="D288" s="12" t="s">
        <v>2472</v>
      </c>
    </row>
    <row r="289" spans="1:4">
      <c r="A289" s="12">
        <v>108</v>
      </c>
      <c r="B289" s="12">
        <v>293</v>
      </c>
      <c r="C289" s="12">
        <v>1381</v>
      </c>
      <c r="D289" s="12" t="s">
        <v>2475</v>
      </c>
    </row>
    <row r="290" spans="1:4">
      <c r="A290" s="12">
        <v>109</v>
      </c>
      <c r="B290" s="12">
        <v>294</v>
      </c>
      <c r="C290" s="12">
        <v>1385</v>
      </c>
      <c r="D290" s="12" t="s">
        <v>2479</v>
      </c>
    </row>
    <row r="291" spans="1:4">
      <c r="A291" s="12">
        <v>109</v>
      </c>
      <c r="B291" s="12">
        <v>295</v>
      </c>
      <c r="C291" s="12">
        <v>1389</v>
      </c>
      <c r="D291" s="12" t="s">
        <v>2483</v>
      </c>
    </row>
    <row r="292" spans="1:4">
      <c r="A292" s="12">
        <v>109</v>
      </c>
      <c r="B292" s="12">
        <v>296</v>
      </c>
      <c r="C292" s="12">
        <v>1393</v>
      </c>
      <c r="D292" s="12" t="s">
        <v>2487</v>
      </c>
    </row>
    <row r="293" spans="1:4">
      <c r="A293" s="12">
        <v>110</v>
      </c>
      <c r="B293" s="12">
        <v>297</v>
      </c>
      <c r="C293" s="12">
        <v>1398</v>
      </c>
      <c r="D293" s="12" t="s">
        <v>2492</v>
      </c>
    </row>
    <row r="294" spans="1:4">
      <c r="A294" s="12">
        <v>110</v>
      </c>
      <c r="B294" s="12">
        <v>298</v>
      </c>
      <c r="C294" s="12">
        <v>1400</v>
      </c>
      <c r="D294" s="12" t="s">
        <v>2494</v>
      </c>
    </row>
    <row r="295" spans="1:4">
      <c r="A295" s="12">
        <v>110</v>
      </c>
      <c r="B295" s="12">
        <v>299</v>
      </c>
      <c r="C295" s="12">
        <v>1405</v>
      </c>
      <c r="D295" s="12" t="s">
        <v>2499</v>
      </c>
    </row>
    <row r="296" spans="1:4">
      <c r="A296" s="12">
        <v>111</v>
      </c>
      <c r="B296" s="12">
        <v>300</v>
      </c>
      <c r="C296" s="12">
        <v>1409</v>
      </c>
      <c r="D296" s="12" t="s">
        <v>2503</v>
      </c>
    </row>
    <row r="297" spans="1:4">
      <c r="A297" s="12">
        <v>111</v>
      </c>
      <c r="B297" s="12">
        <v>301</v>
      </c>
      <c r="C297" s="12">
        <v>1415</v>
      </c>
      <c r="D297" s="12" t="s">
        <v>2509</v>
      </c>
    </row>
    <row r="298" spans="1:4">
      <c r="A298" s="12">
        <v>111</v>
      </c>
      <c r="B298" s="12">
        <v>302</v>
      </c>
      <c r="C298" s="12">
        <v>1418</v>
      </c>
      <c r="D298" s="12" t="s">
        <v>2512</v>
      </c>
    </row>
    <row r="299" spans="1:4">
      <c r="A299" s="12">
        <v>112</v>
      </c>
      <c r="B299" s="12">
        <v>303</v>
      </c>
      <c r="C299" s="12">
        <v>1424</v>
      </c>
      <c r="D299" s="12" t="s">
        <v>2518</v>
      </c>
    </row>
    <row r="300" spans="1:4">
      <c r="A300" s="12">
        <v>112</v>
      </c>
      <c r="B300" s="12">
        <v>304</v>
      </c>
      <c r="C300" s="12">
        <v>1429</v>
      </c>
      <c r="D300" s="12" t="s">
        <v>2523</v>
      </c>
    </row>
    <row r="301" spans="1:4">
      <c r="A301" s="12">
        <v>113</v>
      </c>
      <c r="B301" s="12">
        <v>305</v>
      </c>
      <c r="C301" s="12">
        <v>1435</v>
      </c>
      <c r="D301" s="12" t="s">
        <v>2529</v>
      </c>
    </row>
    <row r="302" spans="1:4">
      <c r="A302" s="12">
        <v>113</v>
      </c>
      <c r="B302" s="12">
        <v>306</v>
      </c>
      <c r="C302" s="12">
        <v>1438</v>
      </c>
      <c r="D302" s="12" t="s">
        <v>2532</v>
      </c>
    </row>
    <row r="303" spans="1:4">
      <c r="A303" s="12">
        <v>113</v>
      </c>
      <c r="B303" s="12">
        <v>307</v>
      </c>
      <c r="C303" s="12">
        <v>1440</v>
      </c>
      <c r="D303" s="12" t="s">
        <v>2534</v>
      </c>
    </row>
    <row r="304" spans="1:4">
      <c r="A304" s="12">
        <v>114</v>
      </c>
      <c r="B304" s="12">
        <v>308</v>
      </c>
      <c r="C304" s="12">
        <v>1446</v>
      </c>
      <c r="D304" s="12" t="s">
        <v>2540</v>
      </c>
    </row>
    <row r="305" spans="1:4">
      <c r="A305" s="12">
        <v>114</v>
      </c>
      <c r="B305" s="12">
        <v>309</v>
      </c>
      <c r="C305" s="12">
        <v>1451</v>
      </c>
      <c r="D305" s="12" t="s">
        <v>2545</v>
      </c>
    </row>
    <row r="306" spans="1:4">
      <c r="A306" s="12">
        <v>114</v>
      </c>
      <c r="B306" s="12">
        <v>310</v>
      </c>
      <c r="C306" s="12">
        <v>1457</v>
      </c>
      <c r="D306" s="12" t="s">
        <v>2551</v>
      </c>
    </row>
    <row r="307" spans="1:4">
      <c r="A307" s="12">
        <v>115</v>
      </c>
      <c r="B307" s="12">
        <v>311</v>
      </c>
      <c r="C307" s="12">
        <v>1461</v>
      </c>
      <c r="D307" s="12" t="s">
        <v>2555</v>
      </c>
    </row>
    <row r="308" spans="1:4">
      <c r="A308" s="12">
        <v>115</v>
      </c>
      <c r="B308" s="12">
        <v>312</v>
      </c>
      <c r="C308" s="12">
        <v>1470</v>
      </c>
      <c r="D308" s="12" t="s">
        <v>2564</v>
      </c>
    </row>
    <row r="309" spans="1:4">
      <c r="A309" s="12">
        <v>116</v>
      </c>
      <c r="B309" s="12">
        <v>313</v>
      </c>
      <c r="C309" s="12">
        <v>1473</v>
      </c>
      <c r="D309" s="12" t="s">
        <v>2567</v>
      </c>
    </row>
    <row r="310" spans="1:4">
      <c r="A310" s="12">
        <v>116</v>
      </c>
      <c r="B310" s="12">
        <v>314</v>
      </c>
      <c r="C310" s="12">
        <v>1488</v>
      </c>
      <c r="D310" s="12" t="s">
        <v>2582</v>
      </c>
    </row>
    <row r="311" spans="1:4">
      <c r="A311" s="12">
        <v>117</v>
      </c>
      <c r="B311" s="12">
        <v>315</v>
      </c>
      <c r="C311" s="12">
        <v>1492</v>
      </c>
      <c r="D311" s="12" t="s">
        <v>2586</v>
      </c>
    </row>
    <row r="312" spans="1:4">
      <c r="A312" s="12">
        <v>117</v>
      </c>
      <c r="B312" s="12">
        <v>316</v>
      </c>
      <c r="C312" s="12">
        <v>1496</v>
      </c>
      <c r="D312" s="12" t="s">
        <v>2590</v>
      </c>
    </row>
    <row r="313" spans="1:4">
      <c r="A313" s="12">
        <v>117</v>
      </c>
      <c r="B313" s="12">
        <v>317</v>
      </c>
      <c r="C313" s="12">
        <v>1498</v>
      </c>
      <c r="D313" s="12" t="s">
        <v>2592</v>
      </c>
    </row>
    <row r="314" spans="1:4">
      <c r="A314" s="12">
        <v>118</v>
      </c>
      <c r="B314" s="12">
        <v>318</v>
      </c>
      <c r="C314" s="12">
        <v>1502</v>
      </c>
      <c r="D314" s="12" t="s">
        <v>2596</v>
      </c>
    </row>
    <row r="315" spans="1:4">
      <c r="A315" s="12">
        <v>118</v>
      </c>
      <c r="B315" s="12">
        <v>319</v>
      </c>
      <c r="C315" s="12">
        <v>1510</v>
      </c>
      <c r="D315" s="12" t="s">
        <v>2604</v>
      </c>
    </row>
    <row r="316" spans="1:4">
      <c r="A316" s="12">
        <v>118</v>
      </c>
      <c r="B316" s="12">
        <v>320</v>
      </c>
      <c r="C316" s="12">
        <v>1515</v>
      </c>
      <c r="D316" s="12" t="s">
        <v>2609</v>
      </c>
    </row>
    <row r="317" spans="1:4">
      <c r="A317" s="12">
        <v>119</v>
      </c>
      <c r="B317" s="12">
        <v>321</v>
      </c>
      <c r="C317" s="12">
        <v>1519</v>
      </c>
      <c r="D317" s="12" t="s">
        <v>2613</v>
      </c>
    </row>
    <row r="318" spans="1:4">
      <c r="A318" s="12">
        <v>119</v>
      </c>
      <c r="B318" s="12">
        <v>322</v>
      </c>
      <c r="C318" s="12">
        <v>1525</v>
      </c>
      <c r="D318" s="12" t="s">
        <v>2619</v>
      </c>
    </row>
    <row r="319" spans="1:4">
      <c r="A319" s="12">
        <v>119</v>
      </c>
      <c r="B319" s="12">
        <v>323</v>
      </c>
      <c r="C319" s="12">
        <v>1529</v>
      </c>
      <c r="D319" s="12" t="s">
        <v>2623</v>
      </c>
    </row>
    <row r="320" spans="1:4">
      <c r="A320" s="12">
        <v>120</v>
      </c>
      <c r="B320" s="12">
        <v>324</v>
      </c>
      <c r="C320" s="12">
        <v>1533</v>
      </c>
      <c r="D320" s="12" t="s">
        <v>2627</v>
      </c>
    </row>
    <row r="321" spans="1:4">
      <c r="A321" s="12">
        <v>120</v>
      </c>
      <c r="B321" s="12">
        <v>325</v>
      </c>
      <c r="C321" s="12">
        <v>1539</v>
      </c>
      <c r="D321" s="12" t="s">
        <v>2633</v>
      </c>
    </row>
    <row r="322" spans="1:4">
      <c r="A322" s="12">
        <v>120</v>
      </c>
      <c r="B322" s="12">
        <v>326</v>
      </c>
      <c r="C322" s="12">
        <v>1545</v>
      </c>
      <c r="D322" s="12" t="s">
        <v>2639</v>
      </c>
    </row>
    <row r="323" spans="1:4">
      <c r="A323" s="12">
        <v>121</v>
      </c>
      <c r="B323" s="12">
        <v>327</v>
      </c>
      <c r="C323" s="12">
        <v>1551</v>
      </c>
      <c r="D323" s="12" t="s">
        <v>2645</v>
      </c>
    </row>
    <row r="324" spans="1:4">
      <c r="A324" s="12">
        <v>121</v>
      </c>
      <c r="B324" s="12">
        <v>328</v>
      </c>
      <c r="C324" s="12">
        <v>1555</v>
      </c>
      <c r="D324" s="12" t="s">
        <v>2649</v>
      </c>
    </row>
    <row r="325" spans="1:4">
      <c r="A325" s="12">
        <v>121</v>
      </c>
      <c r="B325" s="12">
        <v>329</v>
      </c>
      <c r="C325" s="12">
        <v>1558</v>
      </c>
      <c r="D325" s="12" t="s">
        <v>2652</v>
      </c>
    </row>
    <row r="326" spans="1:4">
      <c r="A326" s="12">
        <v>122</v>
      </c>
      <c r="B326" s="12">
        <v>330</v>
      </c>
      <c r="C326" s="12">
        <v>1565</v>
      </c>
      <c r="D326" s="12" t="s">
        <v>2659</v>
      </c>
    </row>
    <row r="327" spans="1:4">
      <c r="A327" s="12">
        <v>122</v>
      </c>
      <c r="B327" s="12">
        <v>331</v>
      </c>
      <c r="C327" s="12">
        <v>1569</v>
      </c>
      <c r="D327" s="12" t="s">
        <v>2662</v>
      </c>
    </row>
    <row r="328" spans="1:4">
      <c r="A328" s="12">
        <v>122</v>
      </c>
      <c r="B328" s="12">
        <v>332</v>
      </c>
      <c r="C328" s="12">
        <v>1575</v>
      </c>
      <c r="D328" s="12" t="s">
        <v>2668</v>
      </c>
    </row>
    <row r="329" spans="1:4">
      <c r="A329" s="12">
        <v>123</v>
      </c>
      <c r="B329" s="12">
        <v>333</v>
      </c>
      <c r="C329" s="12">
        <v>1578</v>
      </c>
      <c r="D329" s="12" t="s">
        <v>2672</v>
      </c>
    </row>
    <row r="330" spans="1:4">
      <c r="A330" s="12">
        <v>123</v>
      </c>
      <c r="B330" s="12">
        <v>334</v>
      </c>
      <c r="C330" s="12">
        <v>1582</v>
      </c>
      <c r="D330" s="12" t="s">
        <v>2676</v>
      </c>
    </row>
    <row r="331" spans="1:4">
      <c r="A331" s="12">
        <v>124</v>
      </c>
      <c r="B331" s="12">
        <v>335</v>
      </c>
      <c r="C331" s="12">
        <v>1592</v>
      </c>
      <c r="D331" s="12" t="s">
        <v>2686</v>
      </c>
    </row>
    <row r="332" spans="1:4">
      <c r="A332" s="12">
        <v>124</v>
      </c>
      <c r="B332" s="12">
        <v>336</v>
      </c>
      <c r="C332" s="12">
        <v>1596</v>
      </c>
      <c r="D332" s="12" t="s">
        <v>2690</v>
      </c>
    </row>
    <row r="333" spans="1:4">
      <c r="A333" s="12">
        <v>125</v>
      </c>
      <c r="B333" s="12">
        <v>337</v>
      </c>
      <c r="C333" s="12">
        <v>1599</v>
      </c>
      <c r="D333" s="12" t="s">
        <v>2693</v>
      </c>
    </row>
    <row r="334" spans="1:4">
      <c r="A334" s="12">
        <v>125</v>
      </c>
      <c r="B334" s="12">
        <v>338</v>
      </c>
      <c r="C334" s="12">
        <v>1609</v>
      </c>
      <c r="D334" s="12" t="s">
        <v>2703</v>
      </c>
    </row>
    <row r="335" spans="1:4">
      <c r="A335" s="12">
        <v>125</v>
      </c>
      <c r="B335" s="12">
        <v>339</v>
      </c>
      <c r="C335" s="12">
        <v>1613</v>
      </c>
      <c r="D335" s="12" t="s">
        <v>2707</v>
      </c>
    </row>
    <row r="336" spans="1:4">
      <c r="A336" s="12">
        <v>126</v>
      </c>
      <c r="B336" s="12">
        <v>340</v>
      </c>
      <c r="C336" s="12">
        <v>1617</v>
      </c>
      <c r="D336" s="12" t="s">
        <v>2711</v>
      </c>
    </row>
    <row r="337" spans="1:4">
      <c r="A337" s="12">
        <v>126</v>
      </c>
      <c r="B337" s="12">
        <v>341</v>
      </c>
      <c r="C337" s="12">
        <v>1623</v>
      </c>
      <c r="D337" s="12" t="s">
        <v>2717</v>
      </c>
    </row>
    <row r="338" spans="1:4">
      <c r="A338" s="12">
        <v>126</v>
      </c>
      <c r="B338" s="12">
        <v>342</v>
      </c>
      <c r="C338" s="12">
        <v>1628</v>
      </c>
      <c r="D338" s="12" t="s">
        <v>2722</v>
      </c>
    </row>
    <row r="339" spans="1:4">
      <c r="A339" s="12">
        <v>126</v>
      </c>
      <c r="B339" s="12">
        <v>343</v>
      </c>
      <c r="C339" s="12">
        <v>1631</v>
      </c>
      <c r="D339" s="12" t="s">
        <v>2725</v>
      </c>
    </row>
    <row r="340" spans="1:4">
      <c r="A340" s="12">
        <v>127</v>
      </c>
      <c r="B340" s="12">
        <v>344</v>
      </c>
      <c r="C340" s="12">
        <v>1632</v>
      </c>
      <c r="D340" s="12" t="s">
        <v>2726</v>
      </c>
    </row>
    <row r="341" spans="1:4">
      <c r="A341" s="12">
        <v>127</v>
      </c>
      <c r="B341" s="12">
        <v>345</v>
      </c>
      <c r="C341" s="12">
        <v>1638</v>
      </c>
      <c r="D341" s="12" t="s">
        <v>2731</v>
      </c>
    </row>
    <row r="342" spans="1:4">
      <c r="A342" s="12">
        <v>128</v>
      </c>
      <c r="B342" s="12">
        <v>346</v>
      </c>
      <c r="C342" s="12">
        <v>1644</v>
      </c>
      <c r="D342" s="12" t="s">
        <v>2737</v>
      </c>
    </row>
    <row r="343" spans="1:4">
      <c r="A343" s="12">
        <v>128</v>
      </c>
      <c r="B343" s="12">
        <v>346</v>
      </c>
      <c r="C343" s="12">
        <v>1648</v>
      </c>
      <c r="D343" s="12" t="s">
        <v>2741</v>
      </c>
    </row>
    <row r="344" spans="1:4">
      <c r="A344" s="12">
        <v>128</v>
      </c>
      <c r="B344" s="12">
        <v>347</v>
      </c>
      <c r="C344" s="12">
        <v>1653</v>
      </c>
      <c r="D344" s="12" t="s">
        <v>2749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Demography (2)</vt:lpstr>
      <vt:lpstr>Demography (3)</vt:lpstr>
      <vt:lpstr>Checks</vt:lpstr>
      <vt:lpstr>All Name Lists</vt:lpstr>
      <vt:lpstr>Head of Family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Jain</dc:creator>
  <cp:lastModifiedBy>Satish Jain</cp:lastModifiedBy>
  <dcterms:created xsi:type="dcterms:W3CDTF">2011-05-16T13:22:58Z</dcterms:created>
  <dcterms:modified xsi:type="dcterms:W3CDTF">2012-02-12T11:05:21Z</dcterms:modified>
</cp:coreProperties>
</file>