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B14CD722-691B-45ED-B09D-C5DEAFF1825D}" xr6:coauthVersionLast="45" xr6:coauthVersionMax="45" xr10:uidLastSave="{00000000-0000-0000-0000-000000000000}"/>
  <bookViews>
    <workbookView xWindow="57490" yWindow="-9550" windowWidth="29020" windowHeight="17620" activeTab="3" xr2:uid="{00000000-000D-0000-FFFF-FFFF00000000}"/>
  </bookViews>
  <sheets>
    <sheet name="Adj Highlights" sheetId="2" r:id="rId1"/>
    <sheet name="Income - Adjusted" sheetId="3" r:id="rId2"/>
    <sheet name="Balance Sheet - Standardized" sheetId="4" r:id="rId3"/>
    <sheet name="Cash Flow - Standardized" sheetId="5" r:id="rId4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44020.6809490741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5" l="1"/>
  <c r="D7" i="5"/>
  <c r="E7" i="5"/>
  <c r="F7" i="5"/>
  <c r="G7" i="5"/>
  <c r="H7" i="5"/>
  <c r="I7" i="5"/>
  <c r="J7" i="5"/>
  <c r="K7" i="5"/>
  <c r="L7" i="5"/>
  <c r="C8" i="5"/>
  <c r="D8" i="5"/>
  <c r="E8" i="5"/>
  <c r="F8" i="5"/>
  <c r="G8" i="5"/>
  <c r="H8" i="5"/>
  <c r="I8" i="5"/>
  <c r="J8" i="5"/>
  <c r="K8" i="5"/>
  <c r="L8" i="5"/>
  <c r="C9" i="5"/>
  <c r="D9" i="5"/>
  <c r="E9" i="5"/>
  <c r="F9" i="5"/>
  <c r="G9" i="5"/>
  <c r="H9" i="5"/>
  <c r="I9" i="5"/>
  <c r="J9" i="5"/>
  <c r="K9" i="5"/>
  <c r="L9" i="5"/>
  <c r="C10" i="5"/>
  <c r="D10" i="5"/>
  <c r="E10" i="5"/>
  <c r="F10" i="5"/>
  <c r="G10" i="5"/>
  <c r="H10" i="5"/>
  <c r="I10" i="5"/>
  <c r="J10" i="5"/>
  <c r="K10" i="5"/>
  <c r="L10" i="5"/>
  <c r="C11" i="5"/>
  <c r="D11" i="5"/>
  <c r="E11" i="5"/>
  <c r="F11" i="5"/>
  <c r="G11" i="5"/>
  <c r="H11" i="5"/>
  <c r="I11" i="5"/>
  <c r="J11" i="5"/>
  <c r="K11" i="5"/>
  <c r="L11" i="5"/>
  <c r="C12" i="5"/>
  <c r="D12" i="5"/>
  <c r="E12" i="5"/>
  <c r="F12" i="5"/>
  <c r="G12" i="5"/>
  <c r="H12" i="5"/>
  <c r="I12" i="5"/>
  <c r="J12" i="5"/>
  <c r="K12" i="5"/>
  <c r="L12" i="5"/>
  <c r="C13" i="5"/>
  <c r="D13" i="5"/>
  <c r="E13" i="5"/>
  <c r="F13" i="5"/>
  <c r="G13" i="5"/>
  <c r="H13" i="5"/>
  <c r="I13" i="5"/>
  <c r="J13" i="5"/>
  <c r="K13" i="5"/>
  <c r="L13" i="5"/>
  <c r="C14" i="5"/>
  <c r="D14" i="5"/>
  <c r="E14" i="5"/>
  <c r="F14" i="5"/>
  <c r="G14" i="5"/>
  <c r="H14" i="5"/>
  <c r="I14" i="5"/>
  <c r="J14" i="5"/>
  <c r="K14" i="5"/>
  <c r="L14" i="5"/>
  <c r="C15" i="5"/>
  <c r="D15" i="5"/>
  <c r="E15" i="5"/>
  <c r="F15" i="5"/>
  <c r="G15" i="5"/>
  <c r="H15" i="5"/>
  <c r="I15" i="5"/>
  <c r="J15" i="5"/>
  <c r="K15" i="5"/>
  <c r="L15" i="5"/>
  <c r="C16" i="5"/>
  <c r="D16" i="5"/>
  <c r="E16" i="5"/>
  <c r="F16" i="5"/>
  <c r="G16" i="5"/>
  <c r="H16" i="5"/>
  <c r="I16" i="5"/>
  <c r="J16" i="5"/>
  <c r="K16" i="5"/>
  <c r="L16" i="5"/>
  <c r="C17" i="5"/>
  <c r="D17" i="5"/>
  <c r="E17" i="5"/>
  <c r="F17" i="5"/>
  <c r="G17" i="5"/>
  <c r="H17" i="5"/>
  <c r="I17" i="5"/>
  <c r="J17" i="5"/>
  <c r="K17" i="5"/>
  <c r="L17" i="5"/>
  <c r="C18" i="5"/>
  <c r="D18" i="5"/>
  <c r="E18" i="5"/>
  <c r="F18" i="5"/>
  <c r="G18" i="5"/>
  <c r="H18" i="5"/>
  <c r="I18" i="5"/>
  <c r="J18" i="5"/>
  <c r="K18" i="5"/>
  <c r="L18" i="5"/>
  <c r="C21" i="5"/>
  <c r="D21" i="5"/>
  <c r="E21" i="5"/>
  <c r="F21" i="5"/>
  <c r="G21" i="5"/>
  <c r="H21" i="5"/>
  <c r="I21" i="5"/>
  <c r="J21" i="5"/>
  <c r="K21" i="5"/>
  <c r="L21" i="5"/>
  <c r="C22" i="5"/>
  <c r="D22" i="5"/>
  <c r="E22" i="5"/>
  <c r="F22" i="5"/>
  <c r="G22" i="5"/>
  <c r="H22" i="5"/>
  <c r="I22" i="5"/>
  <c r="J22" i="5"/>
  <c r="K22" i="5"/>
  <c r="L22" i="5"/>
  <c r="C23" i="5"/>
  <c r="D23" i="5"/>
  <c r="E23" i="5"/>
  <c r="F23" i="5"/>
  <c r="G23" i="5"/>
  <c r="H23" i="5"/>
  <c r="I23" i="5"/>
  <c r="J23" i="5"/>
  <c r="K23" i="5"/>
  <c r="L23" i="5"/>
  <c r="C24" i="5"/>
  <c r="D24" i="5"/>
  <c r="E24" i="5"/>
  <c r="F24" i="5"/>
  <c r="G24" i="5"/>
  <c r="H24" i="5"/>
  <c r="I24" i="5"/>
  <c r="J24" i="5"/>
  <c r="K24" i="5"/>
  <c r="L24" i="5"/>
  <c r="C25" i="5"/>
  <c r="D25" i="5"/>
  <c r="E25" i="5"/>
  <c r="F25" i="5"/>
  <c r="G25" i="5"/>
  <c r="H25" i="5"/>
  <c r="I25" i="5"/>
  <c r="J25" i="5"/>
  <c r="K25" i="5"/>
  <c r="L25" i="5"/>
  <c r="C26" i="5"/>
  <c r="D26" i="5"/>
  <c r="E26" i="5"/>
  <c r="F26" i="5"/>
  <c r="G26" i="5"/>
  <c r="H26" i="5"/>
  <c r="I26" i="5"/>
  <c r="J26" i="5"/>
  <c r="K26" i="5"/>
  <c r="L26" i="5"/>
  <c r="C27" i="5"/>
  <c r="D27" i="5"/>
  <c r="E27" i="5"/>
  <c r="F27" i="5"/>
  <c r="G27" i="5"/>
  <c r="H27" i="5"/>
  <c r="I27" i="5"/>
  <c r="J27" i="5"/>
  <c r="K27" i="5"/>
  <c r="L27" i="5"/>
  <c r="C28" i="5"/>
  <c r="D28" i="5"/>
  <c r="E28" i="5"/>
  <c r="F28" i="5"/>
  <c r="G28" i="5"/>
  <c r="H28" i="5"/>
  <c r="I28" i="5"/>
  <c r="J28" i="5"/>
  <c r="K28" i="5"/>
  <c r="L28" i="5"/>
  <c r="C29" i="5"/>
  <c r="D29" i="5"/>
  <c r="E29" i="5"/>
  <c r="F29" i="5"/>
  <c r="G29" i="5"/>
  <c r="H29" i="5"/>
  <c r="I29" i="5"/>
  <c r="J29" i="5"/>
  <c r="K29" i="5"/>
  <c r="L29" i="5"/>
  <c r="C30" i="5"/>
  <c r="D30" i="5"/>
  <c r="E30" i="5"/>
  <c r="F30" i="5"/>
  <c r="G30" i="5"/>
  <c r="H30" i="5"/>
  <c r="I30" i="5"/>
  <c r="J30" i="5"/>
  <c r="K30" i="5"/>
  <c r="L30" i="5"/>
  <c r="C31" i="5"/>
  <c r="D31" i="5"/>
  <c r="E31" i="5"/>
  <c r="F31" i="5"/>
  <c r="G31" i="5"/>
  <c r="H31" i="5"/>
  <c r="I31" i="5"/>
  <c r="J31" i="5"/>
  <c r="K31" i="5"/>
  <c r="L31" i="5"/>
  <c r="C32" i="5"/>
  <c r="D32" i="5"/>
  <c r="E32" i="5"/>
  <c r="F32" i="5"/>
  <c r="G32" i="5"/>
  <c r="H32" i="5"/>
  <c r="I32" i="5"/>
  <c r="J32" i="5"/>
  <c r="K32" i="5"/>
  <c r="L32" i="5"/>
  <c r="C33" i="5"/>
  <c r="D33" i="5"/>
  <c r="E33" i="5"/>
  <c r="F33" i="5"/>
  <c r="G33" i="5"/>
  <c r="H33" i="5"/>
  <c r="I33" i="5"/>
  <c r="J33" i="5"/>
  <c r="K33" i="5"/>
  <c r="L33" i="5"/>
  <c r="C34" i="5"/>
  <c r="D34" i="5"/>
  <c r="E34" i="5"/>
  <c r="F34" i="5"/>
  <c r="G34" i="5"/>
  <c r="H34" i="5"/>
  <c r="I34" i="5"/>
  <c r="J34" i="5"/>
  <c r="K34" i="5"/>
  <c r="L34" i="5"/>
  <c r="C35" i="5"/>
  <c r="D35" i="5"/>
  <c r="E35" i="5"/>
  <c r="F35" i="5"/>
  <c r="G35" i="5"/>
  <c r="H35" i="5"/>
  <c r="I35" i="5"/>
  <c r="J35" i="5"/>
  <c r="K35" i="5"/>
  <c r="L35" i="5"/>
  <c r="C36" i="5"/>
  <c r="D36" i="5"/>
  <c r="E36" i="5"/>
  <c r="F36" i="5"/>
  <c r="G36" i="5"/>
  <c r="H36" i="5"/>
  <c r="I36" i="5"/>
  <c r="J36" i="5"/>
  <c r="K36" i="5"/>
  <c r="L36" i="5"/>
  <c r="C37" i="5"/>
  <c r="D37" i="5"/>
  <c r="E37" i="5"/>
  <c r="F37" i="5"/>
  <c r="G37" i="5"/>
  <c r="H37" i="5"/>
  <c r="I37" i="5"/>
  <c r="J37" i="5"/>
  <c r="K37" i="5"/>
  <c r="L37" i="5"/>
  <c r="C40" i="5"/>
  <c r="D40" i="5"/>
  <c r="E40" i="5"/>
  <c r="F40" i="5"/>
  <c r="G40" i="5"/>
  <c r="H40" i="5"/>
  <c r="I40" i="5"/>
  <c r="J40" i="5"/>
  <c r="K40" i="5"/>
  <c r="L40" i="5"/>
  <c r="C41" i="5"/>
  <c r="D41" i="5"/>
  <c r="E41" i="5"/>
  <c r="F41" i="5"/>
  <c r="G41" i="5"/>
  <c r="H41" i="5"/>
  <c r="I41" i="5"/>
  <c r="J41" i="5"/>
  <c r="K41" i="5"/>
  <c r="L41" i="5"/>
  <c r="C42" i="5"/>
  <c r="D42" i="5"/>
  <c r="E42" i="5"/>
  <c r="F42" i="5"/>
  <c r="G42" i="5"/>
  <c r="H42" i="5"/>
  <c r="I42" i="5"/>
  <c r="J42" i="5"/>
  <c r="K42" i="5"/>
  <c r="L42" i="5"/>
  <c r="C43" i="5"/>
  <c r="D43" i="5"/>
  <c r="E43" i="5"/>
  <c r="F43" i="5"/>
  <c r="G43" i="5"/>
  <c r="H43" i="5"/>
  <c r="I43" i="5"/>
  <c r="J43" i="5"/>
  <c r="K43" i="5"/>
  <c r="L43" i="5"/>
  <c r="C44" i="5"/>
  <c r="D44" i="5"/>
  <c r="E44" i="5"/>
  <c r="F44" i="5"/>
  <c r="G44" i="5"/>
  <c r="H44" i="5"/>
  <c r="I44" i="5"/>
  <c r="J44" i="5"/>
  <c r="K44" i="5"/>
  <c r="L44" i="5"/>
  <c r="C45" i="5"/>
  <c r="D45" i="5"/>
  <c r="E45" i="5"/>
  <c r="F45" i="5"/>
  <c r="G45" i="5"/>
  <c r="H45" i="5"/>
  <c r="I45" i="5"/>
  <c r="J45" i="5"/>
  <c r="K45" i="5"/>
  <c r="L45" i="5"/>
  <c r="C46" i="5"/>
  <c r="D46" i="5"/>
  <c r="E46" i="5"/>
  <c r="F46" i="5"/>
  <c r="G46" i="5"/>
  <c r="H46" i="5"/>
  <c r="I46" i="5"/>
  <c r="J46" i="5"/>
  <c r="K46" i="5"/>
  <c r="L46" i="5"/>
  <c r="C47" i="5"/>
  <c r="D47" i="5"/>
  <c r="E47" i="5"/>
  <c r="F47" i="5"/>
  <c r="G47" i="5"/>
  <c r="H47" i="5"/>
  <c r="I47" i="5"/>
  <c r="J47" i="5"/>
  <c r="K47" i="5"/>
  <c r="L47" i="5"/>
  <c r="C48" i="5"/>
  <c r="D48" i="5"/>
  <c r="E48" i="5"/>
  <c r="F48" i="5"/>
  <c r="G48" i="5"/>
  <c r="H48" i="5"/>
  <c r="I48" i="5"/>
  <c r="J48" i="5"/>
  <c r="K48" i="5"/>
  <c r="L48" i="5"/>
  <c r="C49" i="5"/>
  <c r="D49" i="5"/>
  <c r="E49" i="5"/>
  <c r="F49" i="5"/>
  <c r="G49" i="5"/>
  <c r="H49" i="5"/>
  <c r="I49" i="5"/>
  <c r="J49" i="5"/>
  <c r="K49" i="5"/>
  <c r="L49" i="5"/>
  <c r="C50" i="5"/>
  <c r="D50" i="5"/>
  <c r="E50" i="5"/>
  <c r="F50" i="5"/>
  <c r="G50" i="5"/>
  <c r="H50" i="5"/>
  <c r="I50" i="5"/>
  <c r="J50" i="5"/>
  <c r="K50" i="5"/>
  <c r="L50" i="5"/>
  <c r="C52" i="5"/>
  <c r="D52" i="5"/>
  <c r="E52" i="5"/>
  <c r="F52" i="5"/>
  <c r="G52" i="5"/>
  <c r="H52" i="5"/>
  <c r="I52" i="5"/>
  <c r="J52" i="5"/>
  <c r="K52" i="5"/>
  <c r="L52" i="5"/>
  <c r="C54" i="5"/>
  <c r="D54" i="5"/>
  <c r="E54" i="5"/>
  <c r="F54" i="5"/>
  <c r="G54" i="5"/>
  <c r="H54" i="5"/>
  <c r="I54" i="5"/>
  <c r="J54" i="5"/>
  <c r="K54" i="5"/>
  <c r="L54" i="5"/>
  <c r="C56" i="5"/>
  <c r="D56" i="5"/>
  <c r="E56" i="5"/>
  <c r="F56" i="5"/>
  <c r="G56" i="5"/>
  <c r="H56" i="5"/>
  <c r="I56" i="5"/>
  <c r="J56" i="5"/>
  <c r="K56" i="5"/>
  <c r="L56" i="5"/>
  <c r="C57" i="5"/>
  <c r="D57" i="5"/>
  <c r="E57" i="5"/>
  <c r="F57" i="5"/>
  <c r="G57" i="5"/>
  <c r="H57" i="5"/>
  <c r="I57" i="5"/>
  <c r="J57" i="5"/>
  <c r="K57" i="5"/>
  <c r="L57" i="5"/>
  <c r="C60" i="5"/>
  <c r="D60" i="5"/>
  <c r="E60" i="5"/>
  <c r="F60" i="5"/>
  <c r="G60" i="5"/>
  <c r="H60" i="5"/>
  <c r="I60" i="5"/>
  <c r="J60" i="5"/>
  <c r="K60" i="5"/>
  <c r="L60" i="5"/>
  <c r="C61" i="5"/>
  <c r="D61" i="5"/>
  <c r="E61" i="5"/>
  <c r="F61" i="5"/>
  <c r="G61" i="5"/>
  <c r="H61" i="5"/>
  <c r="I61" i="5"/>
  <c r="J61" i="5"/>
  <c r="K61" i="5"/>
  <c r="L61" i="5"/>
  <c r="C62" i="5"/>
  <c r="D62" i="5"/>
  <c r="E62" i="5"/>
  <c r="F62" i="5"/>
  <c r="G62" i="5"/>
  <c r="H62" i="5"/>
  <c r="I62" i="5"/>
  <c r="J62" i="5"/>
  <c r="K62" i="5"/>
  <c r="L62" i="5"/>
  <c r="C63" i="5"/>
  <c r="D63" i="5"/>
  <c r="E63" i="5"/>
  <c r="F63" i="5"/>
  <c r="G63" i="5"/>
  <c r="H63" i="5"/>
  <c r="I63" i="5"/>
  <c r="J63" i="5"/>
  <c r="K63" i="5"/>
  <c r="L63" i="5"/>
  <c r="C64" i="5"/>
  <c r="D64" i="5"/>
  <c r="E64" i="5"/>
  <c r="F64" i="5"/>
  <c r="G64" i="5"/>
  <c r="H64" i="5"/>
  <c r="I64" i="5"/>
  <c r="J64" i="5"/>
  <c r="K64" i="5"/>
  <c r="L64" i="5"/>
  <c r="C65" i="5"/>
  <c r="D65" i="5"/>
  <c r="E65" i="5"/>
  <c r="F65" i="5"/>
  <c r="G65" i="5"/>
  <c r="H65" i="5"/>
  <c r="I65" i="5"/>
  <c r="J65" i="5"/>
  <c r="K65" i="5"/>
  <c r="L65" i="5"/>
  <c r="C66" i="5"/>
  <c r="D66" i="5"/>
  <c r="E66" i="5"/>
  <c r="F66" i="5"/>
  <c r="G66" i="5"/>
  <c r="H66" i="5"/>
  <c r="I66" i="5"/>
  <c r="J66" i="5"/>
  <c r="K66" i="5"/>
  <c r="L66" i="5"/>
  <c r="C67" i="5"/>
  <c r="D67" i="5"/>
  <c r="E67" i="5"/>
  <c r="F67" i="5"/>
  <c r="G67" i="5"/>
  <c r="H67" i="5"/>
  <c r="I67" i="5"/>
  <c r="J67" i="5"/>
  <c r="K67" i="5"/>
  <c r="L67" i="5"/>
  <c r="C68" i="5"/>
  <c r="D68" i="5"/>
  <c r="E68" i="5"/>
  <c r="F68" i="5"/>
  <c r="G68" i="5"/>
  <c r="H68" i="5"/>
  <c r="I68" i="5"/>
  <c r="J68" i="5"/>
  <c r="K68" i="5"/>
  <c r="L68" i="5"/>
  <c r="C7" i="4"/>
  <c r="D7" i="4"/>
  <c r="E7" i="4"/>
  <c r="F7" i="4"/>
  <c r="G7" i="4"/>
  <c r="H7" i="4"/>
  <c r="I7" i="4"/>
  <c r="J7" i="4"/>
  <c r="K7" i="4"/>
  <c r="L7" i="4"/>
  <c r="C8" i="4"/>
  <c r="D8" i="4"/>
  <c r="E8" i="4"/>
  <c r="F8" i="4"/>
  <c r="G8" i="4"/>
  <c r="H8" i="4"/>
  <c r="I8" i="4"/>
  <c r="J8" i="4"/>
  <c r="K8" i="4"/>
  <c r="L8" i="4"/>
  <c r="C9" i="4"/>
  <c r="D9" i="4"/>
  <c r="E9" i="4"/>
  <c r="F9" i="4"/>
  <c r="G9" i="4"/>
  <c r="H9" i="4"/>
  <c r="I9" i="4"/>
  <c r="J9" i="4"/>
  <c r="K9" i="4"/>
  <c r="L9" i="4"/>
  <c r="C10" i="4"/>
  <c r="D10" i="4"/>
  <c r="E10" i="4"/>
  <c r="F10" i="4"/>
  <c r="G10" i="4"/>
  <c r="H10" i="4"/>
  <c r="I10" i="4"/>
  <c r="J10" i="4"/>
  <c r="K10" i="4"/>
  <c r="L10" i="4"/>
  <c r="C11" i="4"/>
  <c r="D11" i="4"/>
  <c r="E11" i="4"/>
  <c r="F11" i="4"/>
  <c r="G11" i="4"/>
  <c r="H11" i="4"/>
  <c r="I11" i="4"/>
  <c r="J11" i="4"/>
  <c r="K11" i="4"/>
  <c r="L11" i="4"/>
  <c r="C12" i="4"/>
  <c r="D12" i="4"/>
  <c r="E12" i="4"/>
  <c r="F12" i="4"/>
  <c r="G12" i="4"/>
  <c r="H12" i="4"/>
  <c r="I12" i="4"/>
  <c r="J12" i="4"/>
  <c r="K12" i="4"/>
  <c r="L12" i="4"/>
  <c r="C13" i="4"/>
  <c r="D13" i="4"/>
  <c r="E13" i="4"/>
  <c r="F13" i="4"/>
  <c r="G13" i="4"/>
  <c r="H13" i="4"/>
  <c r="I13" i="4"/>
  <c r="J13" i="4"/>
  <c r="K13" i="4"/>
  <c r="L13" i="4"/>
  <c r="C14" i="4"/>
  <c r="D14" i="4"/>
  <c r="E14" i="4"/>
  <c r="F14" i="4"/>
  <c r="G14" i="4"/>
  <c r="H14" i="4"/>
  <c r="I14" i="4"/>
  <c r="J14" i="4"/>
  <c r="K14" i="4"/>
  <c r="L14" i="4"/>
  <c r="C15" i="4"/>
  <c r="D15" i="4"/>
  <c r="E15" i="4"/>
  <c r="F15" i="4"/>
  <c r="G15" i="4"/>
  <c r="H15" i="4"/>
  <c r="I15" i="4"/>
  <c r="J15" i="4"/>
  <c r="K15" i="4"/>
  <c r="L15" i="4"/>
  <c r="C16" i="4"/>
  <c r="D16" i="4"/>
  <c r="E16" i="4"/>
  <c r="F16" i="4"/>
  <c r="G16" i="4"/>
  <c r="H16" i="4"/>
  <c r="I16" i="4"/>
  <c r="J16" i="4"/>
  <c r="K16" i="4"/>
  <c r="L16" i="4"/>
  <c r="C17" i="4"/>
  <c r="D17" i="4"/>
  <c r="E17" i="4"/>
  <c r="F17" i="4"/>
  <c r="G17" i="4"/>
  <c r="H17" i="4"/>
  <c r="I17" i="4"/>
  <c r="J17" i="4"/>
  <c r="K17" i="4"/>
  <c r="L17" i="4"/>
  <c r="C18" i="4"/>
  <c r="D18" i="4"/>
  <c r="E18" i="4"/>
  <c r="F18" i="4"/>
  <c r="G18" i="4"/>
  <c r="H18" i="4"/>
  <c r="I18" i="4"/>
  <c r="J18" i="4"/>
  <c r="K18" i="4"/>
  <c r="L18" i="4"/>
  <c r="C19" i="4"/>
  <c r="D19" i="4"/>
  <c r="E19" i="4"/>
  <c r="F19" i="4"/>
  <c r="G19" i="4"/>
  <c r="H19" i="4"/>
  <c r="I19" i="4"/>
  <c r="J19" i="4"/>
  <c r="K19" i="4"/>
  <c r="L19" i="4"/>
  <c r="C20" i="4"/>
  <c r="D20" i="4"/>
  <c r="E20" i="4"/>
  <c r="F20" i="4"/>
  <c r="G20" i="4"/>
  <c r="H20" i="4"/>
  <c r="I20" i="4"/>
  <c r="J20" i="4"/>
  <c r="K20" i="4"/>
  <c r="L20" i="4"/>
  <c r="C21" i="4"/>
  <c r="D21" i="4"/>
  <c r="E21" i="4"/>
  <c r="F21" i="4"/>
  <c r="G21" i="4"/>
  <c r="H21" i="4"/>
  <c r="I21" i="4"/>
  <c r="J21" i="4"/>
  <c r="K21" i="4"/>
  <c r="L21" i="4"/>
  <c r="C22" i="4"/>
  <c r="D22" i="4"/>
  <c r="E22" i="4"/>
  <c r="F22" i="4"/>
  <c r="G22" i="4"/>
  <c r="H22" i="4"/>
  <c r="I22" i="4"/>
  <c r="J22" i="4"/>
  <c r="K22" i="4"/>
  <c r="L22" i="4"/>
  <c r="C23" i="4"/>
  <c r="D23" i="4"/>
  <c r="E23" i="4"/>
  <c r="F23" i="4"/>
  <c r="G23" i="4"/>
  <c r="H23" i="4"/>
  <c r="I23" i="4"/>
  <c r="J23" i="4"/>
  <c r="K23" i="4"/>
  <c r="L23" i="4"/>
  <c r="C24" i="4"/>
  <c r="D24" i="4"/>
  <c r="E24" i="4"/>
  <c r="F24" i="4"/>
  <c r="G24" i="4"/>
  <c r="H24" i="4"/>
  <c r="I24" i="4"/>
  <c r="J24" i="4"/>
  <c r="K24" i="4"/>
  <c r="L24" i="4"/>
  <c r="C25" i="4"/>
  <c r="D25" i="4"/>
  <c r="E25" i="4"/>
  <c r="F25" i="4"/>
  <c r="G25" i="4"/>
  <c r="H25" i="4"/>
  <c r="I25" i="4"/>
  <c r="J25" i="4"/>
  <c r="K25" i="4"/>
  <c r="L25" i="4"/>
  <c r="C26" i="4"/>
  <c r="D26" i="4"/>
  <c r="E26" i="4"/>
  <c r="F26" i="4"/>
  <c r="G26" i="4"/>
  <c r="H26" i="4"/>
  <c r="I26" i="4"/>
  <c r="J26" i="4"/>
  <c r="K26" i="4"/>
  <c r="L26" i="4"/>
  <c r="C27" i="4"/>
  <c r="D27" i="4"/>
  <c r="E27" i="4"/>
  <c r="F27" i="4"/>
  <c r="G27" i="4"/>
  <c r="H27" i="4"/>
  <c r="I27" i="4"/>
  <c r="J27" i="4"/>
  <c r="K27" i="4"/>
  <c r="L27" i="4"/>
  <c r="C28" i="4"/>
  <c r="D28" i="4"/>
  <c r="E28" i="4"/>
  <c r="F28" i="4"/>
  <c r="G28" i="4"/>
  <c r="H28" i="4"/>
  <c r="I28" i="4"/>
  <c r="J28" i="4"/>
  <c r="K28" i="4"/>
  <c r="L28" i="4"/>
  <c r="C29" i="4"/>
  <c r="D29" i="4"/>
  <c r="E29" i="4"/>
  <c r="F29" i="4"/>
  <c r="G29" i="4"/>
  <c r="H29" i="4"/>
  <c r="I29" i="4"/>
  <c r="J29" i="4"/>
  <c r="K29" i="4"/>
  <c r="L29" i="4"/>
  <c r="C30" i="4"/>
  <c r="D30" i="4"/>
  <c r="E30" i="4"/>
  <c r="F30" i="4"/>
  <c r="G30" i="4"/>
  <c r="H30" i="4"/>
  <c r="I30" i="4"/>
  <c r="J30" i="4"/>
  <c r="K30" i="4"/>
  <c r="L30" i="4"/>
  <c r="C31" i="4"/>
  <c r="D31" i="4"/>
  <c r="E31" i="4"/>
  <c r="F31" i="4"/>
  <c r="G31" i="4"/>
  <c r="H31" i="4"/>
  <c r="I31" i="4"/>
  <c r="J31" i="4"/>
  <c r="K31" i="4"/>
  <c r="L31" i="4"/>
  <c r="C32" i="4"/>
  <c r="D32" i="4"/>
  <c r="E32" i="4"/>
  <c r="F32" i="4"/>
  <c r="G32" i="4"/>
  <c r="H32" i="4"/>
  <c r="I32" i="4"/>
  <c r="J32" i="4"/>
  <c r="K32" i="4"/>
  <c r="L32" i="4"/>
  <c r="C33" i="4"/>
  <c r="D33" i="4"/>
  <c r="E33" i="4"/>
  <c r="F33" i="4"/>
  <c r="G33" i="4"/>
  <c r="H33" i="4"/>
  <c r="I33" i="4"/>
  <c r="J33" i="4"/>
  <c r="K33" i="4"/>
  <c r="L33" i="4"/>
  <c r="C36" i="4"/>
  <c r="D36" i="4"/>
  <c r="E36" i="4"/>
  <c r="F36" i="4"/>
  <c r="G36" i="4"/>
  <c r="H36" i="4"/>
  <c r="I36" i="4"/>
  <c r="J36" i="4"/>
  <c r="K36" i="4"/>
  <c r="L36" i="4"/>
  <c r="C37" i="4"/>
  <c r="D37" i="4"/>
  <c r="E37" i="4"/>
  <c r="F37" i="4"/>
  <c r="G37" i="4"/>
  <c r="H37" i="4"/>
  <c r="I37" i="4"/>
  <c r="J37" i="4"/>
  <c r="K37" i="4"/>
  <c r="L37" i="4"/>
  <c r="C38" i="4"/>
  <c r="D38" i="4"/>
  <c r="E38" i="4"/>
  <c r="F38" i="4"/>
  <c r="G38" i="4"/>
  <c r="H38" i="4"/>
  <c r="I38" i="4"/>
  <c r="J38" i="4"/>
  <c r="K38" i="4"/>
  <c r="L38" i="4"/>
  <c r="C39" i="4"/>
  <c r="D39" i="4"/>
  <c r="E39" i="4"/>
  <c r="F39" i="4"/>
  <c r="G39" i="4"/>
  <c r="H39" i="4"/>
  <c r="I39" i="4"/>
  <c r="J39" i="4"/>
  <c r="K39" i="4"/>
  <c r="L39" i="4"/>
  <c r="C40" i="4"/>
  <c r="D40" i="4"/>
  <c r="E40" i="4"/>
  <c r="F40" i="4"/>
  <c r="G40" i="4"/>
  <c r="H40" i="4"/>
  <c r="I40" i="4"/>
  <c r="J40" i="4"/>
  <c r="K40" i="4"/>
  <c r="L40" i="4"/>
  <c r="C41" i="4"/>
  <c r="D41" i="4"/>
  <c r="E41" i="4"/>
  <c r="F41" i="4"/>
  <c r="G41" i="4"/>
  <c r="H41" i="4"/>
  <c r="I41" i="4"/>
  <c r="J41" i="4"/>
  <c r="K41" i="4"/>
  <c r="L41" i="4"/>
  <c r="C42" i="4"/>
  <c r="D42" i="4"/>
  <c r="E42" i="4"/>
  <c r="F42" i="4"/>
  <c r="G42" i="4"/>
  <c r="H42" i="4"/>
  <c r="I42" i="4"/>
  <c r="J42" i="4"/>
  <c r="K42" i="4"/>
  <c r="L42" i="4"/>
  <c r="C43" i="4"/>
  <c r="D43" i="4"/>
  <c r="E43" i="4"/>
  <c r="F43" i="4"/>
  <c r="G43" i="4"/>
  <c r="H43" i="4"/>
  <c r="I43" i="4"/>
  <c r="J43" i="4"/>
  <c r="K43" i="4"/>
  <c r="L43" i="4"/>
  <c r="C44" i="4"/>
  <c r="D44" i="4"/>
  <c r="E44" i="4"/>
  <c r="F44" i="4"/>
  <c r="G44" i="4"/>
  <c r="H44" i="4"/>
  <c r="I44" i="4"/>
  <c r="J44" i="4"/>
  <c r="K44" i="4"/>
  <c r="L44" i="4"/>
  <c r="C45" i="4"/>
  <c r="D45" i="4"/>
  <c r="E45" i="4"/>
  <c r="F45" i="4"/>
  <c r="G45" i="4"/>
  <c r="H45" i="4"/>
  <c r="I45" i="4"/>
  <c r="J45" i="4"/>
  <c r="K45" i="4"/>
  <c r="L45" i="4"/>
  <c r="C46" i="4"/>
  <c r="D46" i="4"/>
  <c r="E46" i="4"/>
  <c r="F46" i="4"/>
  <c r="G46" i="4"/>
  <c r="H46" i="4"/>
  <c r="I46" i="4"/>
  <c r="J46" i="4"/>
  <c r="K46" i="4"/>
  <c r="L46" i="4"/>
  <c r="C47" i="4"/>
  <c r="D47" i="4"/>
  <c r="E47" i="4"/>
  <c r="F47" i="4"/>
  <c r="G47" i="4"/>
  <c r="H47" i="4"/>
  <c r="I47" i="4"/>
  <c r="J47" i="4"/>
  <c r="K47" i="4"/>
  <c r="L47" i="4"/>
  <c r="C48" i="4"/>
  <c r="D48" i="4"/>
  <c r="E48" i="4"/>
  <c r="F48" i="4"/>
  <c r="G48" i="4"/>
  <c r="H48" i="4"/>
  <c r="I48" i="4"/>
  <c r="J48" i="4"/>
  <c r="K48" i="4"/>
  <c r="L48" i="4"/>
  <c r="C49" i="4"/>
  <c r="D49" i="4"/>
  <c r="E49" i="4"/>
  <c r="F49" i="4"/>
  <c r="G49" i="4"/>
  <c r="H49" i="4"/>
  <c r="I49" i="4"/>
  <c r="J49" i="4"/>
  <c r="K49" i="4"/>
  <c r="L49" i="4"/>
  <c r="C50" i="4"/>
  <c r="D50" i="4"/>
  <c r="E50" i="4"/>
  <c r="F50" i="4"/>
  <c r="G50" i="4"/>
  <c r="H50" i="4"/>
  <c r="I50" i="4"/>
  <c r="J50" i="4"/>
  <c r="K50" i="4"/>
  <c r="L50" i="4"/>
  <c r="C51" i="4"/>
  <c r="D51" i="4"/>
  <c r="E51" i="4"/>
  <c r="F51" i="4"/>
  <c r="G51" i="4"/>
  <c r="H51" i="4"/>
  <c r="I51" i="4"/>
  <c r="J51" i="4"/>
  <c r="K51" i="4"/>
  <c r="L51" i="4"/>
  <c r="C52" i="4"/>
  <c r="D52" i="4"/>
  <c r="E52" i="4"/>
  <c r="F52" i="4"/>
  <c r="G52" i="4"/>
  <c r="H52" i="4"/>
  <c r="I52" i="4"/>
  <c r="J52" i="4"/>
  <c r="K52" i="4"/>
  <c r="L52" i="4"/>
  <c r="C53" i="4"/>
  <c r="D53" i="4"/>
  <c r="E53" i="4"/>
  <c r="F53" i="4"/>
  <c r="G53" i="4"/>
  <c r="H53" i="4"/>
  <c r="I53" i="4"/>
  <c r="J53" i="4"/>
  <c r="K53" i="4"/>
  <c r="L53" i="4"/>
  <c r="C54" i="4"/>
  <c r="D54" i="4"/>
  <c r="E54" i="4"/>
  <c r="F54" i="4"/>
  <c r="G54" i="4"/>
  <c r="H54" i="4"/>
  <c r="I54" i="4"/>
  <c r="J54" i="4"/>
  <c r="K54" i="4"/>
  <c r="L54" i="4"/>
  <c r="C55" i="4"/>
  <c r="D55" i="4"/>
  <c r="E55" i="4"/>
  <c r="F55" i="4"/>
  <c r="G55" i="4"/>
  <c r="H55" i="4"/>
  <c r="I55" i="4"/>
  <c r="J55" i="4"/>
  <c r="K55" i="4"/>
  <c r="L55" i="4"/>
  <c r="C56" i="4"/>
  <c r="D56" i="4"/>
  <c r="E56" i="4"/>
  <c r="F56" i="4"/>
  <c r="G56" i="4"/>
  <c r="H56" i="4"/>
  <c r="I56" i="4"/>
  <c r="J56" i="4"/>
  <c r="K56" i="4"/>
  <c r="L56" i="4"/>
  <c r="C57" i="4"/>
  <c r="D57" i="4"/>
  <c r="E57" i="4"/>
  <c r="F57" i="4"/>
  <c r="G57" i="4"/>
  <c r="H57" i="4"/>
  <c r="I57" i="4"/>
  <c r="J57" i="4"/>
  <c r="K57" i="4"/>
  <c r="L57" i="4"/>
  <c r="C58" i="4"/>
  <c r="D58" i="4"/>
  <c r="E58" i="4"/>
  <c r="F58" i="4"/>
  <c r="G58" i="4"/>
  <c r="H58" i="4"/>
  <c r="I58" i="4"/>
  <c r="J58" i="4"/>
  <c r="K58" i="4"/>
  <c r="L58" i="4"/>
  <c r="C59" i="4"/>
  <c r="D59" i="4"/>
  <c r="E59" i="4"/>
  <c r="F59" i="4"/>
  <c r="G59" i="4"/>
  <c r="H59" i="4"/>
  <c r="I59" i="4"/>
  <c r="J59" i="4"/>
  <c r="K59" i="4"/>
  <c r="L59" i="4"/>
  <c r="C60" i="4"/>
  <c r="D60" i="4"/>
  <c r="E60" i="4"/>
  <c r="F60" i="4"/>
  <c r="G60" i="4"/>
  <c r="H60" i="4"/>
  <c r="I60" i="4"/>
  <c r="J60" i="4"/>
  <c r="K60" i="4"/>
  <c r="L60" i="4"/>
  <c r="C61" i="4"/>
  <c r="D61" i="4"/>
  <c r="E61" i="4"/>
  <c r="F61" i="4"/>
  <c r="G61" i="4"/>
  <c r="H61" i="4"/>
  <c r="I61" i="4"/>
  <c r="J61" i="4"/>
  <c r="K61" i="4"/>
  <c r="L61" i="4"/>
  <c r="C62" i="4"/>
  <c r="D62" i="4"/>
  <c r="E62" i="4"/>
  <c r="F62" i="4"/>
  <c r="G62" i="4"/>
  <c r="H62" i="4"/>
  <c r="I62" i="4"/>
  <c r="J62" i="4"/>
  <c r="K62" i="4"/>
  <c r="L62" i="4"/>
  <c r="C63" i="4"/>
  <c r="D63" i="4"/>
  <c r="E63" i="4"/>
  <c r="F63" i="4"/>
  <c r="G63" i="4"/>
  <c r="H63" i="4"/>
  <c r="I63" i="4"/>
  <c r="J63" i="4"/>
  <c r="K63" i="4"/>
  <c r="L63" i="4"/>
  <c r="C64" i="4"/>
  <c r="D64" i="4"/>
  <c r="E64" i="4"/>
  <c r="F64" i="4"/>
  <c r="G64" i="4"/>
  <c r="H64" i="4"/>
  <c r="I64" i="4"/>
  <c r="J64" i="4"/>
  <c r="K64" i="4"/>
  <c r="L64" i="4"/>
  <c r="C65" i="4"/>
  <c r="D65" i="4"/>
  <c r="E65" i="4"/>
  <c r="F65" i="4"/>
  <c r="G65" i="4"/>
  <c r="H65" i="4"/>
  <c r="I65" i="4"/>
  <c r="J65" i="4"/>
  <c r="K65" i="4"/>
  <c r="L65" i="4"/>
  <c r="C66" i="4"/>
  <c r="D66" i="4"/>
  <c r="E66" i="4"/>
  <c r="F66" i="4"/>
  <c r="G66" i="4"/>
  <c r="H66" i="4"/>
  <c r="I66" i="4"/>
  <c r="J66" i="4"/>
  <c r="K66" i="4"/>
  <c r="L66" i="4"/>
  <c r="C67" i="4"/>
  <c r="D67" i="4"/>
  <c r="E67" i="4"/>
  <c r="F67" i="4"/>
  <c r="G67" i="4"/>
  <c r="H67" i="4"/>
  <c r="I67" i="4"/>
  <c r="J67" i="4"/>
  <c r="K67" i="4"/>
  <c r="L67" i="4"/>
  <c r="C68" i="4"/>
  <c r="D68" i="4"/>
  <c r="E68" i="4"/>
  <c r="F68" i="4"/>
  <c r="G68" i="4"/>
  <c r="H68" i="4"/>
  <c r="I68" i="4"/>
  <c r="J68" i="4"/>
  <c r="K68" i="4"/>
  <c r="L68" i="4"/>
  <c r="C69" i="4"/>
  <c r="D69" i="4"/>
  <c r="E69" i="4"/>
  <c r="F69" i="4"/>
  <c r="G69" i="4"/>
  <c r="H69" i="4"/>
  <c r="I69" i="4"/>
  <c r="J69" i="4"/>
  <c r="K69" i="4"/>
  <c r="L69" i="4"/>
  <c r="C70" i="4"/>
  <c r="D70" i="4"/>
  <c r="E70" i="4"/>
  <c r="F70" i="4"/>
  <c r="G70" i="4"/>
  <c r="H70" i="4"/>
  <c r="I70" i="4"/>
  <c r="J70" i="4"/>
  <c r="K70" i="4"/>
  <c r="L70" i="4"/>
  <c r="C71" i="4"/>
  <c r="D71" i="4"/>
  <c r="E71" i="4"/>
  <c r="F71" i="4"/>
  <c r="G71" i="4"/>
  <c r="H71" i="4"/>
  <c r="I71" i="4"/>
  <c r="J71" i="4"/>
  <c r="K71" i="4"/>
  <c r="L71" i="4"/>
  <c r="C72" i="4"/>
  <c r="D72" i="4"/>
  <c r="E72" i="4"/>
  <c r="F72" i="4"/>
  <c r="G72" i="4"/>
  <c r="H72" i="4"/>
  <c r="I72" i="4"/>
  <c r="J72" i="4"/>
  <c r="K72" i="4"/>
  <c r="L72" i="4"/>
  <c r="C73" i="4"/>
  <c r="D73" i="4"/>
  <c r="E73" i="4"/>
  <c r="F73" i="4"/>
  <c r="G73" i="4"/>
  <c r="H73" i="4"/>
  <c r="I73" i="4"/>
  <c r="J73" i="4"/>
  <c r="K73" i="4"/>
  <c r="L73" i="4"/>
  <c r="C74" i="4"/>
  <c r="D74" i="4"/>
  <c r="E74" i="4"/>
  <c r="F74" i="4"/>
  <c r="G74" i="4"/>
  <c r="H74" i="4"/>
  <c r="I74" i="4"/>
  <c r="J74" i="4"/>
  <c r="K74" i="4"/>
  <c r="L74" i="4"/>
  <c r="C75" i="4"/>
  <c r="D75" i="4"/>
  <c r="E75" i="4"/>
  <c r="F75" i="4"/>
  <c r="G75" i="4"/>
  <c r="H75" i="4"/>
  <c r="I75" i="4"/>
  <c r="J75" i="4"/>
  <c r="K75" i="4"/>
  <c r="L75" i="4"/>
  <c r="C76" i="4"/>
  <c r="D76" i="4"/>
  <c r="E76" i="4"/>
  <c r="F76" i="4"/>
  <c r="G76" i="4"/>
  <c r="H76" i="4"/>
  <c r="I76" i="4"/>
  <c r="J76" i="4"/>
  <c r="K76" i="4"/>
  <c r="L76" i="4"/>
  <c r="C77" i="4"/>
  <c r="D77" i="4"/>
  <c r="E77" i="4"/>
  <c r="F77" i="4"/>
  <c r="G77" i="4"/>
  <c r="H77" i="4"/>
  <c r="I77" i="4"/>
  <c r="J77" i="4"/>
  <c r="K77" i="4"/>
  <c r="L77" i="4"/>
  <c r="C78" i="4"/>
  <c r="D78" i="4"/>
  <c r="E78" i="4"/>
  <c r="F78" i="4"/>
  <c r="G78" i="4"/>
  <c r="H78" i="4"/>
  <c r="I78" i="4"/>
  <c r="J78" i="4"/>
  <c r="K78" i="4"/>
  <c r="L78" i="4"/>
  <c r="C82" i="4"/>
  <c r="D82" i="4"/>
  <c r="E82" i="4"/>
  <c r="F82" i="4"/>
  <c r="G82" i="4"/>
  <c r="H82" i="4"/>
  <c r="I82" i="4"/>
  <c r="J82" i="4"/>
  <c r="K82" i="4"/>
  <c r="L82" i="4"/>
  <c r="C83" i="4"/>
  <c r="D83" i="4"/>
  <c r="E83" i="4"/>
  <c r="F83" i="4"/>
  <c r="G83" i="4"/>
  <c r="H83" i="4"/>
  <c r="I83" i="4"/>
  <c r="J83" i="4"/>
  <c r="K83" i="4"/>
  <c r="L83" i="4"/>
  <c r="C84" i="4"/>
  <c r="D84" i="4"/>
  <c r="E84" i="4"/>
  <c r="F84" i="4"/>
  <c r="G84" i="4"/>
  <c r="H84" i="4"/>
  <c r="I84" i="4"/>
  <c r="J84" i="4"/>
  <c r="K84" i="4"/>
  <c r="L84" i="4"/>
  <c r="C85" i="4"/>
  <c r="D85" i="4"/>
  <c r="E85" i="4"/>
  <c r="F85" i="4"/>
  <c r="G85" i="4"/>
  <c r="H85" i="4"/>
  <c r="I85" i="4"/>
  <c r="J85" i="4"/>
  <c r="K85" i="4"/>
  <c r="L85" i="4"/>
  <c r="C86" i="4"/>
  <c r="D86" i="4"/>
  <c r="E86" i="4"/>
  <c r="F86" i="4"/>
  <c r="G86" i="4"/>
  <c r="H86" i="4"/>
  <c r="I86" i="4"/>
  <c r="J86" i="4"/>
  <c r="K86" i="4"/>
  <c r="L86" i="4"/>
  <c r="C87" i="4"/>
  <c r="D87" i="4"/>
  <c r="E87" i="4"/>
  <c r="F87" i="4"/>
  <c r="G87" i="4"/>
  <c r="H87" i="4"/>
  <c r="I87" i="4"/>
  <c r="J87" i="4"/>
  <c r="K87" i="4"/>
  <c r="L87" i="4"/>
  <c r="C88" i="4"/>
  <c r="D88" i="4"/>
  <c r="E88" i="4"/>
  <c r="F88" i="4"/>
  <c r="G88" i="4"/>
  <c r="H88" i="4"/>
  <c r="I88" i="4"/>
  <c r="J88" i="4"/>
  <c r="K88" i="4"/>
  <c r="L88" i="4"/>
  <c r="C89" i="4"/>
  <c r="D89" i="4"/>
  <c r="E89" i="4"/>
  <c r="F89" i="4"/>
  <c r="G89" i="4"/>
  <c r="H89" i="4"/>
  <c r="I89" i="4"/>
  <c r="J89" i="4"/>
  <c r="K89" i="4"/>
  <c r="L89" i="4"/>
  <c r="C90" i="4"/>
  <c r="D90" i="4"/>
  <c r="E90" i="4"/>
  <c r="F90" i="4"/>
  <c r="G90" i="4"/>
  <c r="H90" i="4"/>
  <c r="I90" i="4"/>
  <c r="J90" i="4"/>
  <c r="K90" i="4"/>
  <c r="L90" i="4"/>
  <c r="C91" i="4"/>
  <c r="D91" i="4"/>
  <c r="E91" i="4"/>
  <c r="F91" i="4"/>
  <c r="G91" i="4"/>
  <c r="H91" i="4"/>
  <c r="I91" i="4"/>
  <c r="J91" i="4"/>
  <c r="K91" i="4"/>
  <c r="L91" i="4"/>
  <c r="C92" i="4"/>
  <c r="D92" i="4"/>
  <c r="E92" i="4"/>
  <c r="F92" i="4"/>
  <c r="G92" i="4"/>
  <c r="H92" i="4"/>
  <c r="I92" i="4"/>
  <c r="J92" i="4"/>
  <c r="K92" i="4"/>
  <c r="L92" i="4"/>
  <c r="C93" i="4"/>
  <c r="D93" i="4"/>
  <c r="E93" i="4"/>
  <c r="F93" i="4"/>
  <c r="G93" i="4"/>
  <c r="H93" i="4"/>
  <c r="I93" i="4"/>
  <c r="J93" i="4"/>
  <c r="K93" i="4"/>
  <c r="L93" i="4"/>
  <c r="C6" i="3"/>
  <c r="D6" i="3"/>
  <c r="E6" i="3"/>
  <c r="F6" i="3"/>
  <c r="G6" i="3"/>
  <c r="H6" i="3"/>
  <c r="I6" i="3"/>
  <c r="J6" i="3"/>
  <c r="C7" i="3"/>
  <c r="D7" i="3"/>
  <c r="E7" i="3"/>
  <c r="F7" i="3"/>
  <c r="G7" i="3"/>
  <c r="H7" i="3"/>
  <c r="I7" i="3"/>
  <c r="J7" i="3"/>
  <c r="C8" i="3"/>
  <c r="D8" i="3"/>
  <c r="E8" i="3"/>
  <c r="F8" i="3"/>
  <c r="G8" i="3"/>
  <c r="H8" i="3"/>
  <c r="I8" i="3"/>
  <c r="J8" i="3"/>
  <c r="C9" i="3"/>
  <c r="D9" i="3"/>
  <c r="E9" i="3"/>
  <c r="F9" i="3"/>
  <c r="G9" i="3"/>
  <c r="H9" i="3"/>
  <c r="I9" i="3"/>
  <c r="J9" i="3"/>
  <c r="C10" i="3"/>
  <c r="D10" i="3"/>
  <c r="E10" i="3"/>
  <c r="F10" i="3"/>
  <c r="G10" i="3"/>
  <c r="H10" i="3"/>
  <c r="I10" i="3"/>
  <c r="J10" i="3"/>
  <c r="C11" i="3"/>
  <c r="D11" i="3"/>
  <c r="E11" i="3"/>
  <c r="F11" i="3"/>
  <c r="G11" i="3"/>
  <c r="H11" i="3"/>
  <c r="I11" i="3"/>
  <c r="J11" i="3"/>
  <c r="C12" i="3"/>
  <c r="D12" i="3"/>
  <c r="E12" i="3"/>
  <c r="F12" i="3"/>
  <c r="G12" i="3"/>
  <c r="H12" i="3"/>
  <c r="I12" i="3"/>
  <c r="J12" i="3"/>
  <c r="C13" i="3"/>
  <c r="D13" i="3"/>
  <c r="E13" i="3"/>
  <c r="F13" i="3"/>
  <c r="G13" i="3"/>
  <c r="H13" i="3"/>
  <c r="I13" i="3"/>
  <c r="J13" i="3"/>
  <c r="C14" i="3"/>
  <c r="D14" i="3"/>
  <c r="E14" i="3"/>
  <c r="F14" i="3"/>
  <c r="G14" i="3"/>
  <c r="H14" i="3"/>
  <c r="I14" i="3"/>
  <c r="J14" i="3"/>
  <c r="C15" i="3"/>
  <c r="D15" i="3"/>
  <c r="E15" i="3"/>
  <c r="F15" i="3"/>
  <c r="G15" i="3"/>
  <c r="H15" i="3"/>
  <c r="I15" i="3"/>
  <c r="J15" i="3"/>
  <c r="C16" i="3"/>
  <c r="D16" i="3"/>
  <c r="E16" i="3"/>
  <c r="F16" i="3"/>
  <c r="G16" i="3"/>
  <c r="H16" i="3"/>
  <c r="I16" i="3"/>
  <c r="J16" i="3"/>
  <c r="C17" i="3"/>
  <c r="D17" i="3"/>
  <c r="E17" i="3"/>
  <c r="F17" i="3"/>
  <c r="G17" i="3"/>
  <c r="H17" i="3"/>
  <c r="I17" i="3"/>
  <c r="J17" i="3"/>
  <c r="C18" i="3"/>
  <c r="D18" i="3"/>
  <c r="E18" i="3"/>
  <c r="F18" i="3"/>
  <c r="G18" i="3"/>
  <c r="H18" i="3"/>
  <c r="I18" i="3"/>
  <c r="J18" i="3"/>
  <c r="C19" i="3"/>
  <c r="D19" i="3"/>
  <c r="E19" i="3"/>
  <c r="F19" i="3"/>
  <c r="G19" i="3"/>
  <c r="H19" i="3"/>
  <c r="I19" i="3"/>
  <c r="J19" i="3"/>
  <c r="C20" i="3"/>
  <c r="D20" i="3"/>
  <c r="E20" i="3"/>
  <c r="F20" i="3"/>
  <c r="G20" i="3"/>
  <c r="H20" i="3"/>
  <c r="I20" i="3"/>
  <c r="J20" i="3"/>
  <c r="C21" i="3"/>
  <c r="D21" i="3"/>
  <c r="E21" i="3"/>
  <c r="F21" i="3"/>
  <c r="G21" i="3"/>
  <c r="H21" i="3"/>
  <c r="I21" i="3"/>
  <c r="J21" i="3"/>
  <c r="C22" i="3"/>
  <c r="D22" i="3"/>
  <c r="E22" i="3"/>
  <c r="F22" i="3"/>
  <c r="G22" i="3"/>
  <c r="H22" i="3"/>
  <c r="I22" i="3"/>
  <c r="J22" i="3"/>
  <c r="C23" i="3"/>
  <c r="D23" i="3"/>
  <c r="E23" i="3"/>
  <c r="F23" i="3"/>
  <c r="G23" i="3"/>
  <c r="H23" i="3"/>
  <c r="I23" i="3"/>
  <c r="J23" i="3"/>
  <c r="C24" i="3"/>
  <c r="D24" i="3"/>
  <c r="E24" i="3"/>
  <c r="F24" i="3"/>
  <c r="G24" i="3"/>
  <c r="H24" i="3"/>
  <c r="I24" i="3"/>
  <c r="J24" i="3"/>
  <c r="C25" i="3"/>
  <c r="D25" i="3"/>
  <c r="E25" i="3"/>
  <c r="F25" i="3"/>
  <c r="G25" i="3"/>
  <c r="H25" i="3"/>
  <c r="I25" i="3"/>
  <c r="J25" i="3"/>
  <c r="C26" i="3"/>
  <c r="D26" i="3"/>
  <c r="E26" i="3"/>
  <c r="F26" i="3"/>
  <c r="G26" i="3"/>
  <c r="H26" i="3"/>
  <c r="I26" i="3"/>
  <c r="J26" i="3"/>
  <c r="C27" i="3"/>
  <c r="D27" i="3"/>
  <c r="E27" i="3"/>
  <c r="F27" i="3"/>
  <c r="G27" i="3"/>
  <c r="H27" i="3"/>
  <c r="I27" i="3"/>
  <c r="J27" i="3"/>
  <c r="C28" i="3"/>
  <c r="D28" i="3"/>
  <c r="E28" i="3"/>
  <c r="F28" i="3"/>
  <c r="G28" i="3"/>
  <c r="H28" i="3"/>
  <c r="I28" i="3"/>
  <c r="J28" i="3"/>
  <c r="C29" i="3"/>
  <c r="D29" i="3"/>
  <c r="E29" i="3"/>
  <c r="F29" i="3"/>
  <c r="G29" i="3"/>
  <c r="H29" i="3"/>
  <c r="I29" i="3"/>
  <c r="J29" i="3"/>
  <c r="C30" i="3"/>
  <c r="D30" i="3"/>
  <c r="E30" i="3"/>
  <c r="F30" i="3"/>
  <c r="G30" i="3"/>
  <c r="H30" i="3"/>
  <c r="I30" i="3"/>
  <c r="J30" i="3"/>
  <c r="C31" i="3"/>
  <c r="D31" i="3"/>
  <c r="E31" i="3"/>
  <c r="F31" i="3"/>
  <c r="G31" i="3"/>
  <c r="H31" i="3"/>
  <c r="I31" i="3"/>
  <c r="J31" i="3"/>
  <c r="C32" i="3"/>
  <c r="D32" i="3"/>
  <c r="E32" i="3"/>
  <c r="F32" i="3"/>
  <c r="G32" i="3"/>
  <c r="H32" i="3"/>
  <c r="I32" i="3"/>
  <c r="J32" i="3"/>
  <c r="C33" i="3"/>
  <c r="D33" i="3"/>
  <c r="E33" i="3"/>
  <c r="F33" i="3"/>
  <c r="G33" i="3"/>
  <c r="H33" i="3"/>
  <c r="I33" i="3"/>
  <c r="J33" i="3"/>
  <c r="C34" i="3"/>
  <c r="D34" i="3"/>
  <c r="E34" i="3"/>
  <c r="F34" i="3"/>
  <c r="G34" i="3"/>
  <c r="H34" i="3"/>
  <c r="I34" i="3"/>
  <c r="J34" i="3"/>
  <c r="C35" i="3"/>
  <c r="D35" i="3"/>
  <c r="E35" i="3"/>
  <c r="F35" i="3"/>
  <c r="G35" i="3"/>
  <c r="H35" i="3"/>
  <c r="I35" i="3"/>
  <c r="J35" i="3"/>
  <c r="C36" i="3"/>
  <c r="D36" i="3"/>
  <c r="E36" i="3"/>
  <c r="F36" i="3"/>
  <c r="G36" i="3"/>
  <c r="H36" i="3"/>
  <c r="I36" i="3"/>
  <c r="J36" i="3"/>
  <c r="C37" i="3"/>
  <c r="D37" i="3"/>
  <c r="E37" i="3"/>
  <c r="F37" i="3"/>
  <c r="G37" i="3"/>
  <c r="H37" i="3"/>
  <c r="I37" i="3"/>
  <c r="J37" i="3"/>
  <c r="C38" i="3"/>
  <c r="D38" i="3"/>
  <c r="E38" i="3"/>
  <c r="F38" i="3"/>
  <c r="G38" i="3"/>
  <c r="H38" i="3"/>
  <c r="I38" i="3"/>
  <c r="J38" i="3"/>
  <c r="C39" i="3"/>
  <c r="D39" i="3"/>
  <c r="E39" i="3"/>
  <c r="F39" i="3"/>
  <c r="G39" i="3"/>
  <c r="H39" i="3"/>
  <c r="I39" i="3"/>
  <c r="J39" i="3"/>
  <c r="C40" i="3"/>
  <c r="D40" i="3"/>
  <c r="E40" i="3"/>
  <c r="F40" i="3"/>
  <c r="G40" i="3"/>
  <c r="H40" i="3"/>
  <c r="I40" i="3"/>
  <c r="J40" i="3"/>
  <c r="C41" i="3"/>
  <c r="D41" i="3"/>
  <c r="E41" i="3"/>
  <c r="F41" i="3"/>
  <c r="G41" i="3"/>
  <c r="H41" i="3"/>
  <c r="I41" i="3"/>
  <c r="J41" i="3"/>
  <c r="C42" i="3"/>
  <c r="D42" i="3"/>
  <c r="E42" i="3"/>
  <c r="F42" i="3"/>
  <c r="G42" i="3"/>
  <c r="H42" i="3"/>
  <c r="I42" i="3"/>
  <c r="J42" i="3"/>
  <c r="C43" i="3"/>
  <c r="D43" i="3"/>
  <c r="E43" i="3"/>
  <c r="F43" i="3"/>
  <c r="G43" i="3"/>
  <c r="H43" i="3"/>
  <c r="I43" i="3"/>
  <c r="J43" i="3"/>
  <c r="C45" i="3"/>
  <c r="D45" i="3"/>
  <c r="E45" i="3"/>
  <c r="F45" i="3"/>
  <c r="G45" i="3"/>
  <c r="H45" i="3"/>
  <c r="I45" i="3"/>
  <c r="J45" i="3"/>
  <c r="C46" i="3"/>
  <c r="D46" i="3"/>
  <c r="E46" i="3"/>
  <c r="F46" i="3"/>
  <c r="G46" i="3"/>
  <c r="H46" i="3"/>
  <c r="I46" i="3"/>
  <c r="J46" i="3"/>
  <c r="C47" i="3"/>
  <c r="D47" i="3"/>
  <c r="E47" i="3"/>
  <c r="F47" i="3"/>
  <c r="G47" i="3"/>
  <c r="H47" i="3"/>
  <c r="I47" i="3"/>
  <c r="J47" i="3"/>
  <c r="C49" i="3"/>
  <c r="D49" i="3"/>
  <c r="E49" i="3"/>
  <c r="F49" i="3"/>
  <c r="G49" i="3"/>
  <c r="H49" i="3"/>
  <c r="I49" i="3"/>
  <c r="J49" i="3"/>
  <c r="C50" i="3"/>
  <c r="D50" i="3"/>
  <c r="E50" i="3"/>
  <c r="F50" i="3"/>
  <c r="G50" i="3"/>
  <c r="H50" i="3"/>
  <c r="I50" i="3"/>
  <c r="J50" i="3"/>
  <c r="C51" i="3"/>
  <c r="D51" i="3"/>
  <c r="E51" i="3"/>
  <c r="F51" i="3"/>
  <c r="G51" i="3"/>
  <c r="H51" i="3"/>
  <c r="I51" i="3"/>
  <c r="J51" i="3"/>
  <c r="C52" i="3"/>
  <c r="D52" i="3"/>
  <c r="E52" i="3"/>
  <c r="F52" i="3"/>
  <c r="G52" i="3"/>
  <c r="H52" i="3"/>
  <c r="I52" i="3"/>
  <c r="J52" i="3"/>
  <c r="C54" i="3"/>
  <c r="D54" i="3"/>
  <c r="E54" i="3"/>
  <c r="F54" i="3"/>
  <c r="G54" i="3"/>
  <c r="H54" i="3"/>
  <c r="I54" i="3"/>
  <c r="J54" i="3"/>
  <c r="C55" i="3"/>
  <c r="D55" i="3"/>
  <c r="E55" i="3"/>
  <c r="F55" i="3"/>
  <c r="G55" i="3"/>
  <c r="H55" i="3"/>
  <c r="I55" i="3"/>
  <c r="J55" i="3"/>
  <c r="C56" i="3"/>
  <c r="D56" i="3"/>
  <c r="E56" i="3"/>
  <c r="F56" i="3"/>
  <c r="G56" i="3"/>
  <c r="H56" i="3"/>
  <c r="I56" i="3"/>
  <c r="J56" i="3"/>
  <c r="C57" i="3"/>
  <c r="D57" i="3"/>
  <c r="E57" i="3"/>
  <c r="F57" i="3"/>
  <c r="G57" i="3"/>
  <c r="H57" i="3"/>
  <c r="I57" i="3"/>
  <c r="J57" i="3"/>
  <c r="C61" i="3"/>
  <c r="D61" i="3"/>
  <c r="E61" i="3"/>
  <c r="F61" i="3"/>
  <c r="G61" i="3"/>
  <c r="H61" i="3"/>
  <c r="I61" i="3"/>
  <c r="J61" i="3"/>
  <c r="C62" i="3"/>
  <c r="D62" i="3"/>
  <c r="E62" i="3"/>
  <c r="F62" i="3"/>
  <c r="G62" i="3"/>
  <c r="H62" i="3"/>
  <c r="I62" i="3"/>
  <c r="J62" i="3"/>
  <c r="C63" i="3"/>
  <c r="D63" i="3"/>
  <c r="E63" i="3"/>
  <c r="F63" i="3"/>
  <c r="G63" i="3"/>
  <c r="H63" i="3"/>
  <c r="I63" i="3"/>
  <c r="J63" i="3"/>
  <c r="C64" i="3"/>
  <c r="D64" i="3"/>
  <c r="E64" i="3"/>
  <c r="F64" i="3"/>
  <c r="G64" i="3"/>
  <c r="H64" i="3"/>
  <c r="I64" i="3"/>
  <c r="J64" i="3"/>
  <c r="C65" i="3"/>
  <c r="D65" i="3"/>
  <c r="E65" i="3"/>
  <c r="F65" i="3"/>
  <c r="G65" i="3"/>
  <c r="H65" i="3"/>
  <c r="I65" i="3"/>
  <c r="J65" i="3"/>
  <c r="C66" i="3"/>
  <c r="D66" i="3"/>
  <c r="E66" i="3"/>
  <c r="F66" i="3"/>
  <c r="G66" i="3"/>
  <c r="H66" i="3"/>
  <c r="I66" i="3"/>
  <c r="J66" i="3"/>
  <c r="C67" i="3"/>
  <c r="D67" i="3"/>
  <c r="E67" i="3"/>
  <c r="F67" i="3"/>
  <c r="G67" i="3"/>
  <c r="H67" i="3"/>
  <c r="I67" i="3"/>
  <c r="J67" i="3"/>
  <c r="C68" i="3"/>
  <c r="D68" i="3"/>
  <c r="E68" i="3"/>
  <c r="F68" i="3"/>
  <c r="G68" i="3"/>
  <c r="H68" i="3"/>
  <c r="I68" i="3"/>
  <c r="J68" i="3"/>
  <c r="C69" i="3"/>
  <c r="D69" i="3"/>
  <c r="E69" i="3"/>
  <c r="F69" i="3"/>
  <c r="G69" i="3"/>
  <c r="H69" i="3"/>
  <c r="I69" i="3"/>
  <c r="J69" i="3"/>
  <c r="C70" i="3"/>
  <c r="D70" i="3"/>
  <c r="E70" i="3"/>
  <c r="F70" i="3"/>
  <c r="G70" i="3"/>
  <c r="H70" i="3"/>
  <c r="I70" i="3"/>
  <c r="J70" i="3"/>
  <c r="C71" i="3"/>
  <c r="D71" i="3"/>
  <c r="E71" i="3"/>
  <c r="F71" i="3"/>
  <c r="G71" i="3"/>
  <c r="H71" i="3"/>
  <c r="I71" i="3"/>
  <c r="J71" i="3"/>
  <c r="C72" i="3"/>
  <c r="D72" i="3"/>
  <c r="E72" i="3"/>
  <c r="F72" i="3"/>
  <c r="G72" i="3"/>
  <c r="H72" i="3"/>
  <c r="I72" i="3"/>
  <c r="J72" i="3"/>
  <c r="C7" i="2"/>
  <c r="C9" i="2"/>
  <c r="C20" i="2"/>
  <c r="C14" i="2"/>
  <c r="D23" i="2"/>
  <c r="C25" i="2"/>
  <c r="D8" i="2"/>
  <c r="F23" i="2"/>
  <c r="D12" i="2"/>
  <c r="E10" i="2"/>
  <c r="D16" i="2"/>
  <c r="E7" i="2"/>
  <c r="E24" i="2"/>
  <c r="E13" i="2"/>
  <c r="E16" i="2"/>
  <c r="F6" i="2"/>
  <c r="F13" i="2"/>
  <c r="F9" i="2"/>
  <c r="F18" i="2"/>
  <c r="G14" i="2"/>
  <c r="H6" i="2"/>
  <c r="G9" i="2"/>
  <c r="G7" i="2"/>
  <c r="H8" i="2"/>
  <c r="H7" i="2"/>
  <c r="G20" i="2"/>
  <c r="H12" i="2"/>
  <c r="H9" i="2"/>
  <c r="G25" i="2"/>
  <c r="H10" i="2"/>
  <c r="H18" i="2"/>
  <c r="H13" i="2"/>
  <c r="H14" i="2"/>
  <c r="H16" i="2"/>
  <c r="H23" i="2"/>
  <c r="E20" i="2"/>
  <c r="C8" i="2"/>
  <c r="H20" i="2"/>
  <c r="H24" i="2"/>
  <c r="H25" i="2"/>
  <c r="D25" i="2"/>
  <c r="C12" i="2"/>
  <c r="D10" i="2"/>
  <c r="D6" i="2"/>
  <c r="C23" i="2"/>
  <c r="D20" i="2"/>
  <c r="D14" i="2"/>
  <c r="E12" i="2"/>
  <c r="F8" i="2"/>
  <c r="E25" i="2"/>
  <c r="E8" i="2"/>
  <c r="F16" i="2"/>
  <c r="F12" i="2"/>
  <c r="I16" i="2"/>
  <c r="C24" i="2"/>
  <c r="G8" i="2"/>
  <c r="F25" i="2"/>
  <c r="I18" i="2"/>
  <c r="G23" i="2"/>
  <c r="G12" i="2"/>
  <c r="C13" i="2"/>
  <c r="C10" i="2"/>
  <c r="G16" i="2"/>
  <c r="I6" i="2"/>
  <c r="C16" i="2"/>
  <c r="I7" i="2"/>
  <c r="I12" i="2"/>
  <c r="I13" i="2"/>
  <c r="I9" i="2"/>
  <c r="I10" i="2"/>
  <c r="I8" i="2"/>
  <c r="I14" i="2"/>
  <c r="I23" i="2"/>
  <c r="E18" i="2"/>
  <c r="I20" i="2"/>
  <c r="I24" i="2"/>
  <c r="I25" i="2"/>
  <c r="C6" i="2"/>
  <c r="D13" i="2"/>
  <c r="D7" i="2"/>
  <c r="C18" i="2"/>
  <c r="E9" i="2"/>
  <c r="E6" i="2"/>
  <c r="E14" i="2"/>
  <c r="D9" i="2"/>
  <c r="D18" i="2"/>
  <c r="D24" i="2"/>
  <c r="E23" i="2"/>
  <c r="G24" i="2"/>
  <c r="J16" i="2"/>
  <c r="F10" i="2"/>
  <c r="J10" i="2"/>
  <c r="J25" i="2"/>
  <c r="G10" i="2"/>
  <c r="F14" i="2"/>
  <c r="F7" i="2"/>
  <c r="F20" i="2"/>
  <c r="J13" i="2"/>
  <c r="G6" i="2"/>
  <c r="F24" i="2"/>
  <c r="G13" i="2"/>
  <c r="J7" i="2"/>
  <c r="J20" i="2"/>
  <c r="J9" i="2"/>
  <c r="G18" i="2"/>
  <c r="J6" i="2"/>
  <c r="J12" i="2"/>
  <c r="J23" i="2"/>
  <c r="J24" i="2"/>
  <c r="J18" i="2"/>
  <c r="J8" i="2"/>
  <c r="J14" i="2"/>
</calcChain>
</file>

<file path=xl/sharedStrings.xml><?xml version="1.0" encoding="utf-8"?>
<sst xmlns="http://schemas.openxmlformats.org/spreadsheetml/2006/main" count="558" uniqueCount="436">
  <si>
    <t>Revenue</t>
  </si>
  <si>
    <t>Gross Profit</t>
  </si>
  <si>
    <t>Reference Items</t>
  </si>
  <si>
    <t>Right click to show data transparency (not supported for all values)</t>
  </si>
  <si>
    <t>Charter Communications Inc (CHTR US) - Adj Highlights</t>
  </si>
  <si>
    <t>In Millions of USD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</si>
  <si>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</si>
  <si>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</si>
  <si>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</si>
  <si>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</si>
  <si>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</si>
  <si>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</si>
  <si>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</si>
  <si>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</si>
  <si>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 Est</t>
  </si>
  <si>
    <t>Q4 2020 Est</t>
  </si>
  <si>
    <t>3 Months Ending</t>
  </si>
  <si>
    <t>09/30/2018</t>
  </si>
  <si>
    <t>12/31/2018</t>
  </si>
  <si>
    <t>03/31/2019</t>
  </si>
  <si>
    <t>06/30/2019</t>
  </si>
  <si>
    <t>09/30/2019</t>
  </si>
  <si>
    <t>12/31/2019</t>
  </si>
  <si>
    <t>03/31/2020</t>
  </si>
  <si>
    <t>06/30/2020</t>
  </si>
  <si>
    <t>09/30/2020</t>
  </si>
  <si>
    <t>12/31/2020</t>
  </si>
  <si>
    <t>Market Capitalization</t>
  </si>
  <si>
    <t>HISTORICAL_MARKET_CAP</t>
  </si>
  <si>
    <t>- Cash &amp; Equivalents</t>
  </si>
  <si>
    <t>CASH_AND_MARKETABLE_SECURITIES</t>
  </si>
  <si>
    <t>+ Preferred &amp; Other</t>
  </si>
  <si>
    <t>PREFERRED_EQUITY_&amp;_MINORITY_INT</t>
  </si>
  <si>
    <t>+ Total Debt</t>
  </si>
  <si>
    <t>SHORT_AND_LONG_TERM_DEBT</t>
  </si>
  <si>
    <t>Enterprise Value</t>
  </si>
  <si>
    <t>ENTERPRISE_VALUE</t>
  </si>
  <si>
    <t>Revenue, Adj</t>
  </si>
  <si>
    <t>SALES_REV_TURN</t>
  </si>
  <si>
    <t xml:space="preserve">  Growth %, YoY</t>
  </si>
  <si>
    <t>SALES_GROWTH</t>
  </si>
  <si>
    <t>Gross Profit, Adj</t>
  </si>
  <si>
    <t>GROSS_PROFIT</t>
  </si>
  <si>
    <t xml:space="preserve">  Margin %</t>
  </si>
  <si>
    <t>EBITDA, Adj</t>
  </si>
  <si>
    <t>EBITDA</t>
  </si>
  <si>
    <t>Net Income, Adj</t>
  </si>
  <si>
    <t>EARN_FOR_COMMON</t>
  </si>
  <si>
    <t>EPS, Adj</t>
  </si>
  <si>
    <t>IS_DIL_EPS_CONT_OPS</t>
  </si>
  <si>
    <t>Cash from Operations</t>
  </si>
  <si>
    <t>CF_CASH_FROM_OPER</t>
  </si>
  <si>
    <t>Capital Expenditures</t>
  </si>
  <si>
    <t>CAPITAL_EXPEND</t>
  </si>
  <si>
    <t>Free Cash Flow</t>
  </si>
  <si>
    <t>CF_FREE_CASH_FLOW</t>
  </si>
  <si>
    <t>Source: Bloomberg</t>
  </si>
  <si>
    <t>BS_CURR_RENTAL_EXPENSE</t>
  </si>
  <si>
    <t>Rental Expense</t>
  </si>
  <si>
    <t>IS_DEPR_EXP</t>
  </si>
  <si>
    <t>Depreciation Expense</t>
  </si>
  <si>
    <t>IS_TOT_CASH_COM_DVD</t>
  </si>
  <si>
    <t>Total Cash Common Dividends</t>
  </si>
  <si>
    <t>EQY_DPS</t>
  </si>
  <si>
    <t>Dividends per Share</t>
  </si>
  <si>
    <t>ACTUAL_SALES_PER_EMPL</t>
  </si>
  <si>
    <t>Sales per Employee</t>
  </si>
  <si>
    <t>PROF_MARGIN</t>
  </si>
  <si>
    <t>Profit Margin</t>
  </si>
  <si>
    <t>OPER_MARGIN</t>
  </si>
  <si>
    <t>Operating Margin</t>
  </si>
  <si>
    <t>GROSS_MARGIN</t>
  </si>
  <si>
    <t>Gross Margin</t>
  </si>
  <si>
    <t>EBIT</t>
  </si>
  <si>
    <t>EBITA</t>
  </si>
  <si>
    <t>EBITDA_MARGIN</t>
  </si>
  <si>
    <t>EBITDA Margin (T12M)</t>
  </si>
  <si>
    <t>US GAAP</t>
  </si>
  <si>
    <t>ACCOUNTING_STANDARD</t>
  </si>
  <si>
    <t>Accounting Standard</t>
  </si>
  <si>
    <t>Diluted EPS from Cont Ops, Adjusted</t>
  </si>
  <si>
    <t>IS_DIL_EPS_BEF_XO</t>
  </si>
  <si>
    <t>Diluted EPS from Cont Ops</t>
  </si>
  <si>
    <t>IS_DILUTED_EPS</t>
  </si>
  <si>
    <t>Diluted EPS, GAAP</t>
  </si>
  <si>
    <t>IS_SH_FOR_DILUTED_EPS</t>
  </si>
  <si>
    <t>Diluted Weighted Avg Shares</t>
  </si>
  <si>
    <t>IS_BASIC_EPS_CONT_OPS</t>
  </si>
  <si>
    <t>Basic EPS from Cont Ops, Adjusted</t>
  </si>
  <si>
    <t>IS_EARN_BEF_XO_ITEMS_PER_SH</t>
  </si>
  <si>
    <t>Basic EPS from Cont Ops</t>
  </si>
  <si>
    <t>IS_EPS</t>
  </si>
  <si>
    <t>Basic EPS, GAAP</t>
  </si>
  <si>
    <t>IS_AVG_NUM_SH_FOR_EPS</t>
  </si>
  <si>
    <t>Basic Weighted Avg Shares</t>
  </si>
  <si>
    <t>XO_GL_NET_OF_TAX</t>
  </si>
  <si>
    <t xml:space="preserve">  Net Extraordinary Losses (Gains)</t>
  </si>
  <si>
    <t>IS_NET_ABNORMAL_ITEMS</t>
  </si>
  <si>
    <t xml:space="preserve">  Net Abnormal Losses (Gains)</t>
  </si>
  <si>
    <t>Net Income Avail to Common, Adj</t>
  </si>
  <si>
    <t>Net Income Avail to Common, GAAP</t>
  </si>
  <si>
    <t>OTHER_ADJUSTMENTS</t>
  </si>
  <si>
    <t xml:space="preserve">  - Other Adjustments</t>
  </si>
  <si>
    <t>IS_TOT_CASH_PFD_DVD</t>
  </si>
  <si>
    <t xml:space="preserve">  - Preferred Dividends</t>
  </si>
  <si>
    <t>NET_INCOME</t>
  </si>
  <si>
    <t>Net Income, GAAP</t>
  </si>
  <si>
    <t>MIN_NONCONTROL_INTEREST_CREDITS</t>
  </si>
  <si>
    <t xml:space="preserve">  - Minority Interest</t>
  </si>
  <si>
    <t>NI_INCLUDING_MINORITY_INT_RATIO</t>
  </si>
  <si>
    <t>Income (Loss) Incl. MI</t>
  </si>
  <si>
    <t>IS_EXTRAORD_ITEMS_&amp;_ACCTG_CHNG</t>
  </si>
  <si>
    <t xml:space="preserve">    + XO &amp; Accounting Changes</t>
  </si>
  <si>
    <t>IS_DISCONTINUED_OPERATIONS</t>
  </si>
  <si>
    <t xml:space="preserve">    + Discontinued Operations</t>
  </si>
  <si>
    <t xml:space="preserve">  - Net Extraordinary Losses (Gains)</t>
  </si>
  <si>
    <t>IS_INC_BEF_XO_ITEM</t>
  </si>
  <si>
    <t>Income (Loss) from Cont Ops</t>
  </si>
  <si>
    <t>IS_INC_TAX_EXP</t>
  </si>
  <si>
    <t xml:space="preserve">  - Income Tax Expense (Benefit)</t>
  </si>
  <si>
    <t>PRETAX_INC</t>
  </si>
  <si>
    <t>Pretax Income (Loss), GAAP</t>
  </si>
  <si>
    <t>IS_OTHER_ONE_TIME_ITEMS</t>
  </si>
  <si>
    <t xml:space="preserve">    + Other Abnormal Items</t>
  </si>
  <si>
    <t>IS_LEGAL_LITIGATION_SETTLEMENT</t>
  </si>
  <si>
    <t xml:space="preserve">    + Legal Settlement</t>
  </si>
  <si>
    <t>IS_G_L_ON_EXT_DBT_OR_SETTLE_DBT</t>
  </si>
  <si>
    <t xml:space="preserve">    + Early Extinguishment of Debt</t>
  </si>
  <si>
    <t>IS_GAIN_LOSS_DISPOSAL_ASSETS</t>
  </si>
  <si>
    <t xml:space="preserve">    + Disposal of Assets</t>
  </si>
  <si>
    <t>IS_DERIVATIVES_HEDGING</t>
  </si>
  <si>
    <t xml:space="preserve">    + Abnormal Derivatives</t>
  </si>
  <si>
    <t>IS_MERGER_ACQUISITION_EXPENSE</t>
  </si>
  <si>
    <t xml:space="preserve">    + Merger/Acquisition Expense</t>
  </si>
  <si>
    <t>IS_ABNORMAL_ITEM</t>
  </si>
  <si>
    <t xml:space="preserve">  - Abnormal Losses (Gains)</t>
  </si>
  <si>
    <t>Pretax Income (Loss), Adjusted</t>
  </si>
  <si>
    <t>IS_OTHER_NON_OPERATING_INC_LOSS</t>
  </si>
  <si>
    <t xml:space="preserve">    + Other Non-Op (Income) Loss</t>
  </si>
  <si>
    <t>IS_INT_INC</t>
  </si>
  <si>
    <t xml:space="preserve">    - Interest Income</t>
  </si>
  <si>
    <t>IS_INT_EXPENSE</t>
  </si>
  <si>
    <t xml:space="preserve">    + Interest Expense</t>
  </si>
  <si>
    <t>IS_NET_INTEREST_EXPENSE</t>
  </si>
  <si>
    <t xml:space="preserve">    + Interest Expense, Net</t>
  </si>
  <si>
    <t>IS_NONOP_INCOME_LOSS</t>
  </si>
  <si>
    <t xml:space="preserve">  - Non-Operating (Income) Loss</t>
  </si>
  <si>
    <t>IS_OPER_INC</t>
  </si>
  <si>
    <t>Operating Income (Loss)</t>
  </si>
  <si>
    <t>IS_OTHER_OPERATING_EXPENSES</t>
  </si>
  <si>
    <t xml:space="preserve">    + Other Operating Expense</t>
  </si>
  <si>
    <t>IS_DEPRECIATION_AND_AMORTIZATION</t>
  </si>
  <si>
    <t xml:space="preserve">    + Depreciation &amp; Amortization</t>
  </si>
  <si>
    <t>IS_OPEX_R&amp;D</t>
  </si>
  <si>
    <t xml:space="preserve">    + Research &amp; Development</t>
  </si>
  <si>
    <t>IS_SELLING_EXPENSES</t>
  </si>
  <si>
    <t xml:space="preserve">    + Selling &amp; Marketing</t>
  </si>
  <si>
    <t>IS_OPERATING_EXPN</t>
  </si>
  <si>
    <t xml:space="preserve">  - Operating Expenses</t>
  </si>
  <si>
    <t>IS_OTHER_OPER_INC</t>
  </si>
  <si>
    <t xml:space="preserve">  + Other Operating Income</t>
  </si>
  <si>
    <t>IS_COG_AND_SERVICES_SOLD</t>
  </si>
  <si>
    <t xml:space="preserve">    + Cost of Goods &amp; Services</t>
  </si>
  <si>
    <t>IS_COGS_TO_FE_AND_PP_AND_G</t>
  </si>
  <si>
    <t xml:space="preserve">  - Cost of Revenue</t>
  </si>
  <si>
    <t>IS_OTHER_REVENUE</t>
  </si>
  <si>
    <t xml:space="preserve">    + Other Revenue</t>
  </si>
  <si>
    <t>IS_SALES_AND_SERVICES_REVENUES</t>
  </si>
  <si>
    <t xml:space="preserve">    + Sales &amp; Services Revenue</t>
  </si>
  <si>
    <t>In Millions of USD except Per Share</t>
  </si>
  <si>
    <t>Charter Communications Inc (CHTR US) - Adjusted</t>
  </si>
  <si>
    <t>NUM_OF_EMPLOYEES</t>
  </si>
  <si>
    <t>Number of Employees</t>
  </si>
  <si>
    <t>CUR_RATIO</t>
  </si>
  <si>
    <t>Current Ratio</t>
  </si>
  <si>
    <t>TCE_RATIO</t>
  </si>
  <si>
    <t>Tangible Common Equity Ratio</t>
  </si>
  <si>
    <t>NET_DEBT_TO_SHRHLDR_EQTY</t>
  </si>
  <si>
    <t>Net Debt to Equity</t>
  </si>
  <si>
    <t>NET_DEBT</t>
  </si>
  <si>
    <t>Net Debt</t>
  </si>
  <si>
    <t>BS_OPTIONS_OUTSTANDING</t>
  </si>
  <si>
    <t>Options Outstanding at Period End</t>
  </si>
  <si>
    <t>BS_OPTIONS_GRANTED</t>
  </si>
  <si>
    <t>Options Granted During Period</t>
  </si>
  <si>
    <t>BS_TOTAL_CAPITAL_LEASES</t>
  </si>
  <si>
    <t>Capital Leases - Total</t>
  </si>
  <si>
    <t>BS_FUTURE_MIN_OPER_LEASE_OBLIG</t>
  </si>
  <si>
    <t>Future Minimum Operating Lease Obligations</t>
  </si>
  <si>
    <t>BS_PENSION_RSRV</t>
  </si>
  <si>
    <t>Pension Obligations</t>
  </si>
  <si>
    <t>BS_NUM_OF_TSY_SH</t>
  </si>
  <si>
    <t>Number of Treasury Shares</t>
  </si>
  <si>
    <t>BS_SH_OUT</t>
  </si>
  <si>
    <t>Shares Outstanding</t>
  </si>
  <si>
    <t>TOT_LIAB_AND_EQY</t>
  </si>
  <si>
    <t>Total Liabilities &amp; Equity</t>
  </si>
  <si>
    <t>TOTAL_EQUITY</t>
  </si>
  <si>
    <t>Total Equity</t>
  </si>
  <si>
    <t>MINORITY_NONCONTROLLING_INTEREST</t>
  </si>
  <si>
    <t xml:space="preserve">  + Minority/Non Controlling Interest</t>
  </si>
  <si>
    <t>EQTY_BEF_MINORITY_INT_DETAILED</t>
  </si>
  <si>
    <t>Equity Before Minority Interest</t>
  </si>
  <si>
    <t>OTHER_EQUITY_RATIO</t>
  </si>
  <si>
    <t xml:space="preserve">  + Other Equity</t>
  </si>
  <si>
    <t>BS_PURE_RETAINED_EARNINGS</t>
  </si>
  <si>
    <t xml:space="preserve">  + Retained Earnings</t>
  </si>
  <si>
    <t>BS_AMT_OF_TSY_STOCK</t>
  </si>
  <si>
    <t xml:space="preserve">  - Treasury Stock</t>
  </si>
  <si>
    <t>BS_ADD_PAID_IN_CAP</t>
  </si>
  <si>
    <t xml:space="preserve">    + Additional Paid in Capital</t>
  </si>
  <si>
    <t>BS_COMMON_STOCK</t>
  </si>
  <si>
    <t xml:space="preserve">    + Common Stock</t>
  </si>
  <si>
    <t>BS_SH_CAP_AND_APIC</t>
  </si>
  <si>
    <t xml:space="preserve">  + Share Capital &amp; APIC</t>
  </si>
  <si>
    <t>BS_PFD_EQTY_&amp;_HYBRID_CPTL</t>
  </si>
  <si>
    <t xml:space="preserve">  + Preferred Equity and Hybrid Capital</t>
  </si>
  <si>
    <t>BS_TOT_LIAB2</t>
  </si>
  <si>
    <t>Total Liabilities</t>
  </si>
  <si>
    <t>NON_CUR_LIAB</t>
  </si>
  <si>
    <t>Total Noncurrent Liabilities</t>
  </si>
  <si>
    <t>OTHER_NONCURRENT_LIABS_DETAILED</t>
  </si>
  <si>
    <t xml:space="preserve">    + Misc LT Liabilities</t>
  </si>
  <si>
    <t>BS_DERIVATIVE_&amp;_HEDGING_LIABS_LT</t>
  </si>
  <si>
    <t xml:space="preserve">    + Derivatives &amp; Hedging</t>
  </si>
  <si>
    <t>BS_DEFERRED_TAX_LIABILITIES_LT</t>
  </si>
  <si>
    <t xml:space="preserve">    + Deferred Tax Liabilities</t>
  </si>
  <si>
    <t>LT_DEFERRED_REVENUE</t>
  </si>
  <si>
    <t xml:space="preserve">    + Deferred Revenue</t>
  </si>
  <si>
    <t>BS_OPRB_LT_LIABS</t>
  </si>
  <si>
    <t xml:space="preserve">    + Other Post-Ret Benefits</t>
  </si>
  <si>
    <t>BS_PENSIONS_LT_LIABS</t>
  </si>
  <si>
    <t xml:space="preserve">    + Pensions</t>
  </si>
  <si>
    <t>PENSION_LIABILITIES</t>
  </si>
  <si>
    <t xml:space="preserve">    + Pension Liabilities</t>
  </si>
  <si>
    <t>BS_ACCRUED_LIABILITIES</t>
  </si>
  <si>
    <t xml:space="preserve">    + Accrued Liabilities</t>
  </si>
  <si>
    <t>OTHER_NONCUR_LIABS_SUB_DETAILED</t>
  </si>
  <si>
    <t xml:space="preserve">  + Other LT Liabilities</t>
  </si>
  <si>
    <t>BS_LT_OPERATING_LEASE_LIABS</t>
  </si>
  <si>
    <t xml:space="preserve">    + LT Operating Leases</t>
  </si>
  <si>
    <t>LT_CAPITAL_LEASE_OBLIGATIONS</t>
  </si>
  <si>
    <t xml:space="preserve">    + LT Finance Leases</t>
  </si>
  <si>
    <t>LT_CAPITALIZED_LEASE_LIABILITIES</t>
  </si>
  <si>
    <t xml:space="preserve">    + LT Lease Liabilities</t>
  </si>
  <si>
    <t>LONG_TERM_BORROWINGS_DETAILED</t>
  </si>
  <si>
    <t xml:space="preserve">    + LT Borrowings</t>
  </si>
  <si>
    <t>BS_LT_BORROW</t>
  </si>
  <si>
    <t xml:space="preserve">  + LT Debt</t>
  </si>
  <si>
    <t>BS_CUR_LIAB</t>
  </si>
  <si>
    <t>Total Current Liabilities</t>
  </si>
  <si>
    <t>OTHER_CURRENT_LIABS_DETAILED</t>
  </si>
  <si>
    <t xml:space="preserve">    + Misc ST Liabilities</t>
  </si>
  <si>
    <t>BS_DERIVATIVE_&amp;_HEDGING_LIABS_ST</t>
  </si>
  <si>
    <t>ST_DEFERRED_REVENUE</t>
  </si>
  <si>
    <t>OTHER_CURRENT_LIABS_SUB_DETAILED</t>
  </si>
  <si>
    <t xml:space="preserve">  + Other ST Liabilities</t>
  </si>
  <si>
    <t>BS_CURR_PORTION_LT_DEBT</t>
  </si>
  <si>
    <t xml:space="preserve">    + Current Portion of LT Debt</t>
  </si>
  <si>
    <t>BS_ST_OPERATING_LEASE_LIABS</t>
  </si>
  <si>
    <t xml:space="preserve">      + ST Operating Leases</t>
  </si>
  <si>
    <t>ST_CAPITAL_LEASE_OBLIGATIONS</t>
  </si>
  <si>
    <t xml:space="preserve">      + ST Finance Leases</t>
  </si>
  <si>
    <t>ST_CAPITALIZED_LEASE_LIABILITIES</t>
  </si>
  <si>
    <t xml:space="preserve">    + ST Lease Liabilities</t>
  </si>
  <si>
    <t>SHORT_TERM_DEBT_DETAILED</t>
  </si>
  <si>
    <t xml:space="preserve">    + ST Borrowings</t>
  </si>
  <si>
    <t>BS_ST_BORROW</t>
  </si>
  <si>
    <t xml:space="preserve">  + ST Debt</t>
  </si>
  <si>
    <t>BS_ACCRUAL</t>
  </si>
  <si>
    <t xml:space="preserve">    + Other Payables &amp; Accruals</t>
  </si>
  <si>
    <t>BS_INTEREST_&amp;_DIVIDENDS_PAYABLE</t>
  </si>
  <si>
    <t xml:space="preserve">    + Interest &amp; Dividends Payable</t>
  </si>
  <si>
    <t>BS_TAXES_PAYABLE</t>
  </si>
  <si>
    <t xml:space="preserve">    + Accrued Taxes</t>
  </si>
  <si>
    <t>BS_ACCT_PAYABLE</t>
  </si>
  <si>
    <t xml:space="preserve">    + Accounts Payable</t>
  </si>
  <si>
    <t>ACCT_PAYABLE_&amp;_ACCRUALS_DETAILED</t>
  </si>
  <si>
    <t xml:space="preserve">  + Payables &amp; Accruals</t>
  </si>
  <si>
    <t>Liabilities &amp; Shareholders' Equity</t>
  </si>
  <si>
    <t>BS_TOT_ASSET</t>
  </si>
  <si>
    <t>Total Assets</t>
  </si>
  <si>
    <t>BS_TOT_NON_CUR_ASSET</t>
  </si>
  <si>
    <t>Total Noncurrent Assets</t>
  </si>
  <si>
    <t>OTHER_NONCURRENT_ASSETS_DETAILED</t>
  </si>
  <si>
    <t xml:space="preserve">    + Misc LT Assets</t>
  </si>
  <si>
    <t>BS_DERIV_&amp;_HEDGING_ASSETS_LT</t>
  </si>
  <si>
    <t xml:space="preserve">    + Derivative &amp; Hedging Assets</t>
  </si>
  <si>
    <t>OTHER_INTANGIBLE_ASSETS_DETAILED</t>
  </si>
  <si>
    <t xml:space="preserve">    + Other Intangible Assets</t>
  </si>
  <si>
    <t>BS_GOODWILL</t>
  </si>
  <si>
    <t xml:space="preserve">    + Goodwill</t>
  </si>
  <si>
    <t>BS_DISCLOSED_INTANGIBLES</t>
  </si>
  <si>
    <t xml:space="preserve">    + Total Intangible Assets</t>
  </si>
  <si>
    <t>BS_OTHER_ASSETS_DEF_CHRG_OTHER</t>
  </si>
  <si>
    <t xml:space="preserve">  + Other LT Assets</t>
  </si>
  <si>
    <t>BS_LT_INVEST</t>
  </si>
  <si>
    <t xml:space="preserve">  + LT Investments &amp; Receivables</t>
  </si>
  <si>
    <t>BS_ACCUM_DEPR</t>
  </si>
  <si>
    <t xml:space="preserve">    - Accumulated Depreciation</t>
  </si>
  <si>
    <t>BS_GROSS_FIX_ASSET</t>
  </si>
  <si>
    <t xml:space="preserve">    + Property, Plant &amp; Equip</t>
  </si>
  <si>
    <t>BS_NET_FIX_ASSET</t>
  </si>
  <si>
    <t xml:space="preserve">  + Property, Plant &amp; Equip, Net</t>
  </si>
  <si>
    <t>BS_CUR_ASSET_REPORT</t>
  </si>
  <si>
    <t>Total Current Assets</t>
  </si>
  <si>
    <t>BS_OTHER_CUR_ASSET_LESS_PREPAY</t>
  </si>
  <si>
    <t xml:space="preserve">    + Misc ST Assets</t>
  </si>
  <si>
    <t>BS_DERIV_&amp;_HEDGING_ASSETS_ST</t>
  </si>
  <si>
    <t>OTHER_CURRENT_ASSETS_DETAILED</t>
  </si>
  <si>
    <t xml:space="preserve">  + Other ST Assets</t>
  </si>
  <si>
    <t>BS_OTHER_INV</t>
  </si>
  <si>
    <t xml:space="preserve">    + Other Inventory</t>
  </si>
  <si>
    <t>INVTRY_FINISHED_GOODS</t>
  </si>
  <si>
    <t xml:space="preserve">    + Finished Goods</t>
  </si>
  <si>
    <t>INVTRY_IN_PROGRESS</t>
  </si>
  <si>
    <t xml:space="preserve">    + Work In Process</t>
  </si>
  <si>
    <t>INVTRY_RAW_MATERIALS</t>
  </si>
  <si>
    <t xml:space="preserve">    + Raw Materials</t>
  </si>
  <si>
    <t>BS_INVENTORIES</t>
  </si>
  <si>
    <t xml:space="preserve">  + Inventories</t>
  </si>
  <si>
    <t>NOTES_RECEIVABLE</t>
  </si>
  <si>
    <t xml:space="preserve">    + Notes Receivable, Net</t>
  </si>
  <si>
    <t>BS_ACCTS_REC_EXCL_NOTES_REC</t>
  </si>
  <si>
    <t xml:space="preserve">    + Accounts Receivable, Net</t>
  </si>
  <si>
    <t>BS_ACCT_NOTE_RCV</t>
  </si>
  <si>
    <t xml:space="preserve">  + Accounts &amp; Notes Receiv</t>
  </si>
  <si>
    <t>BS_MKT_SEC_OTHER_ST_INVEST</t>
  </si>
  <si>
    <t xml:space="preserve">    + ST Investments</t>
  </si>
  <si>
    <t>BS_CASH_NEAR_CASH_ITEM</t>
  </si>
  <si>
    <t xml:space="preserve">    + Cash &amp; Cash Equivalents</t>
  </si>
  <si>
    <t>C&amp;CE_AND_STI_DETAILED</t>
  </si>
  <si>
    <t xml:space="preserve">  + Cash, Cash Equivalents &amp; STI</t>
  </si>
  <si>
    <t>06/30/2018</t>
  </si>
  <si>
    <t>03/31/2018</t>
  </si>
  <si>
    <t>Q2 2018</t>
  </si>
  <si>
    <t>Q1 2018</t>
  </si>
  <si>
    <t>Charter Communications Inc (CHTR US) - Standardized</t>
  </si>
  <si>
    <t>CASH_FLOW_TO_NET_INC</t>
  </si>
  <si>
    <t>Cash Flow to Net Income</t>
  </si>
  <si>
    <t>PX_TO_FREE_CASH_FLOW</t>
  </si>
  <si>
    <t>Price to Free Cash Flow</t>
  </si>
  <si>
    <t>FREE_CASH_FLOW_PER_SH</t>
  </si>
  <si>
    <t>Free Cash Flow per Basic Share</t>
  </si>
  <si>
    <t>FREE_CASH_FLOW_EQUITY</t>
  </si>
  <si>
    <t>Free Cash Flow to Equity</t>
  </si>
  <si>
    <t>CF_FREE_CASH_FLOW_FIRM</t>
  </si>
  <si>
    <t>Free Cash Flow to Firm</t>
  </si>
  <si>
    <t>CF_NET_CASH_PAID_FOR_AQUIS</t>
  </si>
  <si>
    <t>Net Cash Paid for Acquisitions</t>
  </si>
  <si>
    <t>Trailing 12M EBITDA Margin</t>
  </si>
  <si>
    <t>CF_ACT_CASH_PAID_FOR_INT_DEBT</t>
  </si>
  <si>
    <t>Cash Paid for Interest</t>
  </si>
  <si>
    <t>CF_CASH_PAID_FOR_TAX</t>
  </si>
  <si>
    <t>Cash Paid for Taxes</t>
  </si>
  <si>
    <t>CF_NET_CHNG_CASH</t>
  </si>
  <si>
    <t>Net Changes in Cash</t>
  </si>
  <si>
    <t>CF_EFFECT_FOREIGN_EXCHANGES</t>
  </si>
  <si>
    <t xml:space="preserve">  Effect of Foreign Exchange Rates</t>
  </si>
  <si>
    <t>CFF_ACTIVITIES_DETAILED</t>
  </si>
  <si>
    <t>Cash from Financing Activities</t>
  </si>
  <si>
    <t>CF_NET_CASH_DISCONTINUED_OPS_FIN</t>
  </si>
  <si>
    <t xml:space="preserve">  + Net Cash From Disc Ops</t>
  </si>
  <si>
    <t>OTHER_FIN_AND_DEC_CAP</t>
  </si>
  <si>
    <t xml:space="preserve">  + Other Financing Activities</t>
  </si>
  <si>
    <t>CF_DECR_CAP_STOCK</t>
  </si>
  <si>
    <t xml:space="preserve">    + Decrease in Capital Stock</t>
  </si>
  <si>
    <t>CF_INCR_CAP_STOCK</t>
  </si>
  <si>
    <t xml:space="preserve">    + Increase in Capital Stock</t>
  </si>
  <si>
    <t>PROC_FR_REPURCH_EQTY_DETAILED</t>
  </si>
  <si>
    <t xml:space="preserve">  + Cash (Repurchase) of Equity</t>
  </si>
  <si>
    <t>CF_PYMT_LT_DEBT_&amp;_CAPITAL_LEASE</t>
  </si>
  <si>
    <t xml:space="preserve">    + Repayments of LT Debt</t>
  </si>
  <si>
    <t>CF_PROC_LT_DEBT_&amp;_CAPITAL_LEASE</t>
  </si>
  <si>
    <t xml:space="preserve">    + Cash From LT Debt</t>
  </si>
  <si>
    <t>CF_NET_CHG_IN_ST_DBT_&amp;_CPTL_LEAS</t>
  </si>
  <si>
    <t xml:space="preserve">    + Cash From (Repay) ST Debt</t>
  </si>
  <si>
    <t>PROC_FR_REPAYMNTS_BOR_DETAILED</t>
  </si>
  <si>
    <t xml:space="preserve">  + Cash From (Repayment) Debt</t>
  </si>
  <si>
    <t>CF_DVD_PAID</t>
  </si>
  <si>
    <t xml:space="preserve">  + Dividends Paid</t>
  </si>
  <si>
    <t>CF_CASH_FROM_INV_ACT</t>
  </si>
  <si>
    <t>Cash from Investing Activities</t>
  </si>
  <si>
    <t>CF_NET_CASH_DISCONTINUED_OPS_INV</t>
  </si>
  <si>
    <t>OTHER_INVESTING_ACT_DETAILED</t>
  </si>
  <si>
    <t xml:space="preserve">  + Other Investing Activities</t>
  </si>
  <si>
    <t>CF_CASH_FOR_JOINT_VENTURES_ASSOC</t>
  </si>
  <si>
    <t xml:space="preserve">    + Cash for JVs</t>
  </si>
  <si>
    <t>CF_CASH_FOR_ACQUIS_SUBSIDIARIES</t>
  </si>
  <si>
    <t xml:space="preserve">    + Cash for Acq of Subs</t>
  </si>
  <si>
    <t>CF_CASH_FOR_DIVESTITURES</t>
  </si>
  <si>
    <t xml:space="preserve">    + Cash from Divestitures</t>
  </si>
  <si>
    <t>CF_NT_CSH_RCVD_PD_FOR_ACQUIS_DIV</t>
  </si>
  <si>
    <t xml:space="preserve">  + Net Cash From Acq &amp; Div</t>
  </si>
  <si>
    <t>CF_INCR_INVEST</t>
  </si>
  <si>
    <t xml:space="preserve">    + Inc in LT Investment</t>
  </si>
  <si>
    <t>CF_DECR_INVEST</t>
  </si>
  <si>
    <t xml:space="preserve">    + Dec in LT Investment</t>
  </si>
  <si>
    <t>NET_CHG_IN_LT_INVEST_DETAILED</t>
  </si>
  <si>
    <t xml:space="preserve">  + Net Change in LT Investment</t>
  </si>
  <si>
    <t>CF_ACQUISITION_OF_INTANG_ASSETS</t>
  </si>
  <si>
    <t xml:space="preserve">    + Acq of Intangible Assets</t>
  </si>
  <si>
    <t>CF_PURCHASE_OF_FIXED_PROD_ASSETS</t>
  </si>
  <si>
    <t xml:space="preserve">    + Acq of Fixed Prod Assets</t>
  </si>
  <si>
    <t>ACQUIS_FXD_&amp;_INTANG_DETAILED</t>
  </si>
  <si>
    <t xml:space="preserve">    + Acq of Fixed &amp; Intang</t>
  </si>
  <si>
    <t>CF_DISPOSAL_OF_INTANGIBLE_ASSETS</t>
  </si>
  <si>
    <t xml:space="preserve">    + Disp of Intangible Assets</t>
  </si>
  <si>
    <t>CF_DISPOSAL_OF_FIXED_PROD_ASSETS</t>
  </si>
  <si>
    <t xml:space="preserve">    + Disp of Fixed Prod Assets</t>
  </si>
  <si>
    <t>DISP_FXD_&amp;_INTANGIBLES_DETAILED</t>
  </si>
  <si>
    <t xml:space="preserve">    + Disp in Fixed &amp; Intang</t>
  </si>
  <si>
    <t>CHG_IN_FXD_&amp;_INTANG_AST_DETAILED</t>
  </si>
  <si>
    <t xml:space="preserve">  + Change in Fixed &amp; Intang</t>
  </si>
  <si>
    <t>Cash from Operating Activities</t>
  </si>
  <si>
    <t>CF_NET_CASH_DISCONT_OPS_OPER</t>
  </si>
  <si>
    <t>INC_DEC_IN_OT_OP_AST_LIAB_DETAIL</t>
  </si>
  <si>
    <t xml:space="preserve">    + Inc (Dec) in Other</t>
  </si>
  <si>
    <t>CF_CHANGE_IN_INVENTORIES</t>
  </si>
  <si>
    <t xml:space="preserve">    + (Inc) Dec in Inventories</t>
  </si>
  <si>
    <t>CF_ACCT_RCV_UNBILLED_REV</t>
  </si>
  <si>
    <t xml:space="preserve">    + (Inc) Dec in Accts Receiv</t>
  </si>
  <si>
    <t>CF_CHNG_NON_CASH_WORK_CAP</t>
  </si>
  <si>
    <t xml:space="preserve">  + Chg in Non-Cash Work Cap</t>
  </si>
  <si>
    <t>OTHER_NON_CASH_ADJ_LESS_DETAILED</t>
  </si>
  <si>
    <t xml:space="preserve">    + Other Non-Cash Adj</t>
  </si>
  <si>
    <t>CF_DEF_INC_TAX</t>
  </si>
  <si>
    <t xml:space="preserve">    + Deferred Income Taxes</t>
  </si>
  <si>
    <t>CF_STOCK_BASED_COMPENSATION</t>
  </si>
  <si>
    <t xml:space="preserve">    + Stock-Based Compensation</t>
  </si>
  <si>
    <t>NON_CASH_ITEMS_DETAILED</t>
  </si>
  <si>
    <t xml:space="preserve">  + Non-Cash Items</t>
  </si>
  <si>
    <t>CF_DEPR_AMORT</t>
  </si>
  <si>
    <t xml:space="preserve">  + Depreciation &amp; Amortization</t>
  </si>
  <si>
    <t>CF_NET_INC</t>
  </si>
  <si>
    <t xml:space="preserve">  +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</si>
</sst>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#,##0.0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7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5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171" fontId="1" fillId="34" borderId="2">
      <alignment horizontal="right"/>
    </xf>
    <xf numFmtId="3" fontId="8" fillId="34" borderId="2">
      <alignment horizontal="right"/>
    </xf>
    <xf numFmtId="171" fontId="8" fillId="34" borderId="2">
      <alignment horizontal="right"/>
    </xf>
    <xf numFmtId="4" fontId="8" fillId="34" borderId="2">
      <alignment horizontal="right"/>
    </xf>
    <xf numFmtId="171" fontId="11" fillId="34" borderId="2">
      <alignment horizontal="right"/>
    </xf>
    <xf numFmtId="0" fontId="7" fillId="33" borderId="16">
      <alignment horizontal="left"/>
    </xf>
    <xf numFmtId="0" fontId="7" fillId="33" borderId="16">
      <alignment horizontal="right"/>
    </xf>
    <xf numFmtId="0" fontId="7" fillId="33" borderId="17">
      <alignment horizontal="left"/>
    </xf>
    <xf numFmtId="0" fontId="7" fillId="33" borderId="17">
      <alignment horizontal="right"/>
    </xf>
    <xf numFmtId="0" fontId="4" fillId="34" borderId="18"/>
    <xf numFmtId="0" fontId="8" fillId="34" borderId="18"/>
    <xf numFmtId="3" fontId="1" fillId="34" borderId="2">
      <alignment horizontal="right"/>
    </xf>
    <xf numFmtId="4" fontId="1" fillId="34" borderId="2">
      <alignment horizontal="right"/>
    </xf>
    <xf numFmtId="0" fontId="3" fillId="34" borderId="18"/>
  </cellStyleXfs>
  <cellXfs count="35">
    <xf numFmtId="0" fontId="0" fillId="0" borderId="0" xfId="0"/>
    <xf numFmtId="0" fontId="2" fillId="33" borderId="0" xfId="26"/>
    <xf numFmtId="0" fontId="5" fillId="33" borderId="15" xfId="51">
      <alignment horizontal="left" vertical="center" readingOrder="1"/>
    </xf>
    <xf numFmtId="0" fontId="6" fillId="34" borderId="0" xfId="31">
      <alignment horizontal="center"/>
    </xf>
    <xf numFmtId="0" fontId="7" fillId="33" borderId="16" xfId="58">
      <alignment horizontal="left"/>
    </xf>
    <xf numFmtId="0" fontId="7" fillId="33" borderId="16" xfId="59">
      <alignment horizontal="right"/>
    </xf>
    <xf numFmtId="0" fontId="7" fillId="33" borderId="17" xfId="60">
      <alignment horizontal="left"/>
    </xf>
    <xf numFmtId="0" fontId="7" fillId="33" borderId="17" xfId="61">
      <alignment horizontal="right"/>
    </xf>
    <xf numFmtId="0" fontId="4" fillId="34" borderId="18" xfId="62"/>
    <xf numFmtId="171" fontId="11" fillId="34" borderId="2" xfId="57">
      <alignment horizontal="right"/>
    </xf>
    <xf numFmtId="171" fontId="8" fillId="34" borderId="2" xfId="55">
      <alignment horizontal="right"/>
    </xf>
    <xf numFmtId="4" fontId="8" fillId="34" borderId="2" xfId="56">
      <alignment horizontal="right"/>
    </xf>
    <xf numFmtId="0" fontId="8" fillId="34" borderId="18" xfId="63"/>
    <xf numFmtId="3" fontId="8" fillId="34" borderId="2" xfId="54">
      <alignment horizontal="right"/>
    </xf>
    <xf numFmtId="3" fontId="1" fillId="34" borderId="2" xfId="64">
      <alignment horizontal="right"/>
    </xf>
    <xf numFmtId="4" fontId="1" fillId="34" borderId="2" xfId="65">
      <alignment horizontal="right"/>
    </xf>
    <xf numFmtId="0" fontId="3" fillId="34" borderId="18" xfId="66"/>
    <xf numFmtId="171" fontId="1" fillId="34" borderId="2" xfId="53">
      <alignment horizontal="right"/>
    </xf>
    <xf numFmtId="0" fontId="11" fillId="35" borderId="4" xfId="34"/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1" fillId="35" borderId="4" xfId="34" applyFont="1" applyFill="1" applyBorder="1"/>
    <xf numFmtId="0" fontId="5" fillId="33" borderId="15" xfId="51" applyFont="1" applyFill="1" applyBorder="1" applyAlignment="1">
      <alignment horizontal="left" vertical="center" readingOrder="1"/>
    </xf>
    <xf numFmtId="0" fontId="7" fillId="33" borderId="1" xfId="52">
      <alignment horizontal="left"/>
    </xf>
    <xf numFmtId="0" fontId="3" fillId="34" borderId="5" xfId="37" applyNumberFormat="1" applyFont="1" applyFill="1" applyBorder="1" applyAlignment="1" applyProtection="1"/>
    <xf numFmtId="0" fontId="4" fillId="34" borderId="5" xfId="36" applyNumberFormat="1" applyFont="1" applyFill="1" applyBorder="1" applyAlignment="1" applyProtection="1"/>
    <xf numFmtId="171" fontId="1" fillId="34" borderId="2" xfId="53" applyNumberFormat="1" applyFont="1" applyFill="1" applyBorder="1" applyAlignment="1" applyProtection="1">
      <alignment horizontal="right"/>
    </xf>
    <xf numFmtId="3" fontId="8" fillId="34" borderId="2" xfId="54" applyNumberFormat="1" applyFont="1" applyFill="1" applyBorder="1" applyAlignment="1" applyProtection="1">
      <alignment horizontal="right"/>
    </xf>
    <xf numFmtId="171" fontId="8" fillId="34" borderId="2" xfId="55" applyNumberFormat="1" applyFont="1" applyFill="1" applyBorder="1" applyAlignment="1" applyProtection="1">
      <alignment horizontal="right"/>
    </xf>
    <xf numFmtId="4" fontId="8" fillId="34" borderId="2" xfId="56" applyNumberFormat="1" applyFont="1" applyFill="1" applyBorder="1" applyAlignment="1" applyProtection="1">
      <alignment horizontal="right"/>
    </xf>
    <xf numFmtId="171" fontId="11" fillId="34" borderId="2" xfId="57" applyNumberFormat="1" applyFont="1" applyFill="1" applyBorder="1" applyAlignment="1" applyProtection="1">
      <alignment horizontal="right"/>
    </xf>
  </cellXfs>
  <cellStyles count="6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1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 2" xfId="61" xr:uid="{13D324EC-61C6-4215-8A61-B1230A3D08D6}"/>
    <cellStyle name="fa_column_header_bottom_left" xfId="52" xr:uid="{00000000-0005-0000-0000-00001F000000}"/>
    <cellStyle name="fa_column_header_bottom_left 2" xfId="60" xr:uid="{355D8E9B-5FD8-4F88-BCAF-79AEF91F9AE9}"/>
    <cellStyle name="fa_column_header_empty" xfId="31" xr:uid="{00000000-0005-0000-0000-000020000000}"/>
    <cellStyle name="fa_column_header_top" xfId="32" xr:uid="{00000000-0005-0000-0000-000021000000}"/>
    <cellStyle name="fa_column_header_top 2" xfId="59" xr:uid="{33079633-B9C7-4573-B852-04D910CA89C7}"/>
    <cellStyle name="fa_column_header_top_left" xfId="33" xr:uid="{00000000-0005-0000-0000-000022000000}"/>
    <cellStyle name="fa_column_header_top_left 2" xfId="58" xr:uid="{A024C44A-C9D2-4F94-A35D-E1B52F6D3623}"/>
    <cellStyle name="fa_data_bold_0_grouped" xfId="54" xr:uid="{00000000-0005-0000-0000-000023000000}"/>
    <cellStyle name="fa_data_bold_1_grouped" xfId="55" xr:uid="{00000000-0005-0000-0000-000024000000}"/>
    <cellStyle name="fa_data_bold_2_grouped" xfId="56" xr:uid="{00000000-0005-0000-0000-000025000000}"/>
    <cellStyle name="fa_data_italic_1_grouped" xfId="57" xr:uid="{00000000-0005-0000-0000-000026000000}"/>
    <cellStyle name="fa_data_standard_0_grouped" xfId="64" xr:uid="{BD4AC5E5-2BF6-4D6B-8CD1-C14135F1B3FD}"/>
    <cellStyle name="fa_data_standard_1_grouped" xfId="53" xr:uid="{00000000-0005-0000-0000-000027000000}"/>
    <cellStyle name="fa_data_standard_2_grouped" xfId="65" xr:uid="{95C16A06-309B-4109-BB25-455CD2C14CA8}"/>
    <cellStyle name="fa_footer_italic" xfId="34" xr:uid="{00000000-0005-0000-0000-000028000000}"/>
    <cellStyle name="fa_row_header_bold" xfId="35" xr:uid="{00000000-0005-0000-0000-000029000000}"/>
    <cellStyle name="fa_row_header_bold 2" xfId="63" xr:uid="{C29A6D4C-2AFF-4839-94C6-C69FEA6D99C4}"/>
    <cellStyle name="fa_row_header_italic" xfId="36" xr:uid="{00000000-0005-0000-0000-00002A000000}"/>
    <cellStyle name="fa_row_header_italic 2" xfId="62" xr:uid="{78664149-075C-43D2-B897-11FE6B75664C}"/>
    <cellStyle name="fa_row_header_standard" xfId="37" xr:uid="{00000000-0005-0000-0000-00002B000000}"/>
    <cellStyle name="fa_row_header_standard 2" xfId="66" xr:uid="{508B135B-4EDE-45F1-B2E5-E0EB92E66D4D}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BDH|12889926065251903672</stp>
        <tr r="G11" s="3"/>
        <tr r="G14" s="2"/>
      </tp>
      <tp t="s">
        <v>#N/A N/A</v>
        <stp/>
        <stp>BDH|13918587381271745560</stp>
        <tr r="L50" s="4"/>
      </tp>
      <tp t="s">
        <v>#N/A N/A</v>
        <stp/>
        <stp>BDH|14652324406779309406</stp>
        <tr r="D26" s="3"/>
      </tp>
      <tp t="s">
        <v>#N/A N/A</v>
        <stp/>
        <stp>BDH|11935854702921764292</stp>
        <tr r="I27" s="5"/>
      </tp>
      <tp t="s">
        <v>#N/A N/A</v>
        <stp/>
        <stp>BDH|10203839735426136757</stp>
        <tr r="I8" s="4"/>
      </tp>
      <tp t="s">
        <v>#N/A N/A</v>
        <stp/>
        <stp>BDH|13215758897611956694</stp>
        <tr r="F30" s="4"/>
      </tp>
      <tp t="s">
        <v>#N/A N/A</v>
        <stp/>
        <stp>BDH|11871292371206296820</stp>
        <tr r="F63" s="3"/>
      </tp>
      <tp t="s">
        <v>#N/A N/A</v>
        <stp/>
        <stp>BDH|13329558556559007002</stp>
        <tr r="H12" s="5"/>
      </tp>
      <tp t="s">
        <v>#N/A N/A</v>
        <stp/>
        <stp>BDH|10604154492324286639</stp>
        <tr r="G69" s="3"/>
      </tp>
      <tp t="s">
        <v>#N/A N/A</v>
        <stp/>
        <stp>BDH|16005860063016318453</stp>
        <tr r="C60" s="5"/>
      </tp>
      <tp t="s">
        <v>#N/A N/A</v>
        <stp/>
        <stp>BDH|13172158707129986190</stp>
        <tr r="I70" s="3"/>
      </tp>
      <tp t="s">
        <v>#N/A N/A</v>
        <stp/>
        <stp>BDH|16863926928167406040</stp>
        <tr r="E67" s="4"/>
      </tp>
      <tp t="s">
        <v>#N/A N/A</v>
        <stp/>
        <stp>BDH|17212812550870074062</stp>
        <tr r="K14" s="4"/>
      </tp>
      <tp t="s">
        <v>#N/A N/A</v>
        <stp/>
        <stp>BDH|13408317685772664035</stp>
        <tr r="J44" s="5"/>
      </tp>
      <tp t="s">
        <v>#N/A N/A</v>
        <stp/>
        <stp>BDH|14324799189927663605</stp>
        <tr r="E55" s="4"/>
      </tp>
      <tp t="s">
        <v>#N/A N/A</v>
        <stp/>
        <stp>BDH|11671756100249127574</stp>
        <tr r="E27" s="4"/>
      </tp>
      <tp t="s">
        <v>#N/A N/A</v>
        <stp/>
        <stp>BDH|17554276603887206877</stp>
        <tr r="I13" s="2"/>
      </tp>
      <tp t="s">
        <v>#N/A N/A</v>
        <stp/>
        <stp>BDH|16700892379026099539</stp>
        <tr r="L63" s="5"/>
        <tr r="J25" s="2"/>
      </tp>
      <tp t="s">
        <v>#N/A N/A</v>
        <stp/>
        <stp>BDH|13846321597337038492</stp>
        <tr r="E78" s="4"/>
      </tp>
      <tp t="s">
        <v>#N/A N/A</v>
        <stp/>
        <stp>BDH|14360227209144965851</stp>
        <tr r="C38" s="3"/>
      </tp>
      <tp t="s">
        <v>#N/A N/A</v>
        <stp/>
        <stp>BDH|10668918397358307246</stp>
        <tr r="D33" s="3"/>
      </tp>
      <tp t="s">
        <v>#N/A N/A</v>
        <stp/>
        <stp>BDH|18031366279263095588</stp>
        <tr r="J70" s="4"/>
      </tp>
      <tp t="s">
        <v>#N/A N/A</v>
        <stp/>
        <stp>BDH|15758535186730606229</stp>
        <tr r="D17" s="3"/>
      </tp>
      <tp t="s">
        <v>#N/A N/A</v>
        <stp/>
        <stp>BDH|11083472695912409406</stp>
        <tr r="D63" s="4"/>
      </tp>
      <tp t="s">
        <v>#N/A N/A</v>
        <stp/>
        <stp>BDH|14812868372306218777</stp>
        <tr r="C27" s="5"/>
      </tp>
      <tp t="s">
        <v>#N/A N/A</v>
        <stp/>
        <stp>BDH|16304602501608912229</stp>
        <tr r="F48" s="5"/>
      </tp>
      <tp t="s">
        <v>#N/A N/A</v>
        <stp/>
        <stp>BDH|12960335684470451334</stp>
        <tr r="L93" s="4"/>
      </tp>
      <tp t="s">
        <v>#N/A N/A</v>
        <stp/>
        <stp>BDH|12832912598238161091</stp>
        <tr r="E74" s="4"/>
      </tp>
      <tp t="s">
        <v>#N/A N/A</v>
        <stp/>
        <stp>BDH|11373320959494998995</stp>
        <tr r="D17" s="4"/>
      </tp>
      <tp t="s">
        <v>#N/A N/A</v>
        <stp/>
        <stp>BDH|14778861619590433742</stp>
        <tr r="H35" s="5"/>
      </tp>
      <tp t="s">
        <v>#N/A N/A</v>
        <stp/>
        <stp>BDH|11107457409587144841</stp>
        <tr r="D61" s="5"/>
      </tp>
      <tp t="s">
        <v>#N/A N/A</v>
        <stp/>
        <stp>BDH|12278417559128638144</stp>
        <tr r="J38" s="3"/>
      </tp>
      <tp t="s">
        <v>#N/A N/A</v>
        <stp/>
        <stp>BDH|12680359859047129937</stp>
        <tr r="K55" s="4"/>
      </tp>
      <tp t="s">
        <v>#N/A N/A</v>
        <stp/>
        <stp>BDH|13040260697563285196</stp>
        <tr r="I74" s="4"/>
      </tp>
      <tp t="s">
        <v>#N/A N/A</v>
        <stp/>
        <stp>BDH|16769259087181991764</stp>
        <tr r="G56" s="5"/>
      </tp>
      <tp t="s">
        <v>#N/A N/A</v>
        <stp/>
        <stp>BDH|16262908507540705589</stp>
        <tr r="I41" s="4"/>
      </tp>
      <tp t="s">
        <v>#N/A N/A</v>
        <stp/>
        <stp>BDH|14973156901927183861</stp>
        <tr r="F63" s="4"/>
      </tp>
      <tp t="s">
        <v>#N/A N/A</v>
        <stp/>
        <stp>BDH|11452733585573032784</stp>
        <tr r="L8" s="4"/>
      </tp>
      <tp t="s">
        <v>#N/A N/A</v>
        <stp/>
        <stp>BDH|18158188486529053224</stp>
        <tr r="C32" s="4"/>
      </tp>
      <tp t="s">
        <v>#N/A N/A</v>
        <stp/>
        <stp>BDH|18165400031933922645</stp>
        <tr r="F72" s="3"/>
      </tp>
      <tp t="s">
        <v>#N/A N/A</v>
        <stp/>
        <stp>BDH|12993405990096116350</stp>
        <tr r="G70" s="3"/>
      </tp>
      <tp t="s">
        <v>#N/A N/A</v>
        <stp/>
        <stp>BDH|13960619192434733204</stp>
        <tr r="G52" s="3"/>
      </tp>
      <tp t="s">
        <v>#N/A N/A</v>
        <stp/>
        <stp>BDH|11924270489641206086</stp>
        <tr r="K60" s="4"/>
      </tp>
      <tp t="s">
        <v>#N/A N/A</v>
        <stp/>
        <stp>BDH|16837516396957243709</stp>
        <tr r="L28" s="5"/>
      </tp>
      <tp t="s">
        <v>#N/A N/A</v>
        <stp/>
        <stp>BDH|17666378632029886476</stp>
        <tr r="E45" s="5"/>
      </tp>
      <tp t="s">
        <v>#N/A N/A</v>
        <stp/>
        <stp>BDH|14117125706286875915</stp>
        <tr r="L12" s="4"/>
      </tp>
      <tp t="s">
        <v>#N/A N/A</v>
        <stp/>
        <stp>BDH|14599197547462148955</stp>
        <tr r="L24" s="4"/>
      </tp>
      <tp t="s">
        <v>#N/A N/A</v>
        <stp/>
        <stp>BDH|16936685564224311889</stp>
        <tr r="I32" s="5"/>
      </tp>
      <tp t="s">
        <v>#N/A N/A</v>
        <stp/>
        <stp>BDH|11625905513440211261</stp>
        <tr r="L31" s="4"/>
      </tp>
      <tp t="s">
        <v>#N/A N/A</v>
        <stp/>
        <stp>BDH|17649450172139745677</stp>
        <tr r="G15" s="4"/>
      </tp>
      <tp t="s">
        <v>#N/A N/A</v>
        <stp/>
        <stp>BDH|15192573757657833995</stp>
        <tr r="I6" s="3"/>
        <tr r="I12" s="2"/>
      </tp>
      <tp t="s">
        <v>#N/A N/A</v>
        <stp/>
        <stp>BDH|15977460822709594185</stp>
        <tr r="H88" s="4"/>
      </tp>
      <tp t="s">
        <v>#N/A N/A</v>
        <stp/>
        <stp>BDH|16279472993145172571</stp>
        <tr r="G45" s="4"/>
      </tp>
      <tp t="s">
        <v>#N/A N/A</v>
        <stp/>
        <stp>BDH|14418709093689433805</stp>
        <tr r="E52" s="5"/>
      </tp>
      <tp t="s">
        <v>#N/A N/A</v>
        <stp/>
        <stp>BDH|13771062071397734848</stp>
        <tr r="I89" s="4"/>
      </tp>
      <tp t="s">
        <v>#N/A N/A</v>
        <stp/>
        <stp>BDH|14872923108267025115</stp>
        <tr r="K22" s="5"/>
      </tp>
      <tp t="s">
        <v>#N/A N/A</v>
        <stp/>
        <stp>BDH|16264018783010494577</stp>
        <tr r="K56" s="4"/>
      </tp>
      <tp t="s">
        <v>#N/A N/A</v>
        <stp/>
        <stp>BDH|16507733608692430890</stp>
        <tr r="H40" s="5"/>
      </tp>
      <tp t="s">
        <v>#N/A N/A</v>
        <stp/>
        <stp>BDH|15207943209860876749</stp>
        <tr r="F65" s="4"/>
      </tp>
      <tp t="s">
        <v>#N/A N/A</v>
        <stp/>
        <stp>BDH|15239902000231001601</stp>
        <tr r="E51" s="4"/>
      </tp>
      <tp t="s">
        <v>#N/A N/A</v>
        <stp/>
        <stp>BDH|12510557740458305012</stp>
        <tr r="F71" s="3"/>
      </tp>
      <tp t="s">
        <v>#N/A N/A</v>
        <stp/>
        <stp>BDH|10474780788416187203</stp>
        <tr r="D51" s="4"/>
      </tp>
      <tp t="s">
        <v>#N/A N/A</v>
        <stp/>
        <stp>BDH|13384016580046045674</stp>
        <tr r="F36" s="4"/>
      </tp>
      <tp t="s">
        <v>#N/A N/A</v>
        <stp/>
        <stp>BDH|14292836547291492278</stp>
        <tr r="C23" s="5"/>
      </tp>
      <tp t="s">
        <v>#N/A N/A</v>
        <stp/>
        <stp>BDH|11726289368159690745</stp>
        <tr r="C90" s="4"/>
      </tp>
      <tp t="s">
        <v>#N/A N/A</v>
        <stp/>
        <stp>BDH|18164708113757339250</stp>
        <tr r="F53" s="4"/>
      </tp>
      <tp t="s">
        <v>#N/A N/A</v>
        <stp/>
        <stp>BDH|17802027997881129484</stp>
        <tr r="H69" s="3"/>
      </tp>
      <tp t="s">
        <v>#N/A N/A</v>
        <stp/>
        <stp>BDH|10448276110429478139</stp>
        <tr r="L26" s="5"/>
      </tp>
      <tp t="s">
        <v>#N/A N/A</v>
        <stp/>
        <stp>BDH|11059904215560611278</stp>
        <tr r="H14" s="3"/>
      </tp>
      <tp t="s">
        <v>#N/A N/A</v>
        <stp/>
        <stp>BDH|15464509127751025840</stp>
        <tr r="L72" s="4"/>
      </tp>
      <tp t="s">
        <v>#N/A N/A</v>
        <stp/>
        <stp>BDH|16850299890595166364</stp>
        <tr r="H43" s="5"/>
      </tp>
      <tp t="s">
        <v>#N/A N/A</v>
        <stp/>
        <stp>BDH|10438102138608993133</stp>
        <tr r="C57" s="3"/>
        <tr r="C20" s="2"/>
      </tp>
      <tp t="s">
        <v>#N/A N/A</v>
        <stp/>
        <stp>BDH|14993550299656797542</stp>
        <tr r="I17" s="4"/>
      </tp>
      <tp t="s">
        <v>#N/A N/A</v>
        <stp/>
        <stp>BDH|10826675091997730301</stp>
        <tr r="D65" s="4"/>
      </tp>
      <tp t="s">
        <v>#N/A N/A</v>
        <stp/>
        <stp>BDH|16491445038012931890</stp>
        <tr r="F41" s="4"/>
      </tp>
      <tp t="s">
        <v>#N/A N/A</v>
        <stp/>
        <stp>BDH|14407519634761978833</stp>
        <tr r="H43" s="4"/>
      </tp>
      <tp t="s">
        <v>#N/A N/A</v>
        <stp/>
        <stp>BDH|16172981252500778177</stp>
        <tr r="I11" s="3"/>
        <tr r="I14" s="2"/>
      </tp>
      <tp t="s">
        <v>#N/A N/A</v>
        <stp/>
        <stp>BDH|15229934382187086891</stp>
        <tr r="G62" s="4"/>
      </tp>
      <tp t="s">
        <v>#N/A N/A</v>
        <stp/>
        <stp>BDH|18021086080232327913</stp>
        <tr r="H28" s="3"/>
      </tp>
      <tp t="s">
        <v>#N/A N/A</v>
        <stp/>
        <stp>BDH|14914013660810125941</stp>
        <tr r="H36" s="5"/>
      </tp>
      <tp t="s">
        <v>#N/A N/A</v>
        <stp/>
        <stp>BDH|11723856123273906355</stp>
        <tr r="F43" s="3"/>
      </tp>
      <tp t="s">
        <v>#N/A N/A</v>
        <stp/>
        <stp>BDH|16743748775984222995</stp>
        <tr r="H19" s="4"/>
      </tp>
      <tp t="s">
        <v>#N/A N/A</v>
        <stp/>
        <stp>BDH|13445338963475031882</stp>
        <tr r="I33" s="3"/>
      </tp>
      <tp t="s">
        <v>#N/A N/A</v>
        <stp/>
        <stp>BDH|15026996374215810598</stp>
        <tr r="D30" s="4"/>
      </tp>
      <tp t="s">
        <v>#N/A N/A</v>
        <stp/>
        <stp>BDH|11247114429458082162</stp>
        <tr r="K46" s="5"/>
      </tp>
      <tp t="s">
        <v>#N/A N/A</v>
        <stp/>
        <stp>BDH|17884910765602429140</stp>
        <tr r="I62" s="5"/>
      </tp>
      <tp t="s">
        <v>#N/A N/A</v>
        <stp/>
        <stp>BDH|17489061920687690982</stp>
        <tr r="I28" s="4"/>
      </tp>
      <tp t="s">
        <v>#N/A N/A</v>
        <stp/>
        <stp>BDH|18062940034691852876</stp>
        <tr r="J55" s="3"/>
      </tp>
      <tp t="s">
        <v>#N/A N/A</v>
        <stp/>
        <stp>BDH|15598939956252631088</stp>
        <tr r="J68" s="3"/>
      </tp>
      <tp t="s">
        <v>#N/A N/A</v>
        <stp/>
        <stp>BDH|10714982435345558414</stp>
        <tr r="K39" s="4"/>
      </tp>
      <tp t="s">
        <v>#N/A N/A</v>
        <stp/>
        <stp>BDH|17127238982814810263</stp>
        <tr r="D75" s="4"/>
      </tp>
      <tp t="s">
        <v>#N/A N/A</v>
        <stp/>
        <stp>BDH|10315782078149596170</stp>
        <tr r="C31" s="3"/>
      </tp>
      <tp t="s">
        <v>#N/A N/A</v>
        <stp/>
        <stp>BDH|16061278756250154910</stp>
        <tr r="I24" s="4"/>
      </tp>
      <tp t="s">
        <v>#N/A N/A</v>
        <stp/>
        <stp>BDH|13857710066333990970</stp>
        <tr r="E24" s="4"/>
      </tp>
      <tp t="s">
        <v>#N/A N/A</v>
        <stp/>
        <stp>BDH|14608146727866084943</stp>
        <tr r="G10" s="3"/>
      </tp>
      <tp t="s">
        <v>#N/A N/A</v>
        <stp/>
        <stp>BDH|18078439253073284233</stp>
        <tr r="L21" s="5"/>
      </tp>
      <tp t="s">
        <v>#N/A N/A</v>
        <stp/>
        <stp>BDH|10738819905585309507</stp>
        <tr r="D7" s="2"/>
      </tp>
      <tp t="s">
        <v>#N/A N/A</v>
        <stp/>
        <stp>BDH|17066869450546168472</stp>
        <tr r="C44" s="5"/>
      </tp>
      <tp t="s">
        <v>#N/A N/A</v>
        <stp/>
        <stp>BDH|12756917270336773214</stp>
        <tr r="E10" s="3"/>
      </tp>
      <tp t="s">
        <v>#N/A N/A</v>
        <stp/>
        <stp>BDH|15433739263435322978</stp>
        <tr r="E93" s="4"/>
      </tp>
      <tp t="s">
        <v>#N/A N/A</v>
        <stp/>
        <stp>BDH|17096737180768969890</stp>
        <tr r="C17" s="4"/>
      </tp>
      <tp t="s">
        <v>#N/A N/A</v>
        <stp/>
        <stp>BDH|16600618926318625244</stp>
        <tr r="H65" s="4"/>
      </tp>
      <tp t="s">
        <v>#N/A N/A</v>
        <stp/>
        <stp>BDH|11588847345280781500</stp>
        <tr r="J8" s="2"/>
      </tp>
      <tp t="s">
        <v>#N/A N/A</v>
        <stp/>
        <stp>BDH|11076832683398562173</stp>
        <tr r="E20" s="3"/>
      </tp>
      <tp t="s">
        <v>#N/A N/A</v>
        <stp/>
        <stp>BDH|12749245564959281776</stp>
        <tr r="K40" s="5"/>
      </tp>
      <tp t="s">
        <v>#N/A N/A</v>
        <stp/>
        <stp>BDH|17310235281730089546</stp>
        <tr r="F13" s="5"/>
      </tp>
      <tp t="s">
        <v>#N/A N/A</v>
        <stp/>
        <stp>BDH|10330231467089459566</stp>
        <tr r="C36" s="4"/>
      </tp>
      <tp t="s">
        <v>#N/A N/A</v>
        <stp/>
        <stp>BDH|13270333219028987151</stp>
        <tr r="D71" s="4"/>
      </tp>
      <tp t="s">
        <v>#N/A N/A</v>
        <stp/>
        <stp>BDH|14283991708064756100</stp>
        <tr r="L63" s="4"/>
      </tp>
      <tp t="s">
        <v>#N/A N/A</v>
        <stp/>
        <stp>BDH|10360711365250164923</stp>
        <tr r="E64" s="5"/>
      </tp>
      <tp t="s">
        <v>#N/A N/A</v>
        <stp/>
        <stp>BDH|14926397314836280820</stp>
        <tr r="D16" s="4"/>
      </tp>
      <tp t="s">
        <v>#N/A N/A</v>
        <stp/>
        <stp>BDH|13407589528695555966</stp>
        <tr r="D10" s="3"/>
      </tp>
      <tp t="s">
        <v>#N/A N/A</v>
        <stp/>
        <stp>BDH|12586232565079159744</stp>
        <tr r="H34" s="3"/>
      </tp>
      <tp t="s">
        <v>#N/A N/A</v>
        <stp/>
        <stp>BDH|17352260304134729901</stp>
        <tr r="I36" s="4"/>
      </tp>
      <tp t="s">
        <v>#N/A N/A</v>
        <stp/>
        <stp>BDH|12190704108765217825</stp>
        <tr r="D8" s="2"/>
      </tp>
      <tp t="s">
        <v>#N/A N/A</v>
        <stp/>
        <stp>BDH|18171142422872999170</stp>
        <tr r="G41" s="3"/>
      </tp>
      <tp t="s">
        <v>#N/A N/A</v>
        <stp/>
        <stp>BDH|15708590438598775393</stp>
        <tr r="C42" s="3"/>
      </tp>
      <tp t="s">
        <v>#N/A N/A</v>
        <stp/>
        <stp>BDH|16335649630848801376</stp>
        <tr r="H33" s="5"/>
      </tp>
      <tp t="s">
        <v>#N/A N/A</v>
        <stp/>
        <stp>BDH|17050439720739895002</stp>
        <tr r="J54" s="5"/>
      </tp>
      <tp t="s">
        <v>#N/A N/A</v>
        <stp/>
        <stp>BDH|16260385602425535862</stp>
        <tr r="E30" s="3"/>
      </tp>
      <tp t="s">
        <v>#N/A N/A</v>
        <stp/>
        <stp>BDH|18321052713827173692</stp>
        <tr r="F13" s="4"/>
      </tp>
      <tp t="s">
        <v>#N/A N/A</v>
        <stp/>
        <stp>BDH|18438236393943054895</stp>
        <tr r="F44" s="4"/>
      </tp>
      <tp t="s">
        <v>#N/A N/A</v>
        <stp/>
        <stp>BDH|16057773829113604856</stp>
        <tr r="G64" s="5"/>
      </tp>
      <tp t="s">
        <v>#N/A N/A</v>
        <stp/>
        <stp>BDH|10217850045155646194</stp>
        <tr r="L64" s="4"/>
      </tp>
      <tp t="s">
        <v>#N/A N/A</v>
        <stp/>
        <stp>BDH|17220732458734795938</stp>
        <tr r="C63" s="4"/>
      </tp>
      <tp t="s">
        <v>#N/A N/A</v>
        <stp/>
        <stp>BDH|10265144383255805413</stp>
        <tr r="D71" s="3"/>
      </tp>
      <tp t="s">
        <v>#N/A N/A</v>
        <stp/>
        <stp>BDH|17551363223419473783</stp>
        <tr r="L54" s="5"/>
      </tp>
      <tp t="s">
        <v>#N/A N/A</v>
        <stp/>
        <stp>BDH|12896358990101114138</stp>
        <tr r="F24" s="3"/>
      </tp>
      <tp t="s">
        <v>#N/A N/A</v>
        <stp/>
        <stp>BDH|10444436279639497252</stp>
        <tr r="C92" s="4"/>
      </tp>
      <tp t="s">
        <v>#N/A N/A</v>
        <stp/>
        <stp>BDH|14687995821700047710</stp>
        <tr r="K31" s="5"/>
      </tp>
      <tp t="s">
        <v>#N/A N/A</v>
        <stp/>
        <stp>BDH|15059500294466204793</stp>
        <tr r="I70" s="4"/>
      </tp>
      <tp t="s">
        <v>#N/A N/A</v>
        <stp/>
        <stp>BDH|10746688126579593532</stp>
        <tr r="C43" s="4"/>
      </tp>
      <tp t="s">
        <v>#N/A N/A</v>
        <stp/>
        <stp>BDH|17459274938009758732</stp>
        <tr r="L7" s="5"/>
      </tp>
      <tp t="s">
        <v>#N/A N/A</v>
        <stp/>
        <stp>BDH|16344898465319893983</stp>
        <tr r="E15" s="4"/>
      </tp>
      <tp t="s">
        <v>#N/A N/A</v>
        <stp/>
        <stp>BDH|15450065195802934601</stp>
        <tr r="F42" s="4"/>
      </tp>
      <tp t="s">
        <v>#N/A N/A</v>
        <stp/>
        <stp>BDH|17361430369658171568</stp>
        <tr r="I33" s="4"/>
      </tp>
      <tp t="s">
        <v>#N/A N/A</v>
        <stp/>
        <stp>BDH|16727467794413387088</stp>
        <tr r="J42" s="5"/>
      </tp>
      <tp t="s">
        <v>#N/A N/A</v>
        <stp/>
        <stp>BDH|17011050526435102938</stp>
        <tr r="G64" s="4"/>
      </tp>
      <tp t="s">
        <v>#N/A N/A</v>
        <stp/>
        <stp>BDH|14678664085015156650</stp>
        <tr r="E16" s="5"/>
      </tp>
      <tp t="s">
        <v>#N/A N/A</v>
        <stp/>
        <stp>BDH|13065829357192308551</stp>
        <tr r="E40" s="5"/>
      </tp>
      <tp t="s">
        <v>#N/A N/A</v>
        <stp/>
        <stp>BDH|16122417943697771877</stp>
        <tr r="F51" s="3"/>
      </tp>
      <tp t="s">
        <v>#N/A N/A</v>
        <stp/>
        <stp>BDH|16386883880338895705</stp>
        <tr r="J84" s="4"/>
      </tp>
      <tp t="s">
        <v>#N/A N/A</v>
        <stp/>
        <stp>BDH|11959842353462492782</stp>
        <tr r="G29" s="4"/>
      </tp>
      <tp t="s">
        <v>#N/A N/A</v>
        <stp/>
        <stp>BDH|11912674201596431890</stp>
        <tr r="I7" s="4"/>
      </tp>
      <tp t="s">
        <v>#N/A N/A</v>
        <stp/>
        <stp>BDH|12559355144168753416</stp>
        <tr r="I92" s="4"/>
      </tp>
      <tp t="s">
        <v>#N/A N/A</v>
        <stp/>
        <stp>BDH|17835470989376014441</stp>
        <tr r="J66" s="5"/>
      </tp>
      <tp t="s">
        <v>#N/A N/A</v>
        <stp/>
        <stp>BDH|11444441027027177946</stp>
        <tr r="G61" s="3"/>
        <tr r="G16" s="2"/>
      </tp>
      <tp t="s">
        <v>#N/A N/A</v>
        <stp/>
        <stp>BDH|12469431241829727247</stp>
        <tr r="I22" s="4"/>
      </tp>
      <tp t="s">
        <v>#N/A N/A</v>
        <stp/>
        <stp>BDH|14463364076960249931</stp>
        <tr r="D39" s="4"/>
      </tp>
      <tp t="s">
        <v>#N/A N/A</v>
        <stp/>
        <stp>BDH|16534659385411214021</stp>
        <tr r="C61" s="4"/>
      </tp>
      <tp t="s">
        <v>#N/A N/A</v>
        <stp/>
        <stp>BDH|17846493394620555359</stp>
        <tr r="D19" s="4"/>
      </tp>
      <tp t="s">
        <v>#N/A N/A</v>
        <stp/>
        <stp>BDH|18297331244401318723</stp>
        <tr r="D52" s="5"/>
      </tp>
      <tp t="s">
        <v>#N/A N/A</v>
        <stp/>
        <stp>BDH|10664340809168759283</stp>
        <tr r="C63" s="3"/>
      </tp>
      <tp t="s">
        <v>#N/A N/A</v>
        <stp/>
        <stp>BDH|12144509569479878149</stp>
        <tr r="J23" s="4"/>
      </tp>
      <tp t="s">
        <v>#N/A N/A</v>
        <stp/>
        <stp>BDH|13679836626527716702</stp>
        <tr r="E69" s="4"/>
      </tp>
      <tp t="s">
        <v>#N/A N/A</v>
        <stp/>
        <stp>BDH|12707823820554810593</stp>
        <tr r="J57" s="5"/>
      </tp>
      <tp t="s">
        <v>#N/A N/A</v>
        <stp/>
        <stp>BDH|14318264210469403769</stp>
        <tr r="H42" s="5"/>
      </tp>
      <tp t="s">
        <v>#N/A N/A</v>
        <stp/>
        <stp>BDH|13281904654810109609</stp>
        <tr r="D67" s="5"/>
      </tp>
      <tp t="s">
        <v>#N/A N/A</v>
        <stp/>
        <stp>BDH|14507554761588348659</stp>
        <tr r="J38" s="4"/>
      </tp>
      <tp t="s">
        <v>#N/A N/A</v>
        <stp/>
        <stp>BDH|11327245971165303824</stp>
        <tr r="G37" s="5"/>
      </tp>
      <tp t="s">
        <v>#N/A N/A</v>
        <stp/>
        <stp>BDH|11106234304332949884</stp>
        <tr r="G65" s="5"/>
      </tp>
      <tp t="s">
        <v>#N/A N/A</v>
        <stp/>
        <stp>BDH|15635999838632299420</stp>
        <tr r="F13" s="3"/>
      </tp>
      <tp t="s">
        <v>#N/A N/A</v>
        <stp/>
        <stp>BDH|15656300186074537323</stp>
        <tr r="F14" s="3"/>
      </tp>
      <tp t="s">
        <v>#N/A N/A</v>
        <stp/>
        <stp>BDH|11330311935149112116</stp>
        <tr r="L18" s="4"/>
      </tp>
      <tp t="s">
        <v>#N/A N/A</v>
        <stp/>
        <stp>BDH|13909079169249061514</stp>
        <tr r="E44" s="4"/>
      </tp>
      <tp t="s">
        <v>#N/A N/A</v>
        <stp/>
        <stp>BDH|16488351033368513715</stp>
        <tr r="D67" s="3"/>
      </tp>
      <tp t="s">
        <v>#N/A N/A</v>
        <stp/>
        <stp>BDH|10740956751375663039</stp>
        <tr r="J9" s="3"/>
      </tp>
      <tp t="s">
        <v>#N/A N/A</v>
        <stp/>
        <stp>BDH|11655632067731013940</stp>
        <tr r="E24" s="5"/>
      </tp>
      <tp t="s">
        <v>#N/A N/A</v>
        <stp/>
        <stp>BDH|16653442494664722673</stp>
        <tr r="K52" s="5"/>
      </tp>
      <tp t="s">
        <v>#N/A N/A</v>
        <stp/>
        <stp>BDH|16158936626087813359</stp>
        <tr r="H37" s="3"/>
      </tp>
      <tp t="s">
        <v>#N/A N/A</v>
        <stp/>
        <stp>BDH|16563662544415764895</stp>
        <tr r="C12" s="3"/>
      </tp>
      <tp t="s">
        <v>#N/A N/A</v>
        <stp/>
        <stp>BDH|10345180210650532976</stp>
        <tr r="J61" s="4"/>
      </tp>
      <tp t="s">
        <v>#N/A N/A</v>
        <stp/>
        <stp>BDH|13025310185201542081</stp>
        <tr r="C20" s="3"/>
      </tp>
      <tp t="s">
        <v>#N/A N/A</v>
        <stp/>
        <stp>BDH|10433338168604158860</stp>
        <tr r="L17" s="5"/>
      </tp>
      <tp t="s">
        <v>#N/A N/A</v>
        <stp/>
        <stp>BDH|14965406230963910986</stp>
        <tr r="E57" s="3"/>
        <tr r="E20" s="2"/>
      </tp>
      <tp t="s">
        <v>#N/A N/A</v>
        <stp/>
        <stp>BDH|11826692885956939054</stp>
        <tr r="F11" s="4"/>
      </tp>
      <tp t="s">
        <v>#N/A N/A</v>
        <stp/>
        <stp>BDH|11900538441521481878</stp>
        <tr r="F49" s="3"/>
      </tp>
      <tp t="s">
        <v>#N/A N/A</v>
        <stp/>
        <stp>BDH|14358578309621635907</stp>
        <tr r="D44" s="5"/>
      </tp>
      <tp t="s">
        <v>#N/A N/A</v>
        <stp/>
        <stp>BDH|16430840796327438980</stp>
        <tr r="C21" s="3"/>
      </tp>
      <tp t="s">
        <v>#N/A N/A</v>
        <stp/>
        <stp>BDH|10705489710215491912</stp>
        <tr r="G40" s="5"/>
      </tp>
      <tp t="s">
        <v>#N/A N/A</v>
        <stp/>
        <stp>BDH|14665599687835296509</stp>
        <tr r="F55" s="4"/>
      </tp>
      <tp t="s">
        <v>#N/A N/A</v>
        <stp/>
        <stp>BDH|17645797594494594420</stp>
        <tr r="G12" s="4"/>
      </tp>
      <tp t="s">
        <v>#N/A N/A</v>
        <stp/>
        <stp>BDH|15057897677575220606</stp>
        <tr r="L23" s="4"/>
      </tp>
      <tp t="s">
        <v>#N/A N/A</v>
        <stp/>
        <stp>BDH|11845335386032127104</stp>
        <tr r="C16" s="4"/>
      </tp>
      <tp t="s">
        <v>#N/A N/A</v>
        <stp/>
        <stp>BDH|13671086586263038144</stp>
        <tr r="F34" s="5"/>
      </tp>
      <tp t="s">
        <v>#N/A N/A</v>
        <stp/>
        <stp>BDH|11893304650548255657</stp>
        <tr r="J28" s="3"/>
      </tp>
      <tp t="s">
        <v>#N/A N/A</v>
        <stp/>
        <stp>BDH|12161480920178597536</stp>
        <tr r="D27" s="5"/>
      </tp>
      <tp t="s">
        <v>#N/A N/A</v>
        <stp/>
        <stp>BDH|14650428165136991970</stp>
        <tr r="E70" s="3"/>
      </tp>
      <tp t="s">
        <v>#N/A N/A</v>
        <stp/>
        <stp>BDH|18384515458058729934</stp>
        <tr r="F21" s="5"/>
      </tp>
      <tp t="s">
        <v>#N/A N/A</v>
        <stp/>
        <stp>BDH|18206069317195457595</stp>
        <tr r="L30" s="4"/>
      </tp>
      <tp t="s">
        <v>#N/A N/A</v>
        <stp/>
        <stp>BDH|16862044911206750846</stp>
        <tr r="J54" s="3"/>
      </tp>
      <tp t="s">
        <v>#N/A N/A</v>
        <stp/>
        <stp>BDH|12252394097301222002</stp>
        <tr r="E12" s="5"/>
      </tp>
      <tp t="s">
        <v>#N/A N/A</v>
        <stp/>
        <stp>BDH|10560699625649297450</stp>
        <tr r="F6" s="3"/>
        <tr r="F12" s="2"/>
      </tp>
      <tp t="s">
        <v>#N/A N/A</v>
        <stp/>
        <stp>BDH|18140119119358385940</stp>
        <tr r="K17" s="4"/>
      </tp>
      <tp t="s">
        <v>#N/A N/A</v>
        <stp/>
        <stp>BDH|16967707396730535140</stp>
        <tr r="F13" s="2"/>
      </tp>
      <tp t="s">
        <v>#N/A N/A</v>
        <stp/>
        <stp>BDH|14149989307140803377</stp>
        <tr r="I13" s="3"/>
      </tp>
      <tp t="s">
        <v>#N/A N/A</v>
        <stp/>
        <stp>BDH|13615998063746460495</stp>
        <tr r="D78" s="4"/>
      </tp>
      <tp t="s">
        <v>#N/A N/A</v>
        <stp/>
        <stp>BDH|17918300015269925241</stp>
        <tr r="H30" s="5"/>
      </tp>
      <tp t="s">
        <v>#N/A N/A</v>
        <stp/>
        <stp>BDH|14470837423757759737</stp>
        <tr r="H15" s="5"/>
      </tp>
      <tp t="s">
        <v>#N/A N/A</v>
        <stp/>
        <stp>BDH|11087101597951589613</stp>
        <tr r="J65" s="4"/>
      </tp>
      <tp t="s">
        <v>#N/A N/A</v>
        <stp/>
        <stp>BDH|14272514384592699520</stp>
        <tr r="L62" s="5"/>
      </tp>
      <tp t="s">
        <v>#N/A N/A</v>
        <stp/>
        <stp>BDH|15272670907714503942</stp>
        <tr r="E7" s="4"/>
      </tp>
      <tp t="s">
        <v>#N/A N/A</v>
        <stp/>
        <stp>BDH|14861791128449991621</stp>
        <tr r="C26" s="5"/>
      </tp>
      <tp t="s">
        <v>#N/A N/A</v>
        <stp/>
        <stp>BDH|11430106695653197427</stp>
        <tr r="G50" s="4"/>
      </tp>
      <tp t="s">
        <v>#N/A N/A</v>
        <stp/>
        <stp>BDH|14493869027089027972</stp>
        <tr r="C22" s="5"/>
      </tp>
      <tp t="s">
        <v>#N/A N/A</v>
        <stp/>
        <stp>BDH|10112826251524574752</stp>
        <tr r="I26" s="4"/>
      </tp>
      <tp t="s">
        <v>#N/A N/A</v>
        <stp/>
        <stp>BDH|13861333945272820841</stp>
        <tr r="C43" s="5"/>
      </tp>
      <tp t="s">
        <v>#N/A N/A</v>
        <stp/>
        <stp>BDH|12144504001149409019</stp>
        <tr r="G33" s="3"/>
      </tp>
      <tp t="s">
        <v>#N/A N/A</v>
        <stp/>
        <stp>BDH|13086765271529732454</stp>
        <tr r="E66" s="4"/>
      </tp>
      <tp t="s">
        <v>#N/A N/A</v>
        <stp/>
        <stp>BDH|18339721552791628509</stp>
        <tr r="E19" s="4"/>
      </tp>
      <tp t="s">
        <v>#N/A N/A</v>
        <stp/>
        <stp>BDH|17917173917018850146</stp>
        <tr r="C30" s="4"/>
      </tp>
      <tp t="s">
        <v>#N/A N/A</v>
        <stp/>
        <stp>BDH|16731026681383826390</stp>
        <tr r="F37" s="3"/>
      </tp>
      <tp t="s">
        <v>#N/A N/A</v>
        <stp/>
        <stp>BDH|14745402834898491539</stp>
        <tr r="H33" s="4"/>
      </tp>
      <tp t="s">
        <v>#N/A N/A</v>
        <stp/>
        <stp>BDH|18008626231812073144</stp>
        <tr r="L24" s="5"/>
      </tp>
      <tp t="s">
        <v>#N/A N/A</v>
        <stp/>
        <stp>BDH|17617578305079284512</stp>
        <tr r="D48" s="4"/>
      </tp>
      <tp t="s">
        <v>#N/A N/A</v>
        <stp/>
        <stp>BDH|11545620463088449771</stp>
        <tr r="E38" s="3"/>
      </tp>
      <tp t="s">
        <v>#N/A N/A</v>
        <stp/>
        <stp>BDH|11275836964443128220</stp>
        <tr r="J58" s="4"/>
      </tp>
      <tp t="s">
        <v>#N/A N/A</v>
        <stp/>
        <stp>BDH|15062041170288124432</stp>
        <tr r="F19" s="3"/>
      </tp>
      <tp t="s">
        <v>#N/A N/A</v>
        <stp/>
        <stp>BDH|12951499943764332891</stp>
        <tr r="F28" s="3"/>
      </tp>
      <tp t="s">
        <v>#N/A N/A</v>
        <stp/>
        <stp>BDH|17803843564550836796</stp>
        <tr r="L41" s="5"/>
      </tp>
      <tp t="s">
        <v>#N/A N/A</v>
        <stp/>
        <stp>BDH|13507842246380414191</stp>
        <tr r="G43" s="4"/>
      </tp>
      <tp t="s">
        <v>#N/A N/A</v>
        <stp/>
        <stp>BDH|11026388881325451106</stp>
        <tr r="D20" s="4"/>
      </tp>
      <tp t="s">
        <v>#N/A N/A</v>
        <stp/>
        <stp>BDH|12801816232306354156</stp>
        <tr r="H85" s="4"/>
      </tp>
      <tp t="s">
        <v>#N/A N/A</v>
        <stp/>
        <stp>BDH|13586059999773477704</stp>
        <tr r="D16" s="3"/>
      </tp>
      <tp t="s">
        <v>#N/A N/A</v>
        <stp/>
        <stp>BDH|18410185855653591100</stp>
        <tr r="C8" s="3"/>
      </tp>
      <tp t="s">
        <v>#N/A N/A</v>
        <stp/>
        <stp>BDH|15375568626465672996</stp>
        <tr r="F90" s="4"/>
      </tp>
      <tp t="s">
        <v>#N/A N/A</v>
        <stp/>
        <stp>BDH|17946447898693193784</stp>
        <tr r="E68" s="3"/>
      </tp>
      <tp t="s">
        <v>#N/A N/A</v>
        <stp/>
        <stp>BDH|12374928788214512901</stp>
        <tr r="F71" s="4"/>
      </tp>
      <tp t="s">
        <v>#N/A N/A</v>
        <stp/>
        <stp>BDH|14265515570938960061</stp>
        <tr r="J45" s="4"/>
      </tp>
      <tp t="s">
        <v>#N/A N/A</v>
        <stp/>
        <stp>BDH|10338784887793280224</stp>
        <tr r="F38" s="3"/>
      </tp>
      <tp t="s">
        <v>#N/A N/A</v>
        <stp/>
        <stp>BDH|16218869317064930569</stp>
        <tr r="G47" s="4"/>
      </tp>
      <tp t="s">
        <v>#N/A N/A</v>
        <stp/>
        <stp>BDH|12606480892842445377</stp>
        <tr r="L8" s="5"/>
      </tp>
      <tp t="s">
        <v>#N/A N/A</v>
        <stp/>
        <stp>BDH|10028743997127989758</stp>
        <tr r="H31" s="3"/>
      </tp>
      <tp t="s">
        <v>#N/A N/A</v>
        <stp/>
        <stp>BDH|12769997652020164020</stp>
        <tr r="H29" s="4"/>
      </tp>
      <tp t="s">
        <v>#N/A N/A</v>
        <stp/>
        <stp>BDH|16987767298160856611</stp>
        <tr r="G64" s="3"/>
      </tp>
      <tp t="s">
        <v>#N/A N/A</v>
        <stp/>
        <stp>BDH|16915177203318711141</stp>
        <tr r="F42" s="5"/>
      </tp>
      <tp t="s">
        <v>#N/A N/A</v>
        <stp/>
        <stp>BDH|13211776885251438257</stp>
        <tr r="I67" s="3"/>
      </tp>
      <tp t="s">
        <v>#N/A N/A</v>
        <stp/>
        <stp>BDH|15324050467548163410</stp>
        <tr r="J20" s="3"/>
      </tp>
      <tp t="s">
        <v>#N/A N/A</v>
        <stp/>
        <stp>BDH|17904085972706308914</stp>
        <tr r="J29" s="3"/>
      </tp>
      <tp t="s">
        <v>#N/A N/A</v>
        <stp/>
        <stp>BDH|12601807211350476439</stp>
        <tr r="I28" s="3"/>
      </tp>
      <tp t="s">
        <v>#N/A N/A</v>
        <stp/>
        <stp>BDH|11227884416112545590</stp>
        <tr r="C57" s="5"/>
      </tp>
      <tp t="s">
        <v>#N/A N/A</v>
        <stp/>
        <stp>BDH|16418343257226338940</stp>
        <tr r="F15" s="5"/>
      </tp>
      <tp t="s">
        <v>#N/A N/A</v>
        <stp/>
        <stp>BDH|11447480340197995959</stp>
        <tr r="K51" s="4"/>
      </tp>
      <tp t="s">
        <v>#N/A N/A</v>
        <stp/>
        <stp>BDH|11456317802805434800</stp>
        <tr r="J69" s="3"/>
      </tp>
      <tp t="s">
        <v>#N/A N/A</v>
        <stp/>
        <stp>BDH|11172822941234703667</stp>
        <tr r="D74" s="4"/>
      </tp>
      <tp t="s">
        <v>#N/A N/A</v>
        <stp/>
        <stp>BDH|12443341748622232897</stp>
        <tr r="D54" s="5"/>
      </tp>
      <tp t="s">
        <v>#N/A N/A</v>
        <stp/>
        <stp>BDH|18279158960270138043</stp>
        <tr r="G13" s="3"/>
      </tp>
      <tp t="s">
        <v>#N/A N/A</v>
        <stp/>
        <stp>BDH|11333624162746233840</stp>
        <tr r="D54" s="3"/>
      </tp>
      <tp t="s">
        <v>#N/A N/A</v>
        <stp/>
        <stp>BDH|12981769228351612942</stp>
        <tr r="F46" s="5"/>
      </tp>
      <tp t="s">
        <v>#N/A N/A</v>
        <stp/>
        <stp>BDH|17365180380176802778</stp>
        <tr r="G47" s="5"/>
      </tp>
      <tp t="s">
        <v>#N/A N/A</v>
        <stp/>
        <stp>BDH|16145823490180174862</stp>
        <tr r="H74" s="4"/>
      </tp>
      <tp t="s">
        <v>#N/A N/A</v>
        <stp/>
        <stp>BDH|15164828936989846894</stp>
        <tr r="G16" s="4"/>
      </tp>
      <tp t="s">
        <v>#N/A N/A</v>
        <stp/>
        <stp>BDH|15071927307011571241</stp>
        <tr r="J53" s="4"/>
      </tp>
      <tp t="s">
        <v>#N/A N/A</v>
        <stp/>
        <stp>BDH|11084722474229935781</stp>
        <tr r="L75" s="4"/>
      </tp>
      <tp t="s">
        <v>#N/A N/A</v>
        <stp/>
        <stp>BDH|15434226788248016898</stp>
        <tr r="D33" s="4"/>
      </tp>
      <tp t="s">
        <v>#N/A N/A</v>
        <stp/>
        <stp>BDH|16404202997143001141</stp>
        <tr r="I50" s="4"/>
      </tp>
      <tp t="s">
        <v>#N/A N/A</v>
        <stp/>
        <stp>BDH|17936902937512939006</stp>
        <tr r="H56" s="3"/>
      </tp>
      <tp t="s">
        <v>#N/A N/A</v>
        <stp/>
        <stp>BDH|15491088720838385084</stp>
        <tr r="F78" s="4"/>
      </tp>
      <tp t="s">
        <v>#N/A N/A</v>
        <stp/>
        <stp>BDH|13277050444630332898</stp>
        <tr r="G51" s="3"/>
      </tp>
      <tp t="s">
        <v>#N/A N/A</v>
        <stp/>
        <stp>BDH|10273847158102476029</stp>
        <tr r="G71" s="3"/>
      </tp>
      <tp t="s">
        <v>#N/A N/A</v>
        <stp/>
        <stp>BDH|13404243498916806185</stp>
        <tr r="F16" s="3"/>
      </tp>
      <tp t="s">
        <v>#N/A N/A</v>
        <stp/>
        <stp>BDH|10146302390301134484</stp>
        <tr r="J9" s="2"/>
      </tp>
      <tp t="s">
        <v>#N/A N/A</v>
        <stp/>
        <stp>BDH|17012637557508896348</stp>
        <tr r="F23" s="5"/>
      </tp>
      <tp t="s">
        <v>#N/A N/A</v>
        <stp/>
        <stp>BDH|15268313088276567766</stp>
        <tr r="C40" s="4"/>
      </tp>
      <tp t="s">
        <v>#N/A N/A</v>
        <stp/>
        <stp>BDH|14389040249927489812</stp>
        <tr r="C11" s="4"/>
      </tp>
      <tp t="s">
        <v>#N/A N/A</v>
        <stp/>
        <stp>BDH|13603700401808475384</stp>
        <tr r="G22" s="4"/>
      </tp>
      <tp t="s">
        <v>#N/A N/A</v>
        <stp/>
        <stp>BDH|10564029279180424814</stp>
        <tr r="C73" s="4"/>
      </tp>
      <tp t="s">
        <v>#N/A N/A</v>
        <stp/>
        <stp>BDH|15976660551408045159</stp>
        <tr r="L51" s="4"/>
      </tp>
      <tp t="s">
        <v>#N/A N/A</v>
        <stp/>
        <stp>BDH|15347314696593993375</stp>
        <tr r="J13" s="4"/>
      </tp>
      <tp t="s">
        <v>#N/A N/A</v>
        <stp/>
        <stp>BDH|10384480393320434267</stp>
        <tr r="I84" s="4"/>
      </tp>
      <tp t="s">
        <v>#N/A N/A</v>
        <stp/>
        <stp>BDH|11356825138356162324</stp>
        <tr r="L15" s="4"/>
      </tp>
      <tp t="s">
        <v>#N/A N/A</v>
        <stp/>
        <stp>BDH|10452114023104831845</stp>
        <tr r="H9" s="2"/>
      </tp>
      <tp t="s">
        <v>#N/A N/A</v>
        <stp/>
        <stp>BDH|14365915311485981674</stp>
        <tr r="J40" s="3"/>
      </tp>
      <tp t="s">
        <v>#N/A N/A</v>
        <stp/>
        <stp>BDH|15769330709019784073</stp>
        <tr r="F49" s="4"/>
      </tp>
      <tp t="s">
        <v>#N/A N/A</v>
        <stp/>
        <stp>BDH|17952263387687185553</stp>
        <tr r="C72" s="3"/>
      </tp>
      <tp t="s">
        <v>#N/A N/A</v>
        <stp/>
        <stp>BDH|16152623310558953668</stp>
        <tr r="C48" s="5"/>
      </tp>
      <tp t="s">
        <v>#N/A N/A</v>
        <stp/>
        <stp>BDH|10984808376501615157</stp>
        <tr r="D46" s="4"/>
      </tp>
      <tp t="s">
        <v>#N/A N/A</v>
        <stp/>
        <stp>BDH|17460235535671769895</stp>
        <tr r="J37" s="4"/>
      </tp>
      <tp t="s">
        <v>#N/A N/A</v>
        <stp/>
        <stp>BDH|13273091582842510633</stp>
        <tr r="G59" s="4"/>
      </tp>
      <tp t="s">
        <v>#N/A N/A</v>
        <stp/>
        <stp>BDH|10277100969758375073</stp>
        <tr r="D34" s="3"/>
      </tp>
      <tp t="s">
        <v>#N/A N/A</v>
        <stp/>
        <stp>BDH|11303938125387222291</stp>
        <tr r="J43" s="3"/>
      </tp>
      <tp t="s">
        <v>#N/A N/A</v>
        <stp/>
        <stp>BDH|18079669161731929606</stp>
        <tr r="F86" s="4"/>
      </tp>
      <tp t="s">
        <v>#N/A N/A</v>
        <stp/>
        <stp>BDH|11101181221084178975</stp>
        <tr r="J86" s="4"/>
      </tp>
      <tp t="s">
        <v>#N/A N/A</v>
        <stp/>
        <stp>BDH|10552016247170524873</stp>
        <tr r="K8" s="5"/>
      </tp>
      <tp t="s">
        <v>#N/A N/A</v>
        <stp/>
        <stp>BDH|11616933445239148905</stp>
        <tr r="D62" s="5"/>
      </tp>
      <tp t="s">
        <v>#N/A N/A</v>
        <stp/>
        <stp>BDH|10245451836633577852</stp>
        <tr r="G58" s="4"/>
      </tp>
      <tp t="s">
        <v>#N/A N/A</v>
        <stp/>
        <stp>BDH|11932622848497512867</stp>
        <tr r="D22" s="4"/>
      </tp>
      <tp t="s">
        <v>#N/A N/A</v>
        <stp/>
        <stp>BDH|13357189933555951828</stp>
        <tr r="E47" s="4"/>
      </tp>
      <tp t="s">
        <v>#N/A N/A</v>
        <stp/>
        <stp>BDH|14655048123148249263</stp>
        <tr r="I15" s="3"/>
      </tp>
      <tp t="s">
        <v>#N/A N/A</v>
        <stp/>
        <stp>BDH|12731434319743044888</stp>
        <tr r="K29" s="4"/>
      </tp>
      <tp t="s">
        <v>#N/A N/A</v>
        <stp/>
        <stp>BDH|17003891537503935325</stp>
        <tr r="C30" s="5"/>
      </tp>
      <tp t="s">
        <v>#N/A N/A</v>
        <stp/>
        <stp>BDH|16387843058325246289</stp>
        <tr r="F58" s="4"/>
      </tp>
      <tp t="s">
        <v>#N/A N/A</v>
        <stp/>
        <stp>BDH|12361004836744072919</stp>
        <tr r="D56" s="3"/>
      </tp>
      <tp t="s">
        <v>#N/A N/A</v>
        <stp/>
        <stp>BDH|11454529956288309577</stp>
        <tr r="L41" s="4"/>
      </tp>
      <tp t="s">
        <v>#N/A N/A</v>
        <stp/>
        <stp>BDH|12127350102544100939</stp>
        <tr r="C47" s="3"/>
        <tr r="C35" s="3"/>
      </tp>
      <tp t="s">
        <v>#N/A N/A</v>
        <stp/>
        <stp>BDH|11869554403099278189</stp>
        <tr r="C22" s="4"/>
      </tp>
      <tp t="s">
        <v>#N/A N/A</v>
        <stp/>
        <stp>BDH|10644276761460368874</stp>
        <tr r="K24" s="5"/>
      </tp>
      <tp t="s">
        <v>#N/A N/A</v>
        <stp/>
        <stp>BDH|16742054491065600614</stp>
        <tr r="D13" s="3"/>
      </tp>
      <tp t="s">
        <v>#N/A N/A</v>
        <stp/>
        <stp>BDH|17347390116508937129</stp>
        <tr r="G9" s="3"/>
      </tp>
      <tp t="s">
        <v>#N/A N/A</v>
        <stp/>
        <stp>BDH|14766446481996127249</stp>
        <tr r="J51" s="4"/>
      </tp>
      <tp t="s">
        <v>#N/A N/A</v>
        <stp/>
        <stp>BDH|12734135192043919583</stp>
        <tr r="D31" s="3"/>
      </tp>
      <tp t="s">
        <v>#N/A N/A</v>
        <stp/>
        <stp>BDH|10532261802896117890</stp>
        <tr r="K63" s="5"/>
        <tr r="I25" s="2"/>
      </tp>
      <tp t="s">
        <v>#N/A N/A</v>
        <stp/>
        <stp>BDH|15174005682619354899</stp>
        <tr r="E9" s="5"/>
      </tp>
      <tp t="s">
        <v>#N/A N/A</v>
        <stp/>
        <stp>BDH|16574495925878430450</stp>
        <tr r="H50" s="4"/>
      </tp>
      <tp t="s">
        <v>#N/A N/A</v>
        <stp/>
        <stp>BDH|16766958465902778788</stp>
        <tr r="E59" s="4"/>
      </tp>
      <tp t="s">
        <v>#N/A N/A</v>
        <stp/>
        <stp>BDH|13965819800640461772</stp>
        <tr r="E32" s="5"/>
      </tp>
      <tp t="s">
        <v>#N/A N/A</v>
        <stp/>
        <stp>BDH|10484431767387250992</stp>
        <tr r="G11" s="5"/>
      </tp>
      <tp t="s">
        <v>#N/A N/A</v>
        <stp/>
        <stp>BDH|13776030818988248656</stp>
        <tr r="K36" s="5"/>
      </tp>
      <tp t="s">
        <v>#N/A N/A</v>
        <stp/>
        <stp>BDH|10891732090040369224</stp>
        <tr r="K65" s="5"/>
      </tp>
      <tp t="s">
        <v>#N/A N/A</v>
        <stp/>
        <stp>BDH|11981539285245138549</stp>
        <tr r="E42" s="3"/>
      </tp>
      <tp t="s">
        <v>#N/A N/A</v>
        <stp/>
        <stp>BDH|11941949716137362224</stp>
        <tr r="G8" s="5"/>
      </tp>
      <tp t="s">
        <v>#N/A N/A</v>
        <stp/>
        <stp>BDH|13607342476489813264</stp>
        <tr r="G41" s="5"/>
      </tp>
      <tp t="s">
        <v>#N/A N/A</v>
        <stp/>
        <stp>BDH|11183995007485625140</stp>
        <tr r="J71" s="3"/>
      </tp>
      <tp t="s">
        <v>#N/A N/A</v>
        <stp/>
        <stp>BDH|11118148558100694969</stp>
        <tr r="J60" s="4"/>
      </tp>
      <tp t="s">
        <v>#N/A N/A</v>
        <stp/>
        <stp>BDH|12259925880708505795</stp>
        <tr r="D17" s="5"/>
      </tp>
      <tp t="s">
        <v>#N/A N/A</v>
        <stp/>
        <stp>BDH|12998352313498005438</stp>
        <tr r="C6" s="2"/>
      </tp>
      <tp t="s">
        <v>#N/A N/A</v>
        <stp/>
        <stp>BDH|18396150598954329828</stp>
        <tr r="I14" s="4"/>
      </tp>
      <tp t="s">
        <v>#N/A N/A</v>
        <stp/>
        <stp>BDH|11342456999467799771</stp>
        <tr r="F64" s="4"/>
      </tp>
      <tp t="s">
        <v>#N/A N/A</v>
        <stp/>
        <stp>BDH|17861310086753280327</stp>
        <tr r="E10" s="4"/>
      </tp>
      <tp t="s">
        <v>#N/A N/A</v>
        <stp/>
        <stp>BDH|10372393595596391035</stp>
        <tr r="F47" s="4"/>
      </tp>
      <tp t="s">
        <v>#N/A N/A</v>
        <stp/>
        <stp>BDH|10035293293624513319</stp>
        <tr r="C84" s="4"/>
      </tp>
      <tp t="s">
        <v>#N/A N/A</v>
        <stp/>
        <stp>BDH|15614789243898210217</stp>
        <tr r="F23" s="4"/>
      </tp>
      <tp t="s">
        <v>#N/A N/A</v>
        <stp/>
        <stp>BDH|12132858804362687485</stp>
        <tr r="G66" s="5"/>
      </tp>
      <tp t="s">
        <v>#N/A N/A</v>
        <stp/>
        <stp>BDH|17232371890646660621</stp>
        <tr r="E27" s="3"/>
      </tp>
      <tp t="s">
        <v>#N/A N/A</v>
        <stp/>
        <stp>BDH|16575747031568772761</stp>
        <tr r="E25" s="4"/>
      </tp>
      <tp t="s">
        <v>#N/A N/A</v>
        <stp/>
        <stp>BDH|15836533816879581597</stp>
        <tr r="K21" s="4"/>
      </tp>
      <tp t="s">
        <v>#N/A N/A</v>
        <stp/>
        <stp>BDH|17963008707893937979</stp>
        <tr r="J16" s="5"/>
      </tp>
      <tp t="s">
        <v>#N/A N/A</v>
        <stp/>
        <stp>BDH|12230254327788316732</stp>
        <tr r="L76" s="4"/>
      </tp>
      <tp t="s">
        <v>#N/A N/A</v>
        <stp/>
        <stp>BDH|11279973955886519667</stp>
        <tr r="G36" s="5"/>
      </tp>
      <tp t="s">
        <v>#N/A N/A</v>
        <stp/>
        <stp>BDH|13579768190302474245</stp>
        <tr r="F46" s="4"/>
      </tp>
      <tp t="s">
        <v>#N/A N/A</v>
        <stp/>
        <stp>BDH|14473865654051411516</stp>
        <tr r="H52" s="5"/>
      </tp>
      <tp t="s">
        <v>#N/A N/A</v>
        <stp/>
        <stp>BDH|11462178291116233239</stp>
        <tr r="G40" s="4"/>
      </tp>
      <tp t="s">
        <v>#N/A N/A</v>
        <stp/>
        <stp>BDH|11053528073468646657</stp>
        <tr r="L12" s="5"/>
      </tp>
      <tp t="s">
        <v>#N/A N/A</v>
        <stp/>
        <stp>BDH|14597633474309691169</stp>
        <tr r="D38" s="4"/>
      </tp>
      <tp t="s">
        <v>#N/A N/A</v>
        <stp/>
        <stp>BDH|12473843826667273266</stp>
        <tr r="H24" s="3"/>
      </tp>
      <tp t="s">
        <v>#N/A N/A</v>
        <stp/>
        <stp>BDH|13716944041880241329</stp>
        <tr r="L45" s="5"/>
      </tp>
      <tp t="s">
        <v>#N/A N/A</v>
        <stp/>
        <stp>BDH|11070860673762574158</stp>
        <tr r="H12" s="4"/>
      </tp>
      <tp t="s">
        <v>#N/A N/A</v>
        <stp/>
        <stp>BDH|18124721134107183639</stp>
        <tr r="J47" s="4"/>
      </tp>
      <tp t="s">
        <v>#N/A N/A</v>
        <stp/>
        <stp>BDH|16804363027409831346</stp>
        <tr r="E17" s="5"/>
      </tp>
      <tp t="s">
        <v>#N/A N/A</v>
        <stp/>
        <stp>BDH|12847905032546910364</stp>
        <tr r="L56" s="4"/>
      </tp>
      <tp t="s">
        <v>#N/A N/A</v>
        <stp/>
        <stp>BDH|15454404592296353306</stp>
        <tr r="F10" s="3"/>
      </tp>
      <tp t="s">
        <v>#N/A N/A</v>
        <stp/>
        <stp>BDH|13708941107911856699</stp>
        <tr r="K11" s="4"/>
      </tp>
      <tp t="s">
        <v>#N/A N/A</v>
        <stp/>
        <stp>BDH|11738728029808993112</stp>
        <tr r="D21" s="3"/>
      </tp>
      <tp t="s">
        <v>#N/A N/A</v>
        <stp/>
        <stp>BDH|17491406986573410528</stp>
        <tr r="C41" s="3"/>
      </tp>
      <tp t="s">
        <v>#N/A N/A</v>
        <stp/>
        <stp>BDH|17749593068369011026</stp>
        <tr r="K47" s="5"/>
      </tp>
      <tp t="s">
        <v>#N/A N/A</v>
        <stp/>
        <stp>BDH|15829113990479458991</stp>
        <tr r="I10" s="4"/>
      </tp>
      <tp t="s">
        <v>#N/A N/A</v>
        <stp/>
        <stp>BDH|17291440877170460925</stp>
        <tr r="K57" s="5"/>
      </tp>
      <tp t="s">
        <v>#N/A N/A</v>
        <stp/>
        <stp>BDH|11675818730365551254</stp>
        <tr r="H51" s="4"/>
      </tp>
      <tp t="s">
        <v>#N/A N/A</v>
        <stp/>
        <stp>BDH|12392661185559692812</stp>
        <tr r="D36" s="5"/>
      </tp>
      <tp t="s">
        <v>#N/A N/A</v>
        <stp/>
        <stp>BDH|14733775067930332824</stp>
        <tr r="E66" s="3"/>
      </tp>
      <tp t="s">
        <v>#N/A N/A</v>
        <stp/>
        <stp>BDH|16980650493070168483</stp>
        <tr r="J10" s="3"/>
      </tp>
      <tp t="s">
        <v>#N/A N/A</v>
        <stp/>
        <stp>BDH|17177863135147000648</stp>
        <tr r="G60" s="5"/>
      </tp>
      <tp t="s">
        <v>#N/A N/A</v>
        <stp/>
        <stp>BDH|13730693298315216424</stp>
        <tr r="K56" s="5"/>
      </tp>
      <tp t="s">
        <v>#N/A N/A</v>
        <stp/>
        <stp>BDH|14207003434402519853</stp>
        <tr r="H90" s="4"/>
      </tp>
      <tp t="s">
        <v>#N/A N/A</v>
        <stp/>
        <stp>BDH|16079901756412758572</stp>
        <tr r="L90" s="4"/>
      </tp>
      <tp t="s">
        <v>#N/A N/A</v>
        <stp/>
        <stp>BDH|12216430368764289930</stp>
        <tr r="I49" s="3"/>
      </tp>
      <tp t="s">
        <v>#N/A N/A</v>
        <stp/>
        <stp>BDH|12553560392175122684</stp>
        <tr r="G63" s="3"/>
      </tp>
      <tp t="s">
        <v>#N/A N/A</v>
        <stp/>
        <stp>BDH|10643388727905023917</stp>
        <tr r="D47" s="5"/>
      </tp>
      <tp t="s">
        <v>#N/A N/A</v>
        <stp/>
        <stp>BDH|16273806274560934477</stp>
        <tr r="I43" s="4"/>
      </tp>
      <tp t="s">
        <v>#N/A N/A</v>
        <stp/>
        <stp>BDH|18028579374912325585</stp>
        <tr r="H57" s="4"/>
      </tp>
      <tp t="s">
        <v>#N/A N/A</v>
        <stp/>
        <stp>BDH|11942509989827378689</stp>
        <tr r="F75" s="4"/>
      </tp>
      <tp t="s">
        <v>#N/A N/A</v>
        <stp/>
        <stp>BDH|15965505571188448278</stp>
        <tr r="H52" s="4"/>
      </tp>
      <tp t="s">
        <v>#N/A N/A</v>
        <stp/>
        <stp>BDH|18175245283439586680</stp>
        <tr r="G54" s="5"/>
      </tp>
      <tp t="s">
        <v>#N/A N/A</v>
        <stp/>
        <stp>BDH|12673826244710944327</stp>
        <tr r="K18" s="5"/>
        <tr r="I23" s="2"/>
      </tp>
      <tp t="s">
        <v>#N/A N/A</v>
        <stp/>
        <stp>BDH|16175165162919709589</stp>
        <tr r="F82" s="4"/>
      </tp>
      <tp t="s">
        <v>#N/A N/A</v>
        <stp/>
        <stp>BDH|11322379402327976858</stp>
        <tr r="D33" s="5"/>
      </tp>
      <tp t="s">
        <v>#N/A N/A</v>
        <stp/>
        <stp>BDH|11812532870437844995</stp>
        <tr r="I7" s="2"/>
      </tp>
      <tp t="s">
        <v>#N/A N/A</v>
        <stp/>
        <stp>BDH|17707828603130318287</stp>
        <tr r="E27" s="5"/>
      </tp>
      <tp t="s">
        <v>#N/A N/A</v>
        <stp/>
        <stp>BDH|12995309788837438390</stp>
        <tr r="J78" s="4"/>
      </tp>
      <tp t="s">
        <v>#N/A N/A</v>
        <stp/>
        <stp>BDH|11724057523828989647</stp>
        <tr r="E66" s="5"/>
      </tp>
      <tp t="s">
        <v>#N/A N/A</v>
        <stp/>
        <stp>BDH|15717349318882613811</stp>
        <tr r="E67" s="3"/>
      </tp>
      <tp t="s">
        <v>#N/A N/A</v>
        <stp/>
        <stp>BDH|10659509758264616971</stp>
        <tr r="E26" s="5"/>
      </tp>
      <tp t="s">
        <v>#N/A N/A</v>
        <stp/>
        <stp>BDH|18338963198612308716</stp>
        <tr r="I76" s="4"/>
      </tp>
      <tp t="s">
        <v>#N/A N/A</v>
        <stp/>
        <stp>BDH|18056191051439036877</stp>
        <tr r="K42" s="4"/>
      </tp>
      <tp t="s">
        <v>#N/A N/A</v>
        <stp/>
        <stp>BDH|12274118387001819725</stp>
        <tr r="F11" s="3"/>
        <tr r="F14" s="2"/>
      </tp>
      <tp t="s">
        <v>#N/A N/A</v>
        <stp/>
        <stp>BDH|18191146339722601547</stp>
        <tr r="L74" s="4"/>
      </tp>
      <tp t="s">
        <v>#N/A N/A</v>
        <stp/>
        <stp>BDH|10737986475494023742</stp>
        <tr r="E39" s="3"/>
      </tp>
      <tp t="s">
        <v>#N/A N/A</v>
        <stp/>
        <stp>BDH|10976676452252915349</stp>
        <tr r="J22" s="5"/>
      </tp>
      <tp t="s">
        <v>#N/A N/A</v>
        <stp/>
        <stp>BDH|15175028620387632243</stp>
        <tr r="I42" s="3"/>
      </tp>
      <tp t="s">
        <v>#N/A N/A</v>
        <stp/>
        <stp>BDH|11781520395107071812</stp>
        <tr r="C25" s="4"/>
      </tp>
      <tp t="s">
        <v>#N/A N/A</v>
        <stp/>
        <stp>BDH|17663254655121356345</stp>
        <tr r="J14" s="5"/>
      </tp>
      <tp t="s">
        <v>#N/A N/A</v>
        <stp/>
        <stp>BDH|13618862993554005427</stp>
        <tr r="K73" s="4"/>
      </tp>
      <tp t="s">
        <v>#N/A N/A</v>
        <stp/>
        <stp>BDH|15124132057541041240</stp>
        <tr r="L57" s="5"/>
      </tp>
      <tp t="s">
        <v>#N/A N/A</v>
        <stp/>
        <stp>BDH|15640276158567148793</stp>
        <tr r="G24" s="4"/>
      </tp>
      <tp t="s">
        <v>#N/A N/A</v>
        <stp/>
        <stp>BDH|16684944883016693365</stp>
        <tr r="D21" s="5"/>
      </tp>
      <tp t="s">
        <v>#N/A N/A</v>
        <stp/>
        <stp>BDH|12960187517113530326</stp>
        <tr r="K33" s="5"/>
      </tp>
      <tp t="s">
        <v>#N/A N/A</v>
        <stp/>
        <stp>BDH|17193642160413627632</stp>
        <tr r="D25" s="3"/>
      </tp>
      <tp t="s">
        <v>#N/A N/A</v>
        <stp/>
        <stp>BDH|15202009047493635030</stp>
        <tr r="J59" s="4"/>
      </tp>
      <tp t="s">
        <v>#N/A N/A</v>
        <stp/>
        <stp>BDH|13649434897209597579</stp>
        <tr r="I40" s="3"/>
      </tp>
      <tp t="s">
        <v>#N/A N/A</v>
        <stp/>
        <stp>BDH|14253470486779410372</stp>
        <tr r="H9" s="3"/>
      </tp>
      <tp t="s">
        <v>#N/A N/A</v>
        <stp/>
        <stp>BDH|17000495957057756390</stp>
        <tr r="H24" s="2"/>
      </tp>
      <tp t="s">
        <v>#N/A N/A</v>
        <stp/>
        <stp>BDH|10768852145097501924</stp>
        <tr r="H7" s="4"/>
      </tp>
      <tp t="s">
        <v>#N/A N/A</v>
        <stp/>
        <stp>BDH|17712340317704490309</stp>
        <tr r="D35" s="5"/>
      </tp>
      <tp t="s">
        <v>#N/A N/A</v>
        <stp/>
        <stp>BDH|17336675413271572318</stp>
        <tr r="D37" s="4"/>
      </tp>
      <tp t="s">
        <v>#N/A N/A</v>
        <stp/>
        <stp>BDH|10261406365960548006</stp>
        <tr r="D70" s="3"/>
      </tp>
      <tp t="s">
        <v>#N/A N/A</v>
        <stp/>
        <stp>BDH|14680331857118984899</stp>
        <tr r="F16" s="5"/>
      </tp>
      <tp t="s">
        <v>#N/A N/A</v>
        <stp/>
        <stp>BDH|14935857408547576935</stp>
        <tr r="F77" s="4"/>
      </tp>
      <tp t="s">
        <v>#N/A N/A</v>
        <stp/>
        <stp>BDH|10656522090369554730</stp>
        <tr r="G45" s="5"/>
      </tp>
      <tp t="s">
        <v>#N/A N/A</v>
        <stp/>
        <stp>BDH|10993287347795386174</stp>
        <tr r="C65" s="4"/>
      </tp>
      <tp t="s">
        <v>#N/A N/A</v>
        <stp/>
        <stp>BDH|14078069966143728326</stp>
        <tr r="I73" s="4"/>
      </tp>
      <tp t="s">
        <v>#N/A N/A</v>
        <stp/>
        <stp>BDH|10828894870074179955</stp>
        <tr r="K59" s="4"/>
      </tp>
      <tp t="s">
        <v>#N/A N/A</v>
        <stp/>
        <stp>BDH|11799105504662041074</stp>
        <tr r="C19" s="4"/>
      </tp>
      <tp t="s">
        <v>#N/A N/A</v>
        <stp/>
        <stp>BDH|12970232961523898770</stp>
        <tr r="H8" s="5"/>
      </tp>
      <tp t="s">
        <v>#N/A N/A</v>
        <stp/>
        <stp>BDH|16920702638776485617</stp>
        <tr r="J26" s="3"/>
      </tp>
      <tp t="s">
        <v>#N/A N/A</v>
        <stp/>
        <stp>BDH|12421751100436570103</stp>
        <tr r="F48" s="4"/>
      </tp>
      <tp t="s">
        <v>#N/A N/A</v>
        <stp/>
        <stp>BDH|16140326361075400423</stp>
        <tr r="F74" s="4"/>
      </tp>
      <tp t="s">
        <v>#N/A N/A</v>
        <stp/>
        <stp>BDH|10544688602851805535</stp>
        <tr r="F30" s="3"/>
      </tp>
      <tp t="s">
        <v>#N/A N/A</v>
        <stp/>
        <stp>BDH|17825821139088138660</stp>
        <tr r="G26" s="3"/>
      </tp>
      <tp t="s">
        <v>#N/A N/A</v>
        <stp/>
        <stp>BDH|13330397329748072870</stp>
        <tr r="K36" s="4"/>
      </tp>
      <tp t="s">
        <v>#N/A N/A</v>
        <stp/>
        <stp>BDH|11779678316607844392</stp>
        <tr r="I43" s="5"/>
      </tp>
      <tp t="s">
        <v>#N/A N/A</v>
        <stp/>
        <stp>BDH|12860374147346769184</stp>
        <tr r="H63" s="4"/>
      </tp>
      <tp t="s">
        <v>#N/A N/A</v>
        <stp/>
        <stp>BDH|12976816794047971627</stp>
        <tr r="H23" s="4"/>
      </tp>
      <tp t="s">
        <v>#N/A N/A</v>
        <stp/>
        <stp>BDH|17807299157870503247</stp>
        <tr r="F87" s="4"/>
      </tp>
      <tp t="s">
        <v>#N/A N/A</v>
        <stp/>
        <stp>BDH|16326249961019704972</stp>
        <tr r="E11" s="4"/>
      </tp>
      <tp t="s">
        <v>#N/A N/A</v>
        <stp/>
        <stp>BDH|11107673522914062321</stp>
        <tr r="D31" s="5"/>
      </tp>
      <tp t="s">
        <v>#N/A N/A</v>
        <stp/>
        <stp>BDH|15588852259268022207</stp>
        <tr r="D10" s="2"/>
      </tp>
      <tp t="s">
        <v>#N/A N/A</v>
        <stp/>
        <stp>BDH|18091262820992956861</stp>
        <tr r="K10" s="5"/>
      </tp>
      <tp t="s">
        <v>#N/A N/A</v>
        <stp/>
        <stp>BDH|12943765966460982184</stp>
        <tr r="I14" s="3"/>
      </tp>
      <tp t="s">
        <v>#N/A N/A</v>
        <stp/>
        <stp>BDH|17028705463875988124</stp>
        <tr r="D9" s="3"/>
      </tp>
      <tp t="s">
        <v>#N/A N/A</v>
        <stp/>
        <stp>BDH|15684992773880751936</stp>
        <tr r="F25" s="5"/>
      </tp>
      <tp t="s">
        <v>#N/A N/A</v>
        <stp/>
        <stp>BDH|12806510084125110840</stp>
        <tr r="K22" s="4"/>
      </tp>
      <tp t="s">
        <v>#N/A N/A</v>
        <stp/>
        <stp>BDH|15867035562434243501</stp>
        <tr r="D65" s="3"/>
      </tp>
      <tp t="s">
        <v>#N/A N/A</v>
        <stp/>
        <stp>BDH|14168319235780903678</stp>
        <tr r="H39" s="3"/>
      </tp>
      <tp t="s">
        <v>#N/A N/A</v>
        <stp/>
        <stp>BDH|14730949995446570097</stp>
        <tr r="G7" s="3"/>
      </tp>
      <tp t="s">
        <v>#N/A N/A</v>
        <stp/>
        <stp>BDH|14834037460899147906</stp>
        <tr r="E12" s="3"/>
      </tp>
      <tp t="s">
        <v>#N/A N/A</v>
        <stp/>
        <stp>BDH|17734601808616635535</stp>
        <tr r="D47" s="4"/>
      </tp>
      <tp t="s">
        <v>#N/A N/A</v>
        <stp/>
        <stp>BDH|11300378875276388184</stp>
        <tr r="G67" s="4"/>
      </tp>
      <tp t="s">
        <v>#N/A N/A</v>
        <stp/>
        <stp>BDH|13144106968926275018</stp>
        <tr r="I53" s="4"/>
      </tp>
      <tp t="s">
        <v>#N/A N/A</v>
        <stp/>
        <stp>BDH|16014409664760101686</stp>
        <tr r="K11" s="5"/>
      </tp>
      <tp t="s">
        <v>#N/A N/A</v>
        <stp/>
        <stp>BDH|17243493182990634922</stp>
        <tr r="G9" s="4"/>
      </tp>
      <tp t="s">
        <v>#N/A N/A</v>
        <stp/>
        <stp>BDH|16048385627103146637</stp>
        <tr r="D63" s="5"/>
      </tp>
      <tp t="s">
        <v>#N/A N/A</v>
        <stp/>
        <stp>BDH|13350280072430111451</stp>
        <tr r="C15" s="5"/>
      </tp>
      <tp t="s">
        <v>#N/A N/A</v>
        <stp/>
        <stp>BDH|10103888045049226721</stp>
        <tr r="J10" s="4"/>
      </tp>
      <tp t="s">
        <v>#N/A N/A</v>
        <stp/>
        <stp>BDH|17012424478891730714</stp>
        <tr r="I30" s="3"/>
      </tp>
      <tp t="s">
        <v>#N/A N/A</v>
        <stp/>
        <stp>BDH|17457858218135509905</stp>
        <tr r="C66" s="3"/>
      </tp>
      <tp t="s">
        <v>#N/A N/A</v>
        <stp/>
        <stp>BDH|13143883433569366364</stp>
        <tr r="E13" s="2"/>
      </tp>
      <tp t="s">
        <v>#N/A N/A</v>
        <stp/>
        <stp>BDH|14112247098504420970</stp>
        <tr r="C26" s="4"/>
      </tp>
      <tp t="s">
        <v>#N/A N/A</v>
        <stp/>
        <stp>BDH|16498882335938626716</stp>
        <tr r="C37" s="4"/>
      </tp>
      <tp t="s">
        <v>#N/A N/A</v>
        <stp/>
        <stp>BDH|17264064146148785841</stp>
        <tr r="C10" s="3"/>
      </tp>
      <tp t="s">
        <v>#N/A N/A</v>
        <stp/>
        <stp>BDH|11856436066733492382</stp>
        <tr r="E6" s="3"/>
        <tr r="E12" s="2"/>
      </tp>
      <tp t="s">
        <v>#N/A N/A</v>
        <stp/>
        <stp>BDH|15584468776736382362</stp>
        <tr r="C65" s="5"/>
      </tp>
      <tp t="s">
        <v>#N/A N/A</v>
        <stp/>
        <stp>BDH|13585291298792084945</stp>
        <tr r="F15" s="4"/>
      </tp>
      <tp t="s">
        <v>#N/A N/A</v>
        <stp/>
        <stp>BDH|12104107321534213622</stp>
        <tr r="L42" s="4"/>
      </tp>
      <tp t="s">
        <v>#N/A N/A</v>
        <stp/>
        <stp>BDH|10958247746582837732</stp>
        <tr r="F73" s="4"/>
      </tp>
      <tp t="s">
        <v>#N/A N/A</v>
        <stp/>
        <stp>BDH|13096164335785357736</stp>
        <tr r="K38" s="4"/>
      </tp>
      <tp t="s">
        <v>#N/A N/A</v>
        <stp/>
        <stp>BDH|16341099371172146095</stp>
        <tr r="G24" s="3"/>
      </tp>
      <tp t="s">
        <v>#N/A N/A</v>
        <stp/>
        <stp>BDH|12403108178193692492</stp>
        <tr r="J12" s="5"/>
      </tp>
      <tp t="s">
        <v>#N/A N/A</v>
        <stp/>
        <stp>BDH|15587994093655557399</stp>
        <tr r="I61" s="3"/>
        <tr r="I16" s="2"/>
      </tp>
      <tp t="s">
        <v>#N/A N/A</v>
        <stp/>
        <stp>BDH|13463143350052557672</stp>
        <tr r="C78" s="4"/>
      </tp>
      <tp t="s">
        <v>#N/A N/A</v>
        <stp/>
        <stp>BDH|12507187368310071673</stp>
        <tr r="D61" s="3"/>
        <tr r="D16" s="2"/>
      </tp>
      <tp t="s">
        <v>#N/A N/A</v>
        <stp/>
        <stp>BDH|15187100010982142453</stp>
        <tr r="L67" s="5"/>
      </tp>
      <tp t="s">
        <v>#N/A N/A</v>
        <stp/>
        <stp>BDH|17895289973004655500</stp>
        <tr r="K54" s="4"/>
      </tp>
      <tp t="s">
        <v>#N/A N/A</v>
        <stp/>
        <stp>BDH|15184114165384211530</stp>
        <tr r="I75" s="4"/>
      </tp>
      <tp t="s">
        <v>#N/A N/A</v>
        <stp/>
        <stp>BDH|14022140373899717845</stp>
        <tr r="C50" s="3"/>
      </tp>
      <tp t="s">
        <v>#N/A N/A</v>
        <stp/>
        <stp>BDH|11520275012825119461</stp>
        <tr r="C13" s="4"/>
      </tp>
      <tp t="s">
        <v>#N/A N/A</v>
        <stp/>
        <stp>BDH|16553359377060050104</stp>
        <tr r="L22" s="5"/>
      </tp>
      <tp t="s">
        <v>#N/A N/A</v>
        <stp/>
        <stp>BDH|11872905484485363683</stp>
        <tr r="L14" s="4"/>
      </tp>
      <tp t="s">
        <v>#N/A N/A</v>
        <stp/>
        <stp>BDH|13863465149579750971</stp>
        <tr r="H42" s="3"/>
      </tp>
      <tp t="s">
        <v>#N/A N/A</v>
        <stp/>
        <stp>BDH|10595008178294248087</stp>
        <tr r="F7" s="3"/>
      </tp>
      <tp t="s">
        <v>#N/A N/A</v>
        <stp/>
        <stp>BDH|12086632575082694274</stp>
        <tr r="D9" s="4"/>
      </tp>
      <tp t="s">
        <v>#N/A N/A</v>
        <stp/>
        <stp>BDH|17291754241422615564</stp>
        <tr r="F28" s="5"/>
      </tp>
      <tp t="s">
        <v>#N/A N/A</v>
        <stp/>
        <stp>BDH|11242308966001183632</stp>
        <tr r="D50" s="3"/>
      </tp>
      <tp t="s">
        <v>#N/A N/A</v>
        <stp/>
        <stp>BDH|16535216043680822394</stp>
        <tr r="I34" s="5"/>
      </tp>
      <tp t="s">
        <v>#N/A N/A</v>
        <stp/>
        <stp>BDH|16112778517321038285</stp>
        <tr r="C12" s="4"/>
      </tp>
      <tp t="s">
        <v>#N/A N/A</v>
        <stp/>
        <stp>BDH|17655792527800750169</stp>
        <tr r="K61" s="4"/>
      </tp>
      <tp t="s">
        <v>#N/A N/A</v>
        <stp/>
        <stp>BDH|10347960098353667020</stp>
        <tr r="F43" s="5"/>
      </tp>
      <tp t="s">
        <v>#N/A N/A</v>
        <stp/>
        <stp>BDH|13439498221937678134</stp>
        <tr r="J49" s="5"/>
      </tp>
      <tp t="s">
        <v>#N/A N/A</v>
        <stp/>
        <stp>BDH|10329750741492889275</stp>
        <tr r="L27" s="5"/>
      </tp>
      <tp t="s">
        <v>#N/A N/A</v>
        <stp/>
        <stp>BDH|10854489209441303626</stp>
        <tr r="G70" s="4"/>
      </tp>
      <tp t="s">
        <v>#N/A N/A</v>
        <stp/>
        <stp>BDH|13828300809806194580</stp>
        <tr r="F72" s="4"/>
      </tp>
      <tp t="s">
        <v>#N/A N/A</v>
        <stp/>
        <stp>BDH|18305577256492911930</stp>
        <tr r="K78" s="4"/>
      </tp>
      <tp t="s">
        <v>#N/A N/A</v>
        <stp/>
        <stp>BDH|15552586412901256358</stp>
        <tr r="I86" s="4"/>
      </tp>
      <tp t="s">
        <v>#N/A N/A</v>
        <stp/>
        <stp>BDH|16204707593708268389</stp>
        <tr r="C66" s="4"/>
      </tp>
      <tp t="s">
        <v>#N/A N/A</v>
        <stp/>
        <stp>BDH|16511652929076361719</stp>
        <tr r="G27" s="4"/>
      </tp>
      <tp t="s">
        <v>#N/A N/A</v>
        <stp/>
        <stp>BDH|16133769800573851148</stp>
        <tr r="G39" s="4"/>
      </tp>
      <tp t="s">
        <v>#N/A N/A</v>
        <stp/>
        <stp>BDH|17259699330657525659</stp>
        <tr r="D26" s="5"/>
      </tp>
      <tp t="s">
        <v>#N/A N/A</v>
        <stp/>
        <stp>BDH|10574402846581804201</stp>
        <tr r="H26" s="4"/>
      </tp>
      <tp t="s">
        <v>#N/A N/A</v>
        <stp/>
        <stp>BDH|11433020037693228286</stp>
        <tr r="E13" s="5"/>
      </tp>
      <tp t="s">
        <v>#N/A N/A</v>
        <stp/>
        <stp>BDH|14478643463416823118</stp>
        <tr r="H27" s="4"/>
      </tp>
      <tp t="s">
        <v>#N/A N/A</v>
        <stp/>
        <stp>BDH|15931341365211198233</stp>
        <tr r="K23" s="4"/>
      </tp>
      <tp t="s">
        <v>#N/A N/A</v>
        <stp/>
        <stp>BDH|13265331938048222818</stp>
        <tr r="H22" s="5"/>
      </tp>
      <tp t="s">
        <v>#N/A N/A</v>
        <stp/>
        <stp>BDH|10891624553546010639</stp>
        <tr r="D23" s="4"/>
      </tp>
      <tp t="s">
        <v>#N/A N/A</v>
        <stp/>
        <stp>BDH|16664362582016662899</stp>
        <tr r="K70" s="4"/>
      </tp>
      <tp t="s">
        <v>#N/A N/A</v>
        <stp/>
        <stp>BDH|17745899265729747316</stp>
        <tr r="L11" s="5"/>
      </tp>
      <tp t="s">
        <v>#N/A N/A</v>
        <stp/>
        <stp>BDH|13189113831781990359</stp>
        <tr r="H25" s="5"/>
      </tp>
      <tp t="s">
        <v>#N/A N/A</v>
        <stp/>
        <stp>BDH|14003986341812624829</stp>
        <tr r="G50" s="3"/>
      </tp>
      <tp t="s">
        <v>#N/A N/A</v>
        <stp/>
        <stp>BDH|18315963329269026917</stp>
        <tr r="F14" s="5"/>
      </tp>
      <tp t="s">
        <v>#N/A N/A</v>
        <stp/>
        <stp>BDH|11764622479666807589</stp>
        <tr r="E68" s="5"/>
      </tp>
      <tp t="s">
        <v>#N/A N/A</v>
        <stp/>
        <stp>BDH|18251394352774296975</stp>
        <tr r="I66" s="5"/>
      </tp>
      <tp t="s">
        <v>#N/A N/A</v>
        <stp/>
        <stp>BDH|13675825226238889260</stp>
        <tr r="F16" s="4"/>
      </tp>
      <tp t="s">
        <v>#N/A N/A</v>
        <stp/>
        <stp>BDH|14827786543653628798</stp>
        <tr r="E8" s="5"/>
      </tp>
      <tp t="s">
        <v>#N/A N/A</v>
        <stp/>
        <stp>BDH|14720912222018052488</stp>
        <tr r="D57" s="3"/>
        <tr r="D20" s="2"/>
      </tp>
      <tp t="s">
        <v>#N/A N/A</v>
        <stp/>
        <stp>BDH|15441452913657969474</stp>
        <tr r="C33" s="4"/>
      </tp>
      <tp t="s">
        <v>#N/A N/A</v>
        <stp/>
        <stp>BDH|10993140561816450244</stp>
        <tr r="G26" s="4"/>
      </tp>
      <tp t="s">
        <v>#N/A N/A</v>
        <stp/>
        <stp>BDH|13022983175019423754</stp>
        <tr r="C25" s="5"/>
      </tp>
      <tp t="s">
        <v>#N/A N/A</v>
        <stp/>
        <stp>BDH|16828163865402450036</stp>
        <tr r="H42" s="4"/>
      </tp>
      <tp t="s">
        <v>#N/A N/A</v>
        <stp/>
        <stp>BDH|17514739019070076208</stp>
        <tr r="I30" s="5"/>
      </tp>
      <tp t="s">
        <v>#N/A N/A</v>
        <stp/>
        <stp>BDH|15375478607515906743</stp>
        <tr r="E43" s="5"/>
      </tp>
      <tp t="s">
        <v>#N/A N/A</v>
        <stp/>
        <stp>BDH|13940330844166798170</stp>
        <tr r="D43" s="5"/>
      </tp>
      <tp t="s">
        <v>#N/A N/A</v>
        <stp/>
        <stp>BDH|10835364576610078762</stp>
        <tr r="E64" s="4"/>
      </tp>
      <tp t="s">
        <v>#N/A N/A</v>
        <stp/>
        <stp>BDH|11587544927453186568</stp>
        <tr r="C9" s="2"/>
      </tp>
      <tp t="s">
        <v>#N/A N/A</v>
        <stp/>
        <stp>BDH|11496590735764809311</stp>
        <tr r="D18" s="4"/>
      </tp>
      <tp t="s">
        <v>#N/A N/A</v>
        <stp/>
        <stp>BDH|15258037255701103149</stp>
        <tr r="L37" s="4"/>
      </tp>
      <tp t="s">
        <v>#N/A N/A</v>
        <stp/>
        <stp>BDH|17882058741130569385</stp>
        <tr r="C54" s="5"/>
      </tp>
      <tp t="s">
        <v>#N/A N/A</v>
        <stp/>
        <stp>BDH|16393408157323401412</stp>
        <tr r="I31" s="3"/>
      </tp>
      <tp t="s">
        <v>#N/A N/A</v>
        <stp/>
        <stp>BDH|11192174490079519028</stp>
        <tr r="F23" s="3"/>
      </tp>
      <tp t="s">
        <v>#N/A N/A</v>
        <stp/>
        <stp>BDH|16977643228944729625</stp>
        <tr r="J39" s="4"/>
      </tp>
      <tp t="s">
        <v>#N/A N/A</v>
        <stp/>
        <stp>BDH|12911624343845013584</stp>
        <tr r="E62" s="5"/>
      </tp>
      <tp t="s">
        <v>#N/A N/A</v>
        <stp/>
        <stp>BDH|13559113707585182729</stp>
        <tr r="H13" s="2"/>
      </tp>
      <tp t="s">
        <v>#N/A N/A</v>
        <stp/>
        <stp>BDH|15148917941391253904</stp>
        <tr r="K23" s="5"/>
      </tp>
      <tp t="s">
        <v>#N/A N/A</v>
        <stp/>
        <stp>BDH|13410761942374650450</stp>
        <tr r="C29" s="3"/>
      </tp>
      <tp t="s">
        <v>#N/A N/A</v>
        <stp/>
        <stp>BDH|10370388548831567649</stp>
        <tr r="C8" s="4"/>
      </tp>
      <tp t="s">
        <v>#N/A N/A</v>
        <stp/>
        <stp>BDH|12644675686339065558</stp>
        <tr r="C16" s="5"/>
      </tp>
      <tp t="s">
        <v>#N/A N/A</v>
        <stp/>
        <stp>BDH|17836507824401715191</stp>
        <tr r="H49" s="5"/>
      </tp>
      <tp t="s">
        <v>#N/A N/A</v>
        <stp/>
        <stp>BDH|12371123510724011635</stp>
        <tr r="C24" s="4"/>
      </tp>
      <tp t="s">
        <v>#N/A N/A</v>
        <stp/>
        <stp>BDH|11823205520356836722</stp>
        <tr r="D69" s="3"/>
      </tp>
      <tp t="s">
        <v>#N/A N/A</v>
        <stp/>
        <stp>BDH|15788579174750859798</stp>
        <tr r="H16" s="3"/>
      </tp>
      <tp t="s">
        <v>#N/A N/A</v>
        <stp/>
        <stp>BDH|12269720783375264849</stp>
        <tr r="E9" s="4"/>
      </tp>
      <tp t="s">
        <v>#N/A N/A</v>
        <stp/>
        <stp>BDH|12731621155677779629</stp>
        <tr r="L77" s="4"/>
      </tp>
      <tp t="s">
        <v>#N/A N/A</v>
        <stp/>
        <stp>BDH|12224628557117590678</stp>
        <tr r="J26" s="4"/>
      </tp>
      <tp t="s">
        <v>#N/A N/A</v>
        <stp/>
        <stp>BDH|11759312813885104611</stp>
        <tr r="I29" s="5"/>
      </tp>
      <tp t="s">
        <v>#N/A N/A</v>
        <stp/>
        <stp>BDH|13917963530910237986</stp>
        <tr r="I91" s="4"/>
      </tp>
      <tp t="s">
        <v>#N/A N/A</v>
        <stp/>
        <stp>BDH|14367216757211443245</stp>
        <tr r="H66" s="3"/>
      </tp>
      <tp t="s">
        <v>#N/A N/A</v>
        <stp/>
        <stp>BDH|10921092467684738253</stp>
        <tr r="E86" s="4"/>
      </tp>
      <tp t="s">
        <v>#N/A N/A</v>
        <stp/>
        <stp>BDH|17179423607913333031</stp>
        <tr r="C6" s="3"/>
        <tr r="C12" s="2"/>
      </tp>
      <tp t="s">
        <v>#N/A N/A</v>
        <stp/>
        <stp>BDH|14045475049995236187</stp>
        <tr r="G61" s="5"/>
      </tp>
      <tp t="s">
        <v>#N/A N/A</v>
        <stp/>
        <stp>BDH|10008861081416515665</stp>
        <tr r="L23" s="5"/>
      </tp>
      <tp t="s">
        <v>#N/A N/A</v>
        <stp/>
        <stp>BDH|14415158345842035302</stp>
        <tr r="I9" s="2"/>
      </tp>
      <tp t="s">
        <v>#N/A N/A</v>
        <stp/>
        <stp>BDH|14826741490899828309</stp>
        <tr r="D13" s="2"/>
      </tp>
      <tp t="s">
        <v>#N/A N/A</v>
        <stp/>
        <stp>BDH|11337526451793477202</stp>
        <tr r="D54" s="4"/>
      </tp>
      <tp t="s">
        <v>#N/A N/A</v>
        <stp/>
        <stp>BDH|13542744440166159640</stp>
        <tr r="E87" s="4"/>
      </tp>
      <tp t="s">
        <v>#N/A N/A</v>
        <stp/>
        <stp>BDH|13302480861957573681</stp>
        <tr r="G62" s="5"/>
      </tp>
      <tp t="s">
        <v>#N/A N/A</v>
        <stp/>
        <stp>BDH|14114090749948124876</stp>
        <tr r="K37" s="4"/>
      </tp>
      <tp t="s">
        <v>#N/A N/A</v>
        <stp/>
        <stp>BDH|13586082875184983060</stp>
        <tr r="E12" s="4"/>
      </tp>
      <tp t="s">
        <v>#N/A N/A</v>
        <stp/>
        <stp>BDH|13173151930658340904</stp>
        <tr r="K20" s="4"/>
      </tp>
      <tp t="s">
        <v>#N/A N/A</v>
        <stp/>
        <stp>BDH|12487668025290565649</stp>
        <tr r="I37" s="3"/>
      </tp>
      <tp t="s">
        <v>#N/A N/A</v>
        <stp/>
        <stp>BDH|11642627430497217304</stp>
        <tr r="J40" s="5"/>
      </tp>
      <tp t="s">
        <v>#N/A N/A</v>
        <stp/>
        <stp>BDH|10687244773933499639</stp>
        <tr r="L52" s="5"/>
      </tp>
      <tp t="s">
        <v>#N/A N/A</v>
        <stp/>
        <stp>BDH|11663337811934802756</stp>
        <tr r="E25" s="3"/>
      </tp>
      <tp t="s">
        <v>#N/A N/A</v>
        <stp/>
        <stp>BDH|12188069329386635616</stp>
        <tr r="J66" s="4"/>
      </tp>
      <tp t="s">
        <v>#N/A N/A</v>
        <stp/>
        <stp>BDH|11228189394581117876</stp>
        <tr r="D84" s="4"/>
      </tp>
      <tp t="s">
        <v>#N/A N/A</v>
        <stp/>
        <stp>BDH|17754673378543111516</stp>
        <tr r="L78" s="4"/>
      </tp>
      <tp t="s">
        <v>#N/A N/A</v>
        <stp/>
        <stp>BDH|13788493218425412390</stp>
        <tr r="H6" s="2"/>
      </tp>
      <tp t="s">
        <v>#N/A N/A</v>
        <stp/>
        <stp>BDH|13488064671870060480</stp>
        <tr r="G33" s="5"/>
      </tp>
      <tp t="s">
        <v>#N/A N/A</v>
        <stp/>
        <stp>BDH|11744143774173582486</stp>
        <tr r="G36" s="4"/>
      </tp>
      <tp t="s">
        <v>#N/A N/A</v>
        <stp/>
        <stp>BDH|12701419698628560714</stp>
        <tr r="C49" s="5"/>
      </tp>
      <tp t="s">
        <v>#N/A N/A</v>
        <stp/>
        <stp>BDH|10668041653772424789</stp>
        <tr r="D66" s="3"/>
      </tp>
      <tp t="s">
        <v>#N/A N/A</v>
        <stp/>
        <stp>BDH|10291758439054441077</stp>
        <tr r="C20" s="4"/>
      </tp>
      <tp t="s">
        <v>#N/A N/A</v>
        <stp/>
        <stp>BDH|14324239302995813373</stp>
        <tr r="E31" s="5"/>
      </tp>
      <tp t="s">
        <v>#N/A N/A</v>
        <stp/>
        <stp>BDH|12969116719664860647</stp>
        <tr r="K58" s="4"/>
      </tp>
      <tp t="s">
        <v>#N/A N/A</v>
        <stp/>
        <stp>BDH|14102868938807440862</stp>
        <tr r="H11" s="4"/>
      </tp>
      <tp t="s">
        <v>#N/A N/A</v>
        <stp/>
        <stp>BDH|10310913095534205497</stp>
        <tr r="J29" s="5"/>
      </tp>
      <tp t="s">
        <v>#N/A N/A</v>
        <stp/>
        <stp>BDH|12373856024851714998</stp>
        <tr r="H43" s="3"/>
      </tp>
      <tp t="s">
        <v>#N/A N/A</v>
        <stp/>
        <stp>BDH|18226992757695592174</stp>
        <tr r="C91" s="4"/>
      </tp>
      <tp t="s">
        <v>#N/A N/A</v>
        <stp/>
        <stp>BDH|16771727010820306083</stp>
        <tr r="G21" s="3"/>
      </tp>
      <tp t="s">
        <v>#N/A N/A</v>
        <stp/>
        <stp>BDH|17929196533363987645</stp>
        <tr r="D28" s="4"/>
      </tp>
      <tp t="s">
        <v>#N/A N/A</v>
        <stp/>
        <stp>BDH|13482270508135269477</stp>
        <tr r="H25" s="3"/>
      </tp>
      <tp t="s">
        <v>#N/A N/A</v>
        <stp/>
        <stp>BDH|12738055223659782984</stp>
        <tr r="E7" s="2"/>
      </tp>
      <tp t="s">
        <v>#N/A N/A</v>
        <stp/>
        <stp>BDH|17898073983419586674</stp>
        <tr r="D46" s="3"/>
      </tp>
      <tp t="s">
        <v>#N/A N/A</v>
        <stp/>
        <stp>BDH|10069490948811609199</stp>
        <tr r="E43" s="4"/>
      </tp>
      <tp t="s">
        <v>#N/A N/A</v>
        <stp/>
        <stp>BDH|17273676547255946050</stp>
        <tr r="D14" s="5"/>
      </tp>
      <tp t="s">
        <v>#N/A N/A</v>
        <stp/>
        <stp>BDH|12274253846830574555</stp>
        <tr r="D26" s="4"/>
      </tp>
      <tp t="s">
        <v>#N/A N/A</v>
        <stp/>
        <stp>BDH|13139921188775351692</stp>
        <tr r="G75" s="4"/>
      </tp>
      <tp t="s">
        <v>#N/A N/A</v>
        <stp/>
        <stp>BDH|12233482122462829711</stp>
        <tr r="H26" s="5"/>
      </tp>
      <tp t="s">
        <v>#N/A N/A</v>
        <stp/>
        <stp>BDH|16522546000171588359</stp>
        <tr r="I37" s="5"/>
      </tp>
      <tp t="s">
        <v>#N/A N/A</v>
        <stp/>
        <stp>BDH|17399095863553915305</stp>
        <tr r="E89" s="4"/>
      </tp>
      <tp t="s">
        <v>#N/A N/A</v>
        <stp/>
        <stp>BDH|18300877004362920391</stp>
        <tr r="F40" s="4"/>
      </tp>
      <tp t="s">
        <v>#N/A N/A</v>
        <stp/>
        <stp>BDH|15831334952933264196</stp>
        <tr r="K92" s="4"/>
      </tp>
      <tp t="s">
        <v>#N/A N/A</v>
        <stp/>
        <stp>BDH|17063689911287985625</stp>
        <tr r="H58" s="4"/>
      </tp>
      <tp t="s">
        <v>#N/A N/A</v>
        <stp/>
        <stp>BDH|10531631532061063564</stp>
        <tr r="L53" s="4"/>
      </tp>
      <tp t="s">
        <v>#N/A N/A</v>
        <stp/>
        <stp>BDH|16927430249123513445</stp>
        <tr r="D24" s="3"/>
      </tp>
      <tp t="s">
        <v>#N/A N/A</v>
        <stp/>
        <stp>BDH|12313167031988422957</stp>
        <tr r="E63" s="4"/>
      </tp>
      <tp t="s">
        <v>#N/A N/A</v>
        <stp/>
        <stp>BDH|12547980141979063791</stp>
        <tr r="K67" s="5"/>
      </tp>
      <tp t="s">
        <v>#N/A N/A</v>
        <stp/>
        <stp>BDH|11623598556981532198</stp>
        <tr r="G76" s="4"/>
      </tp>
      <tp t="s">
        <v>#N/A N/A</v>
        <stp/>
        <stp>BDH|15164410447001545570</stp>
        <tr r="D20" s="3"/>
      </tp>
      <tp t="s">
        <v>#N/A N/A</v>
        <stp/>
        <stp>BDH|14124728285362686850</stp>
        <tr r="J6" s="3"/>
        <tr r="J12" s="2"/>
      </tp>
      <tp t="s">
        <v>#N/A N/A</v>
        <stp/>
        <stp>BDH|12296205078857810171</stp>
        <tr r="H86" s="4"/>
      </tp>
      <tp t="s">
        <v>#N/A N/A</v>
        <stp/>
        <stp>BDH|11873540095129998542</stp>
        <tr r="C38" s="4"/>
      </tp>
      <tp t="s">
        <v>#N/A N/A</v>
        <stp/>
        <stp>BDH|14358757431729610857</stp>
        <tr r="G23" s="5"/>
      </tp>
      <tp t="s">
        <v>#N/A N/A</v>
        <stp/>
        <stp>BDH|17624851785501389719</stp>
        <tr r="F29" s="3"/>
      </tp>
      <tp t="s">
        <v>#N/A N/A</v>
        <stp/>
        <stp>BDH|11815787652282075067</stp>
        <tr r="G22" s="3"/>
      </tp>
      <tp t="s">
        <v>#N/A N/A</v>
        <stp/>
        <stp>BDH|10501380848253365517</stp>
        <tr r="G9" s="5"/>
      </tp>
      <tp t="s">
        <v>#N/A N/A</v>
        <stp/>
        <stp>BDH|10436172428595579790</stp>
        <tr r="C35" s="5"/>
      </tp>
      <tp t="s">
        <v>#N/A N/A</v>
        <stp/>
        <stp>BDH|11277665393288839782</stp>
        <tr r="C46" s="4"/>
      </tp>
      <tp t="s">
        <v>#N/A N/A</v>
        <stp/>
        <stp>BDH|13709001547127261156</stp>
        <tr r="D62" s="3"/>
      </tp>
      <tp t="s">
        <v>#N/A N/A</v>
        <stp/>
        <stp>BDH|13252390242701707492</stp>
        <tr r="H20" s="3"/>
      </tp>
      <tp t="s">
        <v>#N/A N/A</v>
        <stp/>
        <stp>BDH|13667021124505509525</stp>
        <tr r="H24" s="4"/>
      </tp>
      <tp t="s">
        <v>#N/A N/A</v>
        <stp/>
        <stp>BDH|12068050016127378575</stp>
        <tr r="D40" s="4"/>
      </tp>
      <tp t="s">
        <v>#N/A N/A</v>
        <stp/>
        <stp>BDH|11841445053954132589</stp>
        <tr r="G43" s="3"/>
      </tp>
      <tp t="s">
        <v>#N/A N/A</v>
        <stp/>
        <stp>BDH|14379395068222628220</stp>
        <tr r="I57" s="5"/>
      </tp>
      <tp t="s">
        <v>#N/A N/A</v>
        <stp/>
        <stp>BDH|15956766805846422577</stp>
        <tr r="I12" s="4"/>
      </tp>
      <tp t="s">
        <v>#N/A N/A</v>
        <stp/>
        <stp>BDH|17945038257922325174</stp>
        <tr r="E71" s="4"/>
      </tp>
      <tp t="s">
        <v>#N/A N/A</v>
        <stp/>
        <stp>BDH|10719510349728734812</stp>
        <tr r="L31" s="5"/>
      </tp>
      <tp t="s">
        <v>#N/A N/A</v>
        <stp/>
        <stp>BDH|13251826032271826829</stp>
        <tr r="G17" s="4"/>
      </tp>
      <tp t="s">
        <v>#N/A N/A</v>
        <stp/>
        <stp>BDH|14663065048283700248</stp>
        <tr r="F37" s="4"/>
      </tp>
      <tp t="s">
        <v>#N/A N/A</v>
        <stp/>
        <stp>BDH|18361907878676484147</stp>
        <tr r="C24" s="5"/>
      </tp>
      <tp t="s">
        <v>#N/A N/A</v>
        <stp/>
        <stp>BDH|17097027566423838379</stp>
        <tr r="G25" s="3"/>
      </tp>
      <tp t="s">
        <v>#N/A N/A</v>
        <stp/>
        <stp>BDH|15325940526946286985</stp>
        <tr r="K50" s="5"/>
      </tp>
      <tp t="s">
        <v>#N/A N/A</v>
        <stp/>
        <stp>BDH|12456075960021031498</stp>
        <tr r="G41" s="4"/>
      </tp>
      <tp t="s">
        <v>#N/A N/A</v>
        <stp/>
        <stp>BDH|13418124649057587006</stp>
        <tr r="G13" s="2"/>
      </tp>
      <tp t="s">
        <v>#N/A N/A</v>
        <stp/>
        <stp>BDH|12306519669216091619</stp>
        <tr r="G77" s="4"/>
      </tp>
      <tp t="s">
        <v>#N/A N/A</v>
        <stp/>
        <stp>BDH|11139769488639304663</stp>
        <tr r="E88" s="4"/>
      </tp>
      <tp t="s">
        <v>#N/A N/A</v>
        <stp/>
        <stp>BDH|15750089770244714722</stp>
        <tr r="L62" s="4"/>
      </tp>
      <tp t="s">
        <v>#N/A N/A</v>
        <stp/>
        <stp>BDH|12097690976330404263</stp>
        <tr r="G31" s="5"/>
      </tp>
      <tp t="s">
        <v>#N/A N/A</v>
        <stp/>
        <stp>BDH|15209365876382790287</stp>
        <tr r="G90" s="4"/>
      </tp>
      <tp t="s">
        <v>#N/A N/A</v>
        <stp/>
        <stp>BDH|13517329824370839375</stp>
        <tr r="G55" s="4"/>
      </tp>
      <tp t="s">
        <v>#N/A N/A</v>
        <stp/>
        <stp>BDH|10065865107399903044</stp>
        <tr r="L44" s="4"/>
      </tp>
      <tp t="s">
        <v>#N/A N/A</v>
        <stp/>
        <stp>BDH|15246278726075896171</stp>
        <tr r="I15" s="5"/>
      </tp>
      <tp t="s">
        <v>#N/A N/A</v>
        <stp/>
        <stp>BDH|18124649220579236483</stp>
        <tr r="F64" s="3"/>
      </tp>
      <tp t="s">
        <v>#N/A N/A</v>
        <stp/>
        <stp>BDH|16624144672603622291</stp>
        <tr r="G45" s="3"/>
        <tr r="G18" s="2"/>
      </tp>
      <tp t="s">
        <v>#N/A N/A</v>
        <stp/>
        <stp>BDH|13043663323312827424</stp>
        <tr r="C86" s="4"/>
      </tp>
      <tp t="s">
        <v>#N/A N/A</v>
        <stp/>
        <stp>BDH|13169903920599732092</stp>
        <tr r="J17" s="4"/>
      </tp>
      <tp t="s">
        <v>#N/A N/A</v>
        <stp/>
        <stp>BDH|10544781047704406617</stp>
        <tr r="F52" s="3"/>
      </tp>
      <tp t="s">
        <v>#N/A N/A</v>
        <stp/>
        <stp>BDH|12793262600028973967</stp>
        <tr r="H27" s="3"/>
      </tp>
      <tp t="s">
        <v>#N/A N/A</v>
        <stp/>
        <stp>BDH|12566704966491982344</stp>
        <tr r="K57" s="4"/>
      </tp>
      <tp t="s">
        <v>#N/A N/A</v>
        <stp/>
        <stp>BDH|10869941715721740808</stp>
        <tr r="I22" s="3"/>
      </tp>
      <tp t="s">
        <v>#N/A N/A</v>
        <stp/>
        <stp>BDH|17256476378411563462</stp>
        <tr r="D12" s="3"/>
      </tp>
      <tp t="s">
        <v>#N/A N/A</v>
        <stp/>
        <stp>BDH|16112874128324507953</stp>
        <tr r="H22" s="3"/>
      </tp>
      <tp t="s">
        <v>#N/A N/A</v>
        <stp/>
        <stp>BDH|17756633664151383020</stp>
        <tr r="G56" s="4"/>
      </tp>
      <tp t="s">
        <v>#N/A N/A</v>
        <stp/>
        <stp>BDH|17134553746762443270</stp>
        <tr r="G82" s="4"/>
      </tp>
      <tp t="s">
        <v>#N/A N/A</v>
        <stp/>
        <stp>BDH|17398053182588477119</stp>
        <tr r="H8" s="3"/>
      </tp>
      <tp t="s">
        <v>#N/A N/A</v>
        <stp/>
        <stp>BDH|13513915285977447348</stp>
        <tr r="J8" s="5"/>
      </tp>
      <tp t="s">
        <v>#N/A N/A</v>
        <stp/>
        <stp>BDH|14897151018434538600</stp>
        <tr r="D18" s="3"/>
      </tp>
      <tp t="s">
        <v>#N/A N/A</v>
        <stp/>
        <stp>BDH|14685927385023544046</stp>
        <tr r="F62" s="5"/>
      </tp>
      <tp t="s">
        <v>#N/A N/A</v>
        <stp/>
        <stp>BDH|16579719540916068547</stp>
        <tr r="H63" s="5"/>
        <tr r="F25" s="2"/>
      </tp>
      <tp t="s">
        <v>#N/A N/A</v>
        <stp/>
        <stp>BDH|14027967851087373978</stp>
        <tr r="H55" s="3"/>
      </tp>
      <tp t="s">
        <v>#N/A N/A</v>
        <stp/>
        <stp>BDH|12100336183949267603</stp>
        <tr r="J72" s="3"/>
      </tp>
      <tp t="s">
        <v>#N/A N/A</v>
        <stp/>
        <stp>BDH|12699550255531151547</stp>
        <tr r="J21" s="3"/>
      </tp>
      <tp t="s">
        <v>#N/A N/A</v>
        <stp/>
        <stp>BDH|13061762320330599017</stp>
        <tr r="F37" s="5"/>
      </tp>
      <tp t="s">
        <v>#N/A N/A</v>
        <stp/>
        <stp>BDH|12646208105796375023</stp>
        <tr r="C17" s="3"/>
      </tp>
      <tp t="s">
        <v>#N/A N/A</v>
        <stp/>
        <stp>BDH|12548307950623264154</stp>
        <tr r="G68" s="3"/>
      </tp>
      <tp t="s">
        <v>#N/A N/A</v>
        <stp/>
        <stp>BDH|11697348225144680240</stp>
        <tr r="H7" s="5"/>
      </tp>
      <tp t="s">
        <v>#N/A N/A</v>
        <stp/>
        <stp>BDH|11376237322366582125</stp>
        <tr r="F54" s="5"/>
      </tp>
      <tp t="s">
        <v>#N/A N/A</v>
        <stp/>
        <stp>BDH|16774150001766154777</stp>
        <tr r="J11" s="5"/>
      </tp>
      <tp t="s">
        <v>#N/A N/A</v>
        <stp/>
        <stp>BDH|11085296006481390492</stp>
        <tr r="G13" s="5"/>
      </tp>
      <tp t="s">
        <v>#N/A N/A</v>
        <stp/>
        <stp>BDH|11964511978533550607</stp>
        <tr r="K25" s="5"/>
      </tp>
      <tp t="s">
        <v>#N/A N/A</v>
        <stp/>
        <stp>BDH|16688714397179734728</stp>
        <tr r="C57" s="4"/>
      </tp>
      <tp t="s">
        <v>#N/A N/A</v>
        <stp/>
        <stp>BDH|16276414822004413219</stp>
        <tr r="E56" s="4"/>
      </tp>
      <tp t="s">
        <v>#N/A N/A</v>
        <stp/>
        <stp>BDH|16277094025590367291</stp>
        <tr r="C34" s="3"/>
      </tp>
      <tp t="s">
        <v>#N/A N/A</v>
        <stp/>
        <stp>BDH|15235560962335097510</stp>
        <tr r="E58" s="4"/>
      </tp>
      <tp t="s">
        <v>#N/A N/A</v>
        <stp/>
        <stp>BDH|13094552615705142465</stp>
        <tr r="K9" s="4"/>
      </tp>
      <tp t="s">
        <v>#N/A N/A</v>
        <stp/>
        <stp>BDH|11459521005745771734</stp>
        <tr r="G52" s="4"/>
      </tp>
      <tp t="s">
        <v>#N/A N/A</v>
        <stp/>
        <stp>BDH|12809637657734945331</stp>
        <tr r="H24" s="5"/>
      </tp>
      <tp t="s">
        <v>#N/A N/A</v>
        <stp/>
        <stp>BDH|14132699362005612751</stp>
        <tr r="E61" s="5"/>
      </tp>
      <tp t="s">
        <v>#N/A N/A</v>
        <stp/>
        <stp>BDH|12394137779325945795</stp>
        <tr r="C47" s="5"/>
      </tp>
      <tp t="s">
        <v>#N/A N/A</v>
        <stp/>
        <stp>BDH|14858321308785909425</stp>
        <tr r="I46" s="4"/>
      </tp>
      <tp t="s">
        <v>#N/A N/A</v>
        <stp/>
        <stp>BDH|12252690173202554755</stp>
        <tr r="I54" s="5"/>
      </tp>
      <tp t="s">
        <v>#N/A N/A</v>
        <stp/>
        <stp>BDH|10234273288069777521</stp>
        <tr r="J37" s="5"/>
      </tp>
      <tp t="s">
        <v>#N/A N/A</v>
        <stp/>
        <stp>BDH|13162678655813944527</stp>
        <tr r="F36" s="3"/>
      </tp>
      <tp t="s">
        <v>#N/A N/A</v>
        <stp/>
        <stp>BDH|17576664049254088710</stp>
        <tr r="F38" s="4"/>
      </tp>
      <tp t="s">
        <v>#N/A N/A</v>
        <stp/>
        <stp>BDH|16554292980162508829</stp>
        <tr r="J67" s="5"/>
      </tp>
      <tp t="s">
        <v>#N/A N/A</v>
        <stp/>
        <stp>BDH|17474602598348115669</stp>
        <tr r="L65" s="5"/>
      </tp>
      <tp t="s">
        <v>#N/A N/A</v>
        <stp/>
        <stp>BDH|12912254053390138359</stp>
        <tr r="E21" s="3"/>
      </tp>
      <tp t="s">
        <v>#N/A N/A</v>
        <stp/>
        <stp>BDH|15404909510993849876</stp>
        <tr r="D7" s="3"/>
      </tp>
      <tp t="s">
        <v>#N/A N/A</v>
        <stp/>
        <stp>BDH|13769969307079963552</stp>
        <tr r="H64" s="5"/>
      </tp>
      <tp t="s">
        <v>#N/A N/A</v>
        <stp/>
        <stp>BDH|18183509638649744149</stp>
        <tr r="K16" s="5"/>
      </tp>
      <tp t="s">
        <v>#N/A N/A</v>
        <stp/>
        <stp>BDH|15267161023003541382</stp>
        <tr r="K12" s="5"/>
      </tp>
      <tp t="s">
        <v>#N/A N/A</v>
        <stp/>
        <stp>BDH|14722388906184092534</stp>
        <tr r="E23" s="5"/>
      </tp>
      <tp t="s">
        <v>#N/A N/A</v>
        <stp/>
        <stp>BDH|11493494602882647149</stp>
        <tr r="H17" s="3"/>
      </tp>
      <tp t="s">
        <v>#N/A N/A</v>
        <stp/>
        <stp>BDH|16047947019741422948</stp>
        <tr r="H46" s="4"/>
      </tp>
      <tp t="s">
        <v>#N/A N/A</v>
        <stp/>
        <stp>BDH|14984702646489649848</stp>
        <tr r="I52" s="3"/>
      </tp>
      <tp t="s">
        <v>#N/A N/A</v>
        <stp/>
        <stp>BDH|13249153359378200911</stp>
        <tr r="E21" s="5"/>
      </tp>
      <tp t="s">
        <v>#N/A N/A</v>
        <stp/>
        <stp>BDH|17162117620071584391</stp>
        <tr r="C68" s="4"/>
      </tp>
      <tp t="s">
        <v>#N/A N/A</v>
        <stp/>
        <stp>BDH|13479880021676515940</stp>
        <tr r="K68" s="5"/>
      </tp>
      <tp t="s">
        <v>#N/A N/A</v>
        <stp/>
        <stp>BDH|16663537864327562482</stp>
        <tr r="H50" s="5"/>
      </tp>
      <tp t="s">
        <v>#N/A N/A</v>
        <stp/>
        <stp>BDH|14227016100566852470</stp>
        <tr r="G29" s="5"/>
      </tp>
      <tp t="s">
        <v>#N/A N/A</v>
        <stp/>
        <stp>BDH|16927423186994105832</stp>
        <tr r="E33" s="3"/>
      </tp>
      <tp t="s">
        <v>#N/A N/A</v>
        <stp/>
        <stp>BDH|11179401000977638483</stp>
        <tr r="C15" s="4"/>
      </tp>
      <tp t="s">
        <v>#N/A N/A</v>
        <stp/>
        <stp>BDH|11435520845901806749</stp>
        <tr r="E51" s="3"/>
      </tp>
      <tp t="s">
        <v>#N/A N/A</v>
        <stp/>
        <stp>BDH|17407945328623706907</stp>
        <tr r="D46" s="5"/>
      </tp>
      <tp t="s">
        <v>#N/A N/A</v>
        <stp/>
        <stp>BDH|13225065752892933217</stp>
        <tr r="J60" s="5"/>
      </tp>
      <tp t="s">
        <v>#N/A N/A</v>
        <stp/>
        <stp>BDH|15017370252502481605</stp>
        <tr r="I63" s="5"/>
        <tr r="G25" s="2"/>
      </tp>
      <tp t="s">
        <v>#N/A N/A</v>
        <stp/>
        <stp>BDH|13385073644144545442</stp>
        <tr r="C11" s="3"/>
        <tr r="C14" s="2"/>
      </tp>
      <tp t="s">
        <v>#N/A N/A</v>
        <stp/>
        <stp>BDH|11907070537310126590</stp>
        <tr r="F22" s="5"/>
      </tp>
      <tp t="s">
        <v>#N/A N/A</v>
        <stp/>
        <stp>BDH|12423661733406458668</stp>
        <tr r="C18" s="5"/>
      </tp>
      <tp t="s">
        <v>#N/A N/A</v>
        <stp/>
        <stp>BDH|16583266760686754374</stp>
        <tr r="K72" s="4"/>
      </tp>
      <tp t="s">
        <v>#N/A N/A</v>
        <stp/>
        <stp>BDH|16364377647810106614</stp>
        <tr r="L25" s="4"/>
      </tp>
      <tp t="s">
        <v>#N/A N/A</v>
        <stp/>
        <stp>BDH|14669586456251330283</stp>
        <tr r="L43" s="5"/>
      </tp>
      <tp t="s">
        <v>#N/A N/A</v>
        <stp/>
        <stp>BDH|12724776059746978135</stp>
        <tr r="I41" s="5"/>
      </tp>
      <tp t="s">
        <v>#N/A N/A</v>
        <stp/>
        <stp>BDH|11283271151400415139</stp>
        <tr r="F39" s="3"/>
      </tp>
      <tp t="s">
        <v>#N/A N/A</v>
        <stp/>
        <stp>BDH|10085056703814572304</stp>
        <tr r="C18" s="3"/>
      </tp>
      <tp t="s">
        <v>#N/A N/A</v>
        <stp/>
        <stp>BDH|17425003709116685693</stp>
        <tr r="I17" s="3"/>
      </tp>
      <tp t="s">
        <v>#N/A N/A</v>
        <stp/>
        <stp>BDH|13455979989516905363</stp>
        <tr r="I58" s="4"/>
      </tp>
      <tp t="s">
        <v>#N/A N/A</v>
        <stp/>
        <stp>BDH|17717627043862650052</stp>
        <tr r="D69" s="4"/>
      </tp>
      <tp t="s">
        <v>#N/A N/A</v>
        <stp/>
        <stp>BDH|17659740052605633738</stp>
        <tr r="J49" s="3"/>
      </tp>
      <tp t="s">
        <v>#N/A N/A</v>
        <stp/>
        <stp>BDH|17390263200443253126</stp>
        <tr r="E48" s="5"/>
      </tp>
      <tp t="s">
        <v>#N/A N/A</v>
        <stp/>
        <stp>BDH|17492650771965505403</stp>
        <tr r="K64" s="5"/>
      </tp>
      <tp t="s">
        <v>#N/A N/A</v>
        <stp/>
        <stp>BDH|11419553990328659225</stp>
        <tr r="F62" s="3"/>
      </tp>
      <tp t="s">
        <v>#N/A N/A</v>
        <stp/>
        <stp>BDH|16701953161377557932</stp>
        <tr r="J25" s="5"/>
      </tp>
      <tp t="s">
        <v>#N/A N/A</v>
        <stp/>
        <stp>BDH|12612203400144037334</stp>
        <tr r="L59" s="4"/>
      </tp>
      <tp t="s">
        <v>#N/A N/A</v>
        <stp/>
        <stp>BDH|14019559036617211251</stp>
        <tr r="E49" s="3"/>
      </tp>
      <tp t="s">
        <v>#N/A N/A</v>
        <stp/>
        <stp>BDH|14780212530994362610</stp>
        <tr r="L66" s="4"/>
      </tp>
      <tp t="s">
        <v>#N/A N/A</v>
        <stp/>
        <stp>BDH|11879508530704953467</stp>
        <tr r="H29" s="3"/>
      </tp>
      <tp t="s">
        <v>#N/A N/A</v>
        <stp/>
        <stp>BDH|17675002931231093200</stp>
        <tr r="L57" s="4"/>
      </tp>
      <tp t="s">
        <v>#N/A N/A</v>
        <stp/>
        <stp>BDH|17739979485740605140</stp>
        <tr r="H47" s="5"/>
      </tp>
      <tp t="s">
        <v>#N/A N/A</v>
        <stp/>
        <stp>BDH|16433055433167323568</stp>
        <tr r="E63" s="5"/>
        <tr r="C25" s="2"/>
      </tp>
      <tp t="s">
        <v>#N/A N/A</v>
        <stp/>
        <stp>BDH|14165496871257782798</stp>
        <tr r="I38" s="4"/>
      </tp>
      <tp t="s">
        <v>#N/A N/A</v>
        <stp/>
        <stp>BDH|10601610760032979596</stp>
        <tr r="F24" s="2"/>
      </tp>
      <tp t="s">
        <v>#N/A N/A</v>
        <stp/>
        <stp>BDH|16644973846859095519</stp>
        <tr r="G72" s="4"/>
      </tp>
      <tp t="s">
        <v>#N/A N/A</v>
        <stp/>
        <stp>BDH|12118235825065822099</stp>
        <tr r="I64" s="4"/>
      </tp>
      <tp t="s">
        <v>#N/A N/A</v>
        <stp/>
        <stp>BDH|13465284014653460450</stp>
        <tr r="H49" s="3"/>
      </tp>
      <tp t="s">
        <v>#N/A N/A</v>
        <stp/>
        <stp>BDH|13313590001702048325</stp>
        <tr r="C45" s="3"/>
        <tr r="C18" s="2"/>
      </tp>
      <tp t="s">
        <v>#N/A N/A</v>
        <stp/>
        <stp>BDH|14728551236702910740</stp>
        <tr r="E42" s="4"/>
      </tp>
      <tp t="s">
        <v>#N/A N/A</v>
        <stp/>
        <stp>BDH|13754034700656820251</stp>
        <tr r="I25" s="4"/>
      </tp>
      <tp t="s">
        <v>#N/A N/A</v>
        <stp/>
        <stp>BDH|13997018343807662754</stp>
        <tr r="J7" s="3"/>
      </tp>
      <tp t="s">
        <v>#N/A N/A</v>
        <stp/>
        <stp>BDH|14326100576051568489</stp>
        <tr r="J92" s="4"/>
      </tp>
      <tp t="s">
        <v>#N/A N/A</v>
        <stp/>
        <stp>BDH|14043180746552744412</stp>
        <tr r="C40" s="3"/>
      </tp>
      <tp t="s">
        <v>#N/A N/A</v>
        <stp/>
        <stp>BDH|10608724577581953622</stp>
        <tr r="E20" s="4"/>
      </tp>
      <tp t="s">
        <v>#N/A N/A</v>
        <stp/>
        <stp>BDH|18422938466164860419</stp>
        <tr r="J68" s="4"/>
      </tp>
      <tp t="s">
        <v>#N/A N/A</v>
        <stp/>
        <stp>BDH|10491593695482184929</stp>
        <tr r="E31" s="3"/>
      </tp>
      <tp t="s">
        <v>#N/A N/A</v>
        <stp/>
        <stp>BDH|13654293867095366501</stp>
        <tr r="J48" s="4"/>
      </tp>
      <tp t="s">
        <v>#N/A N/A</v>
        <stp/>
        <stp>BDH|13477996900204687915</stp>
        <tr r="H67" s="3"/>
      </tp>
      <tp t="s">
        <v>#N/A N/A</v>
        <stp/>
        <stp>BDH|14477202896799941112</stp>
        <tr r="L29" s="5"/>
      </tp>
      <tp t="s">
        <v>#N/A N/A</v>
        <stp/>
        <stp>BDH|15077856290820831307</stp>
        <tr r="E22" s="4"/>
      </tp>
      <tp t="s">
        <v>#N/A N/A</v>
        <stp/>
        <stp>BDH|13118394756385333707</stp>
        <tr r="K69" s="4"/>
      </tp>
      <tp t="s">
        <v>#N/A N/A</v>
        <stp/>
        <stp>BDH|13128656148257703163</stp>
        <tr r="E11" s="5"/>
      </tp>
      <tp t="s">
        <v>#N/A N/A</v>
        <stp/>
        <stp>BDH|16769825678668689671</stp>
        <tr r="H60" s="4"/>
      </tp>
      <tp t="s">
        <v>#N/A N/A</v>
        <stp/>
        <stp>BDH|15570217978186550152</stp>
        <tr r="E49" s="4"/>
      </tp>
      <tp t="s">
        <v>#N/A N/A</v>
        <stp/>
        <stp>BDH|16493735546835694789</stp>
        <tr r="J35" s="5"/>
      </tp>
      <tp t="s">
        <v>#N/A N/A</v>
        <stp/>
        <stp>BDH|12933427721454325778</stp>
        <tr r="E35" s="5"/>
      </tp>
      <tp t="s">
        <v>#N/A N/A</v>
        <stp/>
        <stp>BDH|16874463955564276476</stp>
        <tr r="K32" s="4"/>
      </tp>
      <tp t="s">
        <v>#N/A N/A</v>
        <stp/>
        <stp>BDH|12977867452330717842</stp>
        <tr r="C49" s="4"/>
      </tp>
      <tp t="s">
        <v>#N/A N/A</v>
        <stp/>
        <stp>BDH|14967342337875207595</stp>
        <tr r="F8" s="2"/>
      </tp>
      <tp t="s">
        <v>#N/A N/A</v>
        <stp/>
        <stp>BDH|15458361378252281796</stp>
        <tr r="E42" s="5"/>
      </tp>
      <tp t="s">
        <v>#N/A N/A</v>
        <stp/>
        <stp>BDH|12211341971134077666</stp>
        <tr r="H10" s="3"/>
      </tp>
      <tp t="s">
        <v>#N/A N/A</v>
        <stp/>
        <stp>BDH|10782444265697719111</stp>
        <tr r="E9" s="2"/>
      </tp>
      <tp t="s">
        <v>#N/A N/A</v>
        <stp/>
        <stp>BDH|13899918490097823014</stp>
        <tr r="C53" s="4"/>
      </tp>
      <tp t="s">
        <v>#N/A N/A</v>
        <stp/>
        <stp>BDH|18170925745223723217</stp>
        <tr r="H30" s="4"/>
      </tp>
      <tp t="s">
        <v>#N/A N/A</v>
        <stp/>
        <stp>BDH|17548871195402111064</stp>
        <tr r="J50" s="4"/>
      </tp>
      <tp t="s">
        <v>#N/A N/A</v>
        <stp/>
        <stp>BDH|17233208846333467635</stp>
        <tr r="F34" s="3"/>
      </tp>
      <tp t="s">
        <v>#N/A N/A</v>
        <stp/>
        <stp>BDH|10052255546405735774</stp>
        <tr r="J28" s="4"/>
      </tp>
      <tp t="s">
        <v>#N/A N/A</v>
        <stp/>
        <stp>BDH|13476747620233704140</stp>
        <tr r="K50" s="4"/>
      </tp>
      <tp t="s">
        <v>#N/A N/A</v>
        <stp/>
        <stp>BDH|16097197750014814229</stp>
        <tr r="C52" s="3"/>
      </tp>
      <tp t="s">
        <v>#N/A N/A</v>
        <stp/>
        <stp>BDH|16920454109160445626</stp>
        <tr r="H18" s="3"/>
      </tp>
      <tp t="s">
        <v>#N/A N/A</v>
        <stp/>
        <stp>BDH|12634670858564880135</stp>
        <tr r="I7" s="3"/>
      </tp>
      <tp t="s">
        <v>#N/A N/A</v>
        <stp/>
        <stp>BDH|17766145657976141174</stp>
        <tr r="H71" s="3"/>
      </tp>
      <tp t="s">
        <v>#N/A N/A</v>
        <stp/>
        <stp>BDH|10201144490849519512</stp>
        <tr r="E19" s="3"/>
      </tp>
      <tp t="s">
        <v>#N/A N/A</v>
        <stp/>
        <stp>BDH|12463402724320329018</stp>
        <tr r="C46" s="3"/>
      </tp>
      <tp t="s">
        <v>#N/A N/A</v>
        <stp/>
        <stp>BDH|15283040226557367417</stp>
        <tr r="F56" s="4"/>
      </tp>
      <tp t="s">
        <v>#N/A N/A</v>
        <stp/>
        <stp>BDH|17150475225507812297</stp>
        <tr r="D23" s="3"/>
      </tp>
      <tp t="s">
        <v>#N/A N/A</v>
        <stp/>
        <stp>BDH|16273222515050077173</stp>
        <tr r="L88" s="4"/>
      </tp>
      <tp t="s">
        <v>#N/A N/A</v>
        <stp/>
        <stp>BDH|15126396036749834833</stp>
        <tr r="C45" s="5"/>
      </tp>
      <tp t="s">
        <v>#N/A N/A</v>
        <stp/>
        <stp>BDH|10313350432104356023</stp>
        <tr r="C22" s="3"/>
      </tp>
      <tp t="s">
        <v>#N/A N/A</v>
        <stp/>
        <stp>BDH|10165495041870516480</stp>
        <tr r="J44" s="4"/>
      </tp>
      <tp t="s">
        <v>#N/A N/A</v>
        <stp/>
        <stp>BDH|12011552906845151660</stp>
        <tr r="I65" s="4"/>
      </tp>
      <tp t="s">
        <v>#N/A N/A</v>
        <stp/>
        <stp>BDH|14869765798356205804</stp>
        <tr r="J22" s="3"/>
      </tp>
      <tp t="s">
        <v>#N/A N/A</v>
        <stp/>
        <stp>BDH|11641623122212426363</stp>
        <tr r="F18" s="5"/>
        <tr r="D23" s="2"/>
      </tp>
      <tp t="s">
        <v>#N/A N/A</v>
        <stp/>
        <stp>BDH|15177660700832293528</stp>
        <tr r="D60" s="4"/>
      </tp>
      <tp t="s">
        <v>#N/A N/A</v>
        <stp/>
        <stp>BDH|10611457455450193505</stp>
        <tr r="K15" s="5"/>
      </tp>
      <tp t="s">
        <v>#N/A N/A</v>
        <stp/>
        <stp>BDH|14004144812298161802</stp>
        <tr r="H46" s="3"/>
      </tp>
      <tp t="s">
        <v>#N/A N/A</v>
        <stp/>
        <stp>BDH|17158906413219495218</stp>
        <tr r="H70" s="4"/>
      </tp>
      <tp t="s">
        <v>#N/A N/A</v>
        <stp/>
        <stp>BDH|16103981361455856870</stp>
        <tr r="D8" s="5"/>
      </tp>
      <tp t="s">
        <v>#N/A N/A</v>
        <stp/>
        <stp>BDH|10637884211838811509</stp>
        <tr r="C51" s="3"/>
      </tp>
      <tp t="s">
        <v>#N/A N/A</v>
        <stp/>
        <stp>BDH|14879803555309925433</stp>
        <tr r="E54" s="3"/>
      </tp>
      <tp t="s">
        <v>#N/A N/A</v>
        <stp/>
        <stp>BDH|15823297174944530065</stp>
        <tr r="G65" s="4"/>
      </tp>
      <tp t="s">
        <v>#N/A N/A</v>
        <stp/>
        <stp>BDH|15248646932906507275</stp>
        <tr r="F26" s="4"/>
      </tp>
      <tp t="s">
        <v>#N/A N/A</v>
        <stp/>
        <stp>BDH|12249519619794441682</stp>
        <tr r="I42" s="5"/>
      </tp>
      <tp t="s">
        <v>#N/A N/A</v>
        <stp/>
        <stp>BDH|11172787747610714604</stp>
        <tr r="J26" s="5"/>
      </tp>
      <tp t="s">
        <v>#N/A N/A</v>
        <stp/>
        <stp>BDH|17730861922528304190</stp>
        <tr r="G42" s="5"/>
      </tp>
      <tp t="s">
        <v>#N/A N/A</v>
        <stp/>
        <stp>BDH|12687626789460393869</stp>
        <tr r="F32" s="5"/>
      </tp>
      <tp t="s">
        <v>#N/A N/A</v>
        <stp/>
        <stp>BDH|14264642338393220647</stp>
        <tr r="I68" s="4"/>
      </tp>
      <tp t="s">
        <v>#N/A N/A</v>
        <stp/>
        <stp>BDH|13636116524910845403</stp>
        <tr r="L47" s="4"/>
      </tp>
      <tp t="s">
        <v>#N/A N/A</v>
        <stp/>
        <stp>BDH|16894101545531460621</stp>
        <tr r="I47" s="3"/>
        <tr r="I35" s="3"/>
      </tp>
      <tp t="s">
        <v>#N/A N/A</v>
        <stp/>
        <stp>BDH|18346773185802354193</stp>
        <tr r="D50" s="4"/>
      </tp>
      <tp t="s">
        <v>#N/A N/A</v>
        <stp/>
        <stp>BDH|12744362219817416372</stp>
        <tr r="L92" s="4"/>
      </tp>
      <tp t="s">
        <v>#N/A N/A</v>
        <stp/>
        <stp>BDH|16895294032822056183</stp>
        <tr r="I71" s="4"/>
      </tp>
      <tp t="s">
        <v>#N/A N/A</v>
        <stp/>
        <stp>BDH|14121712249087197438</stp>
        <tr r="H72" s="4"/>
      </tp>
      <tp t="s">
        <v>#N/A N/A</v>
        <stp/>
        <stp>BDH|14472795738335990178</stp>
        <tr r="C23" s="3"/>
      </tp>
      <tp t="s">
        <v>#N/A N/A</v>
        <stp/>
        <stp>BDH|14912129789430936908</stp>
        <tr r="D36" s="3"/>
      </tp>
      <tp t="s">
        <v>#N/A N/A</v>
        <stp/>
        <stp>BDH|17901347089858632086</stp>
        <tr r="E63" s="3"/>
      </tp>
      <tp t="s">
        <v>#N/A N/A</v>
        <stp/>
        <stp>BDH|16233582881909547645</stp>
        <tr r="I71" s="3"/>
      </tp>
      <tp t="s">
        <v>#N/A N/A</v>
        <stp/>
        <stp>BDH|13422338136627978023</stp>
        <tr r="J36" s="4"/>
      </tp>
      <tp t="s">
        <v>#N/A N/A</v>
        <stp/>
        <stp>BDH|13516408117347802504</stp>
        <tr r="I39" s="3"/>
      </tp>
      <tp t="s">
        <v>#N/A N/A</v>
        <stp/>
        <stp>BDH|11563385463698785830</stp>
        <tr r="C37" s="5"/>
      </tp>
      <tp t="s">
        <v>#N/A N/A</v>
        <stp/>
        <stp>BDH|10540191471331007371</stp>
        <tr r="H9" s="4"/>
      </tp>
      <tp t="s">
        <v>#N/A N/A</v>
        <stp/>
        <stp>BDH|13880272647308549907</stp>
        <tr r="K14" s="5"/>
      </tp>
      <tp t="s">
        <v>#N/A N/A</v>
        <stp/>
        <stp>BDH|15821749411852597555</stp>
        <tr r="J52" s="5"/>
      </tp>
      <tp t="s">
        <v>#N/A N/A</v>
        <stp/>
        <stp>BDH|16631623760727939503</stp>
        <tr r="D12" s="4"/>
      </tp>
      <tp t="s">
        <v>#N/A N/A</v>
        <stp/>
        <stp>BDH|15926078324392603108</stp>
        <tr r="I31" s="4"/>
      </tp>
      <tp t="s">
        <v>#N/A N/A</v>
        <stp/>
        <stp>BDH|10399795731805240554</stp>
        <tr r="I57" s="3"/>
        <tr r="I20" s="2"/>
      </tp>
      <tp t="s">
        <v>#N/A N/A</v>
        <stp/>
        <stp>BDH|11750525963245962308</stp>
        <tr r="C45" s="4"/>
      </tp>
      <tp t="s">
        <v>#N/A N/A</v>
        <stp/>
        <stp>BDH|16963604415513394602</stp>
        <tr r="J93" s="4"/>
      </tp>
      <tp t="s">
        <v>#N/A N/A</v>
        <stp/>
        <stp>BDH|11824014576011242322</stp>
        <tr r="C85" s="4"/>
      </tp>
      <tp t="s">
        <v>#N/A N/A</v>
        <stp/>
        <stp>BDH|11070361379403644261</stp>
        <tr r="D18" s="5"/>
      </tp>
      <tp t="s">
        <v>#N/A N/A</v>
        <stp/>
        <stp>BDH|17015118262656569282</stp>
        <tr r="H53" s="4"/>
      </tp>
      <tp t="s">
        <v>#N/A N/A</v>
        <stp/>
        <stp>BDH|15067871084702519389</stp>
        <tr r="D41" s="5"/>
      </tp>
      <tp t="s">
        <v>#N/A N/A</v>
        <stp/>
        <stp>BDH|17999212150797328351</stp>
        <tr r="C67" s="3"/>
      </tp>
      <tp t="s">
        <v>#N/A N/A</v>
        <stp/>
        <stp>BDH|17657165143941561780</stp>
        <tr r="L15" s="5"/>
      </tp>
      <tp t="s">
        <v>#N/A N/A</v>
        <stp/>
        <stp>BDH|13486260429457644035</stp>
        <tr r="H12" s="3"/>
      </tp>
      <tp t="s">
        <v>#N/A N/A</v>
        <stp/>
        <stp>BDH|10668363031040022508</stp>
        <tr r="C8" s="2"/>
      </tp>
      <tp t="s">
        <v>#N/A N/A</v>
        <stp/>
        <stp>BDH|14711106036025589658</stp>
        <tr r="C26" s="3"/>
      </tp>
      <tp t="s">
        <v>#N/A N/A</v>
        <stp/>
        <stp>BDH|14271217471507206312</stp>
        <tr r="E61" s="3"/>
        <tr r="E16" s="2"/>
      </tp>
      <tp t="s">
        <v>#N/A N/A</v>
        <stp/>
        <stp>BDH|13935872881697958174</stp>
        <tr r="J12" s="3"/>
      </tp>
      <tp t="s">
        <v>#N/A N/A</v>
        <stp/>
        <stp>BDH|13722067173183386212</stp>
        <tr r="H65" s="5"/>
      </tp>
      <tp t="s">
        <v>#N/A N/A</v>
        <stp/>
        <stp>BDH|11748396499738275650</stp>
        <tr r="F67" s="5"/>
      </tp>
      <tp t="s">
        <v>#N/A N/A</v>
        <stp/>
        <stp>BDH|11237657820289159966</stp>
        <tr r="L60" s="5"/>
      </tp>
      <tp t="s">
        <v>#N/A N/A</v>
        <stp/>
        <stp>BDH|14518818687625626464</stp>
        <tr r="G18" s="3"/>
      </tp>
      <tp t="s">
        <v>#N/A N/A</v>
        <stp/>
        <stp>BDH|10716623611241515328</stp>
        <tr r="K28" s="4"/>
      </tp>
      <tp t="s">
        <v>#N/A N/A</v>
        <stp/>
        <stp>BDH|10169126945928133846</stp>
        <tr r="I15" s="4"/>
      </tp>
      <tp t="s">
        <v>#N/A N/A</v>
        <stp/>
        <stp>BDH|11702265560522023220</stp>
        <tr r="D9" s="2"/>
      </tp>
      <tp t="s">
        <v>#N/A N/A</v>
        <stp/>
        <stp>BDH|12224367756512255335</stp>
        <tr r="E53" s="4"/>
      </tp>
      <tp t="s">
        <v>#N/A N/A</v>
        <stp/>
        <stp>BDH|11983657706226185485</stp>
        <tr r="G12" s="5"/>
      </tp>
      <tp t="s">
        <v>#N/A N/A</v>
        <stp/>
        <stp>BDH|16464643507371007441</stp>
        <tr r="G34" s="5"/>
      </tp>
      <tp t="s">
        <v>#N/A N/A</v>
        <stp/>
        <stp>BDH|14172558453416216773</stp>
        <tr r="G87" s="4"/>
      </tp>
      <tp t="s">
        <v>#N/A N/A</v>
        <stp/>
        <stp>BDH|15234073839600775396</stp>
        <tr r="H59" s="4"/>
      </tp>
      <tp t="s">
        <v>#N/A N/A</v>
        <stp/>
        <stp>BDH|16087009201312710144</stp>
        <tr r="H25" s="4"/>
      </tp>
      <tp t="s">
        <v>#N/A N/A</v>
        <stp/>
        <stp>BDH|10886447826495914660</stp>
        <tr r="H16" s="4"/>
      </tp>
      <tp t="s">
        <v>#N/A N/A</v>
        <stp/>
        <stp>BDH|10554410201354120515</stp>
        <tr r="F17" s="5"/>
      </tp>
      <tp t="s">
        <v>#N/A N/A</v>
        <stp/>
        <stp>BDH|15327936579816403896</stp>
        <tr r="I64" s="3"/>
      </tp>
      <tp t="s">
        <v>#N/A N/A</v>
        <stp/>
        <stp>BDH|14403737477303098243</stp>
        <tr r="D43" s="4"/>
      </tp>
      <tp t="s">
        <v>#N/A N/A</v>
        <stp/>
        <stp>BDH|17747641784469295514</stp>
        <tr r="L61" s="4"/>
      </tp>
      <tp t="s">
        <v>#N/A N/A</v>
        <stp/>
        <stp>BDH|13518579132880022079</stp>
        <tr r="L27" s="4"/>
      </tp>
      <tp t="s">
        <v>#N/A N/A</v>
        <stp/>
        <stp>BDH|12785424341444135321</stp>
        <tr r="G32" s="5"/>
      </tp>
      <tp t="s">
        <v>#N/A N/A</v>
        <stp/>
        <stp>BDH|10508426361721081616</stp>
        <tr r="J19" s="4"/>
      </tp>
      <tp t="s">
        <v>#N/A N/A</v>
        <stp/>
        <stp>BDH|12560701262781286726</stp>
        <tr r="H57" s="5"/>
      </tp>
      <tp t="s">
        <v>#N/A N/A</v>
        <stp/>
        <stp>BDH|16118980526121831901</stp>
        <tr r="I18" s="3"/>
      </tp>
      <tp t="s">
        <v>#N/A N/A</v>
        <stp/>
        <stp>BDH|15329295234062870311</stp>
        <tr r="G7" s="2"/>
      </tp>
      <tp t="s">
        <v>#N/A N/A</v>
        <stp/>
        <stp>BDH|17876715513494942044</stp>
        <tr r="G83" s="4"/>
      </tp>
      <tp t="s">
        <v>#N/A N/A</v>
        <stp/>
        <stp>BDH|17576971391337106551</stp>
        <tr r="I20" s="4"/>
      </tp>
      <tp t="s">
        <v>#N/A N/A</v>
        <stp/>
        <stp>BDH|16061218902820670139</stp>
        <tr r="I68" s="3"/>
      </tp>
      <tp t="s">
        <v>#N/A N/A</v>
        <stp/>
        <stp>BDH|13733445362487095374</stp>
        <tr r="F91" s="4"/>
      </tp>
      <tp t="s">
        <v>#N/A N/A</v>
        <stp/>
        <stp>BDH|13335165720854318103</stp>
        <tr r="F43" s="4"/>
      </tp>
      <tp t="s">
        <v>#N/A N/A</v>
        <stp/>
        <stp>BDH|11949933771633298906</stp>
        <tr r="I16" s="4"/>
      </tp>
      <tp t="s">
        <v>#N/A N/A</v>
        <stp/>
        <stp>BDH|14942629712187661166</stp>
        <tr r="H7" s="3"/>
      </tp>
      <tp t="s">
        <v>#N/A N/A</v>
        <stp/>
        <stp>BDH|13156603214841942056</stp>
        <tr r="I69" s="4"/>
      </tp>
      <tp t="s">
        <v>#N/A N/A</v>
        <stp/>
        <stp>BDH|14138951482869887975</stp>
        <tr r="K52" s="4"/>
      </tp>
      <tp t="s">
        <v>#N/A N/A</v>
        <stp/>
        <stp>BDH|14384704925715749194</stp>
        <tr r="I56" s="3"/>
      </tp>
      <tp t="s">
        <v>#N/A N/A</v>
        <stp/>
        <stp>BDH|16421658579741958392</stp>
        <tr r="D92" s="4"/>
      </tp>
      <tp t="s">
        <v>#N/A N/A</v>
        <stp/>
        <stp>BDH|12151270755026370688</stp>
        <tr r="F76" s="4"/>
      </tp>
      <tp t="s">
        <v>#N/A N/A</v>
        <stp/>
        <stp>BDH|14282162101668437895</stp>
        <tr r="C48" s="4"/>
      </tp>
      <tp t="s">
        <v>#N/A N/A</v>
        <stp/>
        <stp>BDH|11056527605673706287</stp>
        <tr r="F50" s="3"/>
      </tp>
      <tp t="s">
        <v>#N/A N/A</v>
        <stp/>
        <stp>BDH|16786483626946148301</stp>
        <tr r="H9" s="5"/>
      </tp>
      <tp t="s">
        <v>#N/A N/A</v>
        <stp/>
        <stp>BDH|11033447665825852320</stp>
        <tr r="E36" s="4"/>
      </tp>
      <tp t="s">
        <v>#N/A N/A</v>
        <stp/>
        <stp>BDH|12098649138007703507</stp>
        <tr r="C71" s="3"/>
      </tp>
      <tp t="s">
        <v>#N/A N/A</v>
        <stp/>
        <stp>BDH|12813677403403259252</stp>
        <tr r="K53" s="4"/>
      </tp>
      <tp t="s">
        <v>#N/A N/A</v>
        <stp/>
        <stp>BDH|17096267408769100954</stp>
        <tr r="L46" s="4"/>
      </tp>
      <tp t="s">
        <v>#N/A N/A</v>
        <stp/>
        <stp>BDH|13156709568347057038</stp>
        <tr r="J20" s="4"/>
      </tp>
      <tp t="s">
        <v>#N/A N/A</v>
        <stp/>
        <stp>BDH|12674683703630041109</stp>
        <tr r="I41" s="3"/>
      </tp>
      <tp t="s">
        <v>#N/A N/A</v>
        <stp/>
        <stp>BDH|11838030008525601188</stp>
        <tr r="D32" s="3"/>
      </tp>
      <tp t="s">
        <v>#N/A N/A</v>
        <stp/>
        <stp>BDH|13135635967921034782</stp>
        <tr r="J14" s="3"/>
      </tp>
      <tp t="s">
        <v>#N/A N/A</v>
        <stp/>
        <stp>BDH|10286918259040282954</stp>
        <tr r="I17" s="5"/>
      </tp>
      <tp t="s">
        <v>#N/A N/A</v>
        <stp/>
        <stp>BDH|17526911637581998979</stp>
        <tr r="I8" s="5"/>
      </tp>
      <tp t="s">
        <v>#N/A N/A</v>
        <stp/>
        <stp>BDH|13648698673287106014</stp>
        <tr r="D38" s="3"/>
      </tp>
      <tp t="s">
        <v>#N/A N/A</v>
        <stp/>
        <stp>BDH|17487085644636010044</stp>
        <tr r="F65" s="5"/>
      </tp>
      <tp t="s">
        <v>#N/A N/A</v>
        <stp/>
        <stp>BDH|14872159735776406533</stp>
        <tr r="F19" s="4"/>
      </tp>
      <tp t="s">
        <v>#N/A N/A</v>
        <stp/>
        <stp>BDH|15290602968375052554</stp>
        <tr r="D37" s="3"/>
      </tp>
      <tp t="s">
        <v>#N/A N/A</v>
        <stp/>
        <stp>BDH|12154085640350651307</stp>
        <tr r="G63" s="4"/>
      </tp>
      <tp t="s">
        <v>#N/A N/A</v>
        <stp/>
        <stp>BDH|14960445847097324665</stp>
        <tr r="H40" s="3"/>
      </tp>
      <tp t="s">
        <v>#N/A N/A</v>
        <stp/>
        <stp>BDH|10372614932811652184</stp>
        <tr r="C82" s="4"/>
      </tp>
      <tp t="s">
        <v>#N/A N/A</v>
        <stp/>
        <stp>BDH|14294078863895152291</stp>
        <tr r="K21" s="5"/>
      </tp>
    </main>
    <main first="bofaddin.rtdserver">
      <tp t="s">
        <v>#N/A N/A</v>
        <stp/>
        <stp>BDH|1968621237380105875</stp>
        <tr r="F45" s="5"/>
      </tp>
      <tp t="s">
        <v>#N/A N/A</v>
        <stp/>
        <stp>BDH|2076985751797786546</stp>
        <tr r="C66" s="5"/>
      </tp>
      <tp t="s">
        <v>#N/A N/A</v>
        <stp/>
        <stp>BDH|7107080266885408814</stp>
        <tr r="I48" s="5"/>
      </tp>
      <tp t="s">
        <v>#N/A N/A</v>
        <stp/>
        <stp>BDH|2536104417947003993</stp>
        <tr r="C56" s="4"/>
      </tp>
      <tp t="s">
        <v>#N/A N/A</v>
        <stp/>
        <stp>BDH|6776211696695995425</stp>
        <tr r="D76" s="4"/>
      </tp>
      <tp t="s">
        <v>#N/A N/A</v>
        <stp/>
        <stp>BDH|6884447225319428562</stp>
        <tr r="D8" s="3"/>
      </tp>
      <tp t="s">
        <v>#N/A N/A</v>
        <stp/>
        <stp>BDH|6102217159358151503</stp>
        <tr r="D31" s="4"/>
      </tp>
      <tp t="s">
        <v>#N/A N/A</v>
        <stp/>
        <stp>BDH|5251493495797426328</stp>
        <tr r="G43" s="5"/>
      </tp>
      <tp t="s">
        <v>#N/A N/A</v>
        <stp/>
        <stp>BDH|2915827277110355160</stp>
        <tr r="F6" s="2"/>
      </tp>
      <tp t="s">
        <v>#N/A N/A</v>
        <stp/>
        <stp>BDH|7295595489670963628</stp>
        <tr r="E9" s="3"/>
      </tp>
      <tp t="s">
        <v>#N/A N/A</v>
        <stp/>
        <stp>BDH|3544327199946283356</stp>
        <tr r="E30" s="5"/>
      </tp>
      <tp t="s">
        <v>#N/A N/A</v>
        <stp/>
        <stp>BDH|3228698261358665753</stp>
        <tr r="F93" s="4"/>
      </tp>
      <tp t="s">
        <v>#N/A N/A</v>
        <stp/>
        <stp>BDH|4612420786683478780</stp>
        <tr r="J29" s="4"/>
      </tp>
      <tp t="s">
        <v>#N/A N/A</v>
        <stp/>
        <stp>BDH|9242680735655627576</stp>
        <tr r="J52" s="3"/>
      </tp>
      <tp t="s">
        <v>#N/A N/A</v>
        <stp/>
        <stp>BDH|8341197018105810153</stp>
        <tr r="D47" s="3"/>
        <tr r="D35" s="3"/>
      </tp>
      <tp t="s">
        <v>#N/A N/A</v>
        <stp/>
        <stp>BDH|2649872407677109180</stp>
        <tr r="H36" s="3"/>
      </tp>
      <tp t="s">
        <v>#N/A N/A</v>
        <stp/>
        <stp>BDH|2441884821021919581</stp>
        <tr r="I6" s="2"/>
      </tp>
      <tp t="s">
        <v>#N/A N/A</v>
        <stp/>
        <stp>BDH|2937132165781218810</stp>
        <tr r="G67" s="5"/>
      </tp>
      <tp t="s">
        <v>#N/A N/A</v>
        <stp/>
        <stp>BDH|8964220013461550618</stp>
        <tr r="J46" s="3"/>
      </tp>
      <tp t="s">
        <v>#N/A N/A</v>
        <stp/>
        <stp>BDH|9922719134484641572</stp>
        <tr r="E38" s="4"/>
      </tp>
      <tp t="s">
        <v>#N/A N/A</v>
        <stp/>
        <stp>BDH|2670387754690483834</stp>
        <tr r="H56" s="4"/>
      </tp>
      <tp t="s">
        <v>#N/A N/A</v>
        <stp/>
        <stp>BDH|3907963141561381303</stp>
        <tr r="K30" s="4"/>
      </tp>
      <tp t="s">
        <v>#N/A N/A</v>
        <stp/>
        <stp>BDH|5700875061397582093</stp>
        <tr r="G8" s="3"/>
      </tp>
      <tp t="s">
        <v>#N/A N/A</v>
        <stp/>
        <stp>BDH|1582641338421255999</stp>
        <tr r="F42" s="3"/>
      </tp>
      <tp t="s">
        <v>#N/A N/A</v>
        <stp/>
        <stp>BDH|8949681030224775548</stp>
        <tr r="F25" s="4"/>
      </tp>
      <tp t="s">
        <v>#N/A N/A</v>
        <stp/>
        <stp>BDH|9199347530450018567</stp>
        <tr r="J15" s="4"/>
      </tp>
      <tp t="s">
        <v>#N/A N/A</v>
        <stp/>
        <stp>BDH|6132415214629106650</stp>
        <tr r="E13" s="4"/>
      </tp>
      <tp t="s">
        <v>#N/A N/A</v>
        <stp/>
        <stp>BDH|2123755017369777143</stp>
        <tr r="F66" s="5"/>
      </tp>
      <tp t="s">
        <v>#N/A N/A</v>
        <stp/>
        <stp>BDH|9344443109433968271</stp>
        <tr r="L58" s="4"/>
      </tp>
      <tp t="s">
        <v>#N/A N/A</v>
        <stp/>
        <stp>BDH|4741059944839104578</stp>
        <tr r="K34" s="5"/>
      </tp>
      <tp t="s">
        <v>#N/A N/A</v>
        <stp/>
        <stp>BDH|5998474589364039173</stp>
        <tr r="E90" s="4"/>
      </tp>
      <tp t="s">
        <v>#N/A N/A</v>
        <stp/>
        <stp>BDH|5421421074273766946</stp>
        <tr r="F41" s="3"/>
      </tp>
      <tp t="s">
        <v>#N/A N/A</v>
        <stp/>
        <stp>BDH|2174024296770518714</stp>
        <tr r="J10" s="2"/>
      </tp>
      <tp t="s">
        <v>#N/A N/A</v>
        <stp/>
        <stp>BDH|7013416972549435160</stp>
        <tr r="C39" s="4"/>
      </tp>
      <tp t="s">
        <v>#N/A N/A</v>
        <stp/>
        <stp>BDH|2059433606238541217</stp>
        <tr r="J21" s="5"/>
      </tp>
      <tp t="s">
        <v>#N/A N/A</v>
        <stp/>
        <stp>BDH|6665461653139072228</stp>
        <tr r="C28" s="5"/>
      </tp>
      <tp t="s">
        <v>#N/A N/A</v>
        <stp/>
        <stp>BDH|3528153286956059075</stp>
        <tr r="J89" s="4"/>
      </tp>
      <tp t="s">
        <v>#N/A N/A</v>
        <stp/>
        <stp>BDH|2217163091562359478</stp>
        <tr r="J19" s="3"/>
      </tp>
      <tp t="s">
        <v>#N/A N/A</v>
        <stp/>
        <stp>BDH|6836056919698213303</stp>
        <tr r="J15" s="5"/>
      </tp>
      <tp t="s">
        <v>#N/A N/A</v>
        <stp/>
        <stp>BDH|5002920567194442274</stp>
        <tr r="H77" s="4"/>
      </tp>
      <tp t="s">
        <v>#N/A N/A</v>
        <stp/>
        <stp>BDH|7456730085152286668</stp>
        <tr r="L29" s="4"/>
      </tp>
      <tp t="s">
        <v>#N/A N/A</v>
        <stp/>
        <stp>BDH|8282605526983776354</stp>
        <tr r="H49" s="4"/>
      </tp>
      <tp t="s">
        <v>#N/A N/A</v>
        <stp/>
        <stp>BDH|8596565865803458448</stp>
        <tr r="D28" s="3"/>
      </tp>
      <tp t="s">
        <v>#N/A N/A</v>
        <stp/>
        <stp>BDH|9995838797856303285</stp>
        <tr r="G33" s="4"/>
      </tp>
      <tp t="s">
        <v>#N/A N/A</v>
        <stp/>
        <stp>BDH|2343261647530475815</stp>
        <tr r="L20" s="4"/>
      </tp>
      <tp t="s">
        <v>#N/A N/A</v>
        <stp/>
        <stp>BDH|4307896800355515586</stp>
        <tr r="H47" s="4"/>
      </tp>
      <tp t="s">
        <v>#N/A N/A</v>
        <stp/>
        <stp>BDH|8155141060776575571</stp>
        <tr r="J24" s="5"/>
      </tp>
      <tp t="s">
        <v>#N/A N/A</v>
        <stp/>
        <stp>BDH|9251458667472495536</stp>
        <tr r="F56" s="3"/>
      </tp>
      <tp t="s">
        <v>#N/A N/A</v>
        <stp/>
        <stp>BDH|6143279134262462912</stp>
        <tr r="I45" s="3"/>
        <tr r="I18" s="2"/>
      </tp>
      <tp t="s">
        <v>#N/A N/A</v>
        <stp/>
        <stp>BDH|6344846002856293409</stp>
        <tr r="C8" s="5"/>
      </tp>
      <tp t="s">
        <v>#N/A N/A</v>
        <stp/>
        <stp>BDH|1840326544373862918</stp>
        <tr r="I10" s="3"/>
      </tp>
      <tp t="s">
        <v>#N/A N/A</v>
        <stp/>
        <stp>BDH|2265771887638148975</stp>
        <tr r="C69" s="3"/>
      </tp>
      <tp t="s">
        <v>#N/A N/A</v>
        <stp/>
        <stp>BDH|8098934025199182636</stp>
        <tr r="I69" s="3"/>
      </tp>
      <tp t="s">
        <v>#N/A N/A</v>
        <stp/>
        <stp>BDH|2289577092347645553</stp>
        <tr r="F29" s="5"/>
      </tp>
      <tp t="s">
        <v>#N/A N/A</v>
        <stp/>
        <stp>BDH|5156074623479940291</stp>
        <tr r="J72" s="4"/>
      </tp>
      <tp t="s">
        <v>#N/A N/A</v>
        <stp/>
        <stp>BDH|3666146935535403862</stp>
        <tr r="K85" s="4"/>
      </tp>
      <tp t="s">
        <v>#N/A N/A</v>
        <stp/>
        <stp>BDH|8646540954561646552</stp>
        <tr r="C74" s="4"/>
      </tp>
      <tp t="s">
        <v>#N/A N/A</v>
        <stp/>
        <stp>BDH|41151691279804014</stp>
        <tr r="I10" s="2"/>
      </tp>
      <tp t="s">
        <v>#N/A N/A</v>
        <stp/>
        <stp>BDH|7202389891495814594</stp>
        <tr r="K16" s="4"/>
      </tp>
      <tp t="s">
        <v>#N/A N/A</v>
        <stp/>
        <stp>BDH|1098839069046257429</stp>
        <tr r="C62" s="5"/>
      </tp>
      <tp t="s">
        <v>#N/A N/A</v>
        <stp/>
        <stp>BDH|3281918408025410247</stp>
        <tr r="G52" s="5"/>
      </tp>
      <tp t="s">
        <v>#N/A N/A</v>
        <stp/>
        <stp>BDH|5701088025862996885</stp>
        <tr r="I31" s="5"/>
      </tp>
      <tp t="s">
        <v>#N/A N/A</v>
        <stp/>
        <stp>BDH|7546922176606870216</stp>
        <tr r="D29" s="4"/>
      </tp>
      <tp t="s">
        <v>#N/A N/A</v>
        <stp/>
        <stp>BDH|2818447456449406763</stp>
        <tr r="F12" s="3"/>
      </tp>
      <tp t="s">
        <v>#N/A N/A</v>
        <stp/>
        <stp>BDH|2451345780291801501</stp>
        <tr r="J51" s="3"/>
      </tp>
      <tp t="s">
        <v>#N/A N/A</v>
        <stp/>
        <stp>BDH|9701687417315999699</stp>
        <tr r="L9" s="4"/>
      </tp>
      <tp t="s">
        <v>#N/A N/A</v>
        <stp/>
        <stp>BDH|3998851571683054252</stp>
        <tr r="K49" s="4"/>
      </tp>
      <tp t="s">
        <v>#N/A N/A</v>
        <stp/>
        <stp>BDH|3890070033398134548</stp>
        <tr r="H82" s="4"/>
      </tp>
      <tp t="s">
        <v>#N/A N/A</v>
        <stp/>
        <stp>BDH|9967074107613659764</stp>
        <tr r="E34" s="5"/>
      </tp>
      <tp t="s">
        <v>#N/A N/A</v>
        <stp/>
        <stp>BDH|6146030739181739924</stp>
        <tr r="F32" s="3"/>
      </tp>
      <tp t="s">
        <v>#N/A N/A</v>
        <stp/>
        <stp>BDH|7807920377140177422</stp>
        <tr r="E84" s="4"/>
      </tp>
      <tp t="s">
        <v>#N/A N/A</v>
        <stp/>
        <stp>BDH|4382802968202261576</stp>
        <tr r="C68" s="3"/>
      </tp>
      <tp t="s">
        <v>#N/A N/A</v>
        <stp/>
        <stp>BDH|5822310417282378826</stp>
        <tr r="H13" s="5"/>
      </tp>
      <tp t="s">
        <v>#N/A N/A</v>
        <stp/>
        <stp>BDH|8901850813554411842</stp>
        <tr r="E41" s="3"/>
      </tp>
      <tp t="s">
        <v>#N/A N/A</v>
        <stp/>
        <stp>BDH|2706681091810623072</stp>
        <tr r="G53" s="4"/>
      </tp>
      <tp t="s">
        <v>#N/A N/A</v>
        <stp/>
        <stp>BDH|5979739077279625147</stp>
        <tr r="J13" s="2"/>
      </tp>
      <tp t="s">
        <v>#N/A N/A</v>
        <stp/>
        <stp>BDH|8112722452900715794</stp>
        <tr r="J61" s="5"/>
      </tp>
      <tp t="s">
        <v>#N/A N/A</v>
        <stp/>
        <stp>BDH|5653198640709123416</stp>
        <tr r="F27" s="5"/>
      </tp>
      <tp t="s">
        <v>#N/A N/A</v>
        <stp/>
        <stp>BDH|7485970385389999239</stp>
        <tr r="E61" s="4"/>
      </tp>
      <tp t="s">
        <v>#N/A N/A</v>
        <stp/>
        <stp>BDH|1836821761200232259</stp>
        <tr r="H48" s="4"/>
      </tp>
      <tp t="s">
        <v>#N/A N/A</v>
        <stp/>
        <stp>BDH|8238149524710864664</stp>
        <tr r="F67" s="4"/>
      </tp>
      <tp t="s">
        <v>#N/A N/A</v>
        <stp/>
        <stp>BDH|1734283372881486840</stp>
        <tr r="I60" s="4"/>
      </tp>
      <tp t="s">
        <v>#N/A N/A</v>
        <stp/>
        <stp>BDH|7335872216233715084</stp>
        <tr r="E65" s="3"/>
      </tp>
      <tp t="s">
        <v>#N/A N/A</v>
        <stp/>
        <stp>BDH|7808479585016302047</stp>
        <tr r="G6" s="3"/>
        <tr r="G12" s="2"/>
      </tp>
      <tp t="s">
        <v>#N/A N/A</v>
        <stp/>
        <stp>BDH|9744387529287653221</stp>
        <tr r="E40" s="3"/>
      </tp>
      <tp t="s">
        <v>#N/A N/A</v>
        <stp/>
        <stp>BDH|9015020390465895885</stp>
        <tr r="K91" s="4"/>
      </tp>
      <tp t="s">
        <v>#N/A N/A</v>
        <stp/>
        <stp>BDH|1439965821793567448</stp>
        <tr r="C65" s="3"/>
      </tp>
      <tp t="s">
        <v>#N/A N/A</v>
        <stp/>
        <stp>BDH|8104046976667756572</stp>
        <tr r="H52" s="3"/>
      </tp>
      <tp t="s">
        <v>#N/A N/A</v>
        <stp/>
        <stp>BDH|8388813288792986708</stp>
        <tr r="F33" s="4"/>
      </tp>
      <tp t="s">
        <v>#N/A N/A</v>
        <stp/>
        <stp>BDH|9829902191156098299</stp>
        <tr r="G12" s="3"/>
      </tp>
      <tp t="s">
        <v>#N/A N/A</v>
        <stp/>
        <stp>BDH|5101444285210569452</stp>
        <tr r="I23" s="5"/>
      </tp>
      <tp t="s">
        <v>#N/A N/A</v>
        <stp/>
        <stp>BDH|1028470099944688585</stp>
        <tr r="E50" s="3"/>
      </tp>
      <tp t="s">
        <v>#N/A N/A</v>
        <stp/>
        <stp>BDH|9371079201405437114</stp>
        <tr r="K37" s="5"/>
      </tp>
      <tp t="s">
        <v>#N/A N/A</v>
        <stp/>
        <stp>BDH|9747481661475676397</stp>
        <tr r="C9" s="4"/>
      </tp>
      <tp t="s">
        <v>#N/A N/A</v>
        <stp/>
        <stp>BDH|2338475183285135670</stp>
        <tr r="E36" s="3"/>
      </tp>
      <tp t="s">
        <v>#N/A N/A</v>
        <stp/>
        <stp>BDH|6419822294032527868</stp>
        <tr r="H38" s="3"/>
      </tp>
      <tp t="s">
        <v>#N/A N/A</v>
        <stp/>
        <stp>BDH|6050714552108690145</stp>
        <tr r="H55" s="4"/>
      </tp>
      <tp t="s">
        <v>#N/A N/A</v>
        <stp/>
        <stp>BDH|7844006398092091117</stp>
        <tr r="L66" s="5"/>
      </tp>
      <tp t="s">
        <v>#N/A N/A</v>
        <stp/>
        <stp>BDH|8247075757138656825</stp>
        <tr r="E37" s="3"/>
      </tp>
      <tp t="s">
        <v>#N/A N/A</v>
        <stp/>
        <stp>BDH|2675462595400037238</stp>
        <tr r="F7" s="4"/>
      </tp>
      <tp t="s">
        <v>#N/A N/A</v>
        <stp/>
        <stp>BDH|8745094238516133019</stp>
        <tr r="H64" s="4"/>
      </tp>
      <tp t="s">
        <v>#N/A N/A</v>
        <stp/>
        <stp>BDH|2915047829248124527</stp>
        <tr r="K76" s="4"/>
      </tp>
      <tp t="s">
        <v>#N/A N/A</v>
        <stp/>
        <stp>BDH|2816524442607401983</stp>
        <tr r="F66" s="4"/>
      </tp>
      <tp t="s">
        <v>#N/A N/A</v>
        <stp/>
        <stp>BDH|4507334683447149506</stp>
        <tr r="H93" s="4"/>
      </tp>
      <tp t="s">
        <v>#N/A N/A</v>
        <stp/>
        <stp>BDH|4295751342309390327</stp>
        <tr r="H67" s="5"/>
      </tp>
      <tp t="s">
        <v>#N/A N/A</v>
        <stp/>
        <stp>BDH|8656909577123695833</stp>
        <tr r="J31" s="5"/>
      </tp>
      <tp t="s">
        <v>#N/A N/A</v>
        <stp/>
        <stp>BDH|1053461954849451423</stp>
        <tr r="I63" s="3"/>
      </tp>
      <tp t="s">
        <v>#N/A N/A</v>
        <stp/>
        <stp>BDH|9391171301623147606</stp>
        <tr r="I51" s="4"/>
      </tp>
      <tp t="s">
        <v>#N/A N/A</v>
        <stp/>
        <stp>BDH|5581014103639370101</stp>
        <tr r="E31" s="4"/>
      </tp>
      <tp t="s">
        <v>#N/A N/A</v>
        <stp/>
        <stp>BDH|9905785004915534640</stp>
        <tr r="L83" s="4"/>
      </tp>
      <tp t="s">
        <v>#N/A N/A</v>
        <stp/>
        <stp>BDH|6053417787936366108</stp>
        <tr r="E50" s="5"/>
      </tp>
      <tp t="s">
        <v>#N/A N/A</v>
        <stp/>
        <stp>BDH|8428569265782307414</stp>
        <tr r="H48" s="5"/>
      </tp>
      <tp t="s">
        <v>#N/A N/A</v>
        <stp/>
        <stp>BDH|5204362419043905918</stp>
        <tr r="D32" s="5"/>
      </tp>
      <tp t="s">
        <v>#N/A N/A</v>
        <stp/>
        <stp>BDH|3580397037037730993</stp>
        <tr r="K87" s="4"/>
      </tp>
      <tp t="s">
        <v>#N/A N/A</v>
        <stp/>
        <stp>BDH|7715469063098042073</stp>
        <tr r="H70" s="3"/>
      </tp>
      <tp t="s">
        <v>#N/A N/A</v>
        <stp/>
        <stp>BDH|2114141091074184306</stp>
        <tr r="G93" s="4"/>
      </tp>
      <tp t="s">
        <v>#N/A N/A</v>
        <stp/>
        <stp>BDH|40549538150345614</stp>
        <tr r="J41" s="3"/>
      </tp>
      <tp t="s">
        <v>#N/A N/A</v>
        <stp/>
        <stp>BDH|8005591176627079352</stp>
        <tr r="K40" s="4"/>
      </tp>
      <tp t="s">
        <v>#N/A N/A</v>
        <stp/>
        <stp>BDH|9857526855502697533</stp>
        <tr r="D88" s="4"/>
      </tp>
      <tp t="s">
        <v>#N/A N/A</v>
        <stp/>
        <stp>BDH|9986563772147491210</stp>
        <tr r="H6" s="3"/>
        <tr r="H12" s="2"/>
      </tp>
      <tp t="s">
        <v>#N/A N/A</v>
        <stp/>
        <stp>BDH|4378942917257928517</stp>
        <tr r="D19" s="3"/>
      </tp>
      <tp t="s">
        <v>#N/A N/A</v>
        <stp/>
        <stp>BDH|1619534629249265167</stp>
        <tr r="I23" s="4"/>
      </tp>
      <tp t="s">
        <v>#N/A N/A</v>
        <stp/>
        <stp>BDH|4542696064748071210</stp>
        <tr r="D14" s="3"/>
      </tp>
      <tp t="s">
        <v>#N/A N/A</v>
        <stp/>
        <stp>BDH|3925800548955898405</stp>
        <tr r="D68" s="3"/>
      </tp>
      <tp t="s">
        <v>#N/A N/A</v>
        <stp/>
        <stp>BDH|4156855803531929301</stp>
        <tr r="C43" s="3"/>
      </tp>
      <tp t="s">
        <v>#N/A N/A</v>
        <stp/>
        <stp>BDH|6153988890098350058</stp>
        <tr r="J6" s="2"/>
      </tp>
      <tp t="s">
        <v>#N/A N/A</v>
        <stp/>
        <stp>BDH|7932924123655427734</stp>
        <tr r="J70" s="3"/>
      </tp>
      <tp t="s">
        <v>#N/A N/A</v>
        <stp/>
        <stp>BDH|6648374293492949046</stp>
        <tr r="C14" s="3"/>
      </tp>
      <tp t="s">
        <v>#N/A N/A</v>
        <stp/>
        <stp>BDH|7089044618721146925</stp>
        <tr r="F46" s="3"/>
      </tp>
      <tp t="s">
        <v>#N/A N/A</v>
        <stp/>
        <stp>BDH|8324944916956826862</stp>
        <tr r="E23" s="4"/>
      </tp>
      <tp t="s">
        <v>#N/A N/A</v>
        <stp/>
        <stp>BDH|9024775975537925074</stp>
        <tr r="C7" s="5"/>
      </tp>
      <tp t="s">
        <v>#N/A N/A</v>
        <stp/>
        <stp>BDH|5590143338728606135</stp>
        <tr r="F27" s="4"/>
      </tp>
      <tp t="s">
        <v>#N/A N/A</v>
        <stp/>
        <stp>BDH|3535190682842135632</stp>
        <tr r="D63" s="3"/>
      </tp>
      <tp t="s">
        <v>#N/A N/A</v>
        <stp/>
        <stp>BDH|3766365932088647598</stp>
        <tr r="C10" s="5"/>
      </tp>
      <tp t="s">
        <v>#N/A N/A</v>
        <stp/>
        <stp>BDH|3328496790020227048</stp>
        <tr r="F25" s="3"/>
      </tp>
      <tp t="s">
        <v>#N/A N/A</v>
        <stp/>
        <stp>BDH|3468075159681806900</stp>
        <tr r="K61" s="5"/>
      </tp>
      <tp t="s">
        <v>#N/A N/A</v>
        <stp/>
        <stp>BDH|2180520437003601907</stp>
        <tr r="L49" s="5"/>
      </tp>
      <tp t="s">
        <v>#N/A N/A</v>
        <stp/>
        <stp>BDH|7210909460291361732</stp>
        <tr r="H20" s="4"/>
      </tp>
      <tp t="s">
        <v>#N/A N/A</v>
        <stp/>
        <stp>BDH|2220270537719946480</stp>
        <tr r="C44" s="4"/>
      </tp>
      <tp t="s">
        <v>#N/A N/A</v>
        <stp/>
        <stp>BDH|7385734999826803127</stp>
        <tr r="D13" s="4"/>
      </tp>
      <tp t="s">
        <v>#N/A N/A</v>
        <stp/>
        <stp>BDH|5113994803707172592</stp>
        <tr r="F57" s="5"/>
      </tp>
      <tp t="s">
        <v>#N/A N/A</v>
        <stp/>
        <stp>BDH|5393606995870154445</stp>
        <tr r="J56" s="4"/>
      </tp>
      <tp t="s">
        <v>#N/A N/A</v>
        <stp/>
        <stp>BDH|5187553156532133906</stp>
        <tr r="D52" s="3"/>
      </tp>
      <tp t="s">
        <v>#N/A N/A</v>
        <stp/>
        <stp>BDH|4771501831235758917</stp>
        <tr r="E57" s="5"/>
      </tp>
      <tp t="s">
        <v>#N/A N/A</v>
        <stp/>
        <stp>BDH|3288105110008347511</stp>
        <tr r="J16" s="4"/>
      </tp>
      <tp t="s">
        <v>#N/A N/A</v>
        <stp/>
        <stp>BDH|3942100353288814131</stp>
        <tr r="C70" s="4"/>
      </tp>
      <tp t="s">
        <v>#N/A N/A</v>
        <stp/>
        <stp>BDH|9480413307347224410</stp>
        <tr r="E40" s="4"/>
      </tp>
      <tp t="s">
        <v>#N/A N/A</v>
        <stp/>
        <stp>BDH|9119424887859155247</stp>
        <tr r="E45" s="4"/>
      </tp>
      <tp t="s">
        <v>#N/A N/A</v>
        <stp/>
        <stp>BDH|5699369842289181524</stp>
        <tr r="H83" s="4"/>
      </tp>
      <tp t="s">
        <v>#N/A N/A</v>
        <stp/>
        <stp>BDH|1333671163607800897</stp>
        <tr r="I27" s="3"/>
      </tp>
      <tp t="s">
        <v>#N/A N/A</v>
        <stp/>
        <stp>BDH|1022907114555400265</stp>
        <tr r="C49" s="3"/>
      </tp>
      <tp t="s">
        <v>#N/A N/A</v>
        <stp/>
        <stp>BDH|3891840751606247691</stp>
        <tr r="G30" s="4"/>
      </tp>
      <tp t="s">
        <v>#N/A N/A</v>
        <stp/>
        <stp>BDH|6950000091021711086</stp>
        <tr r="D30" s="3"/>
      </tp>
      <tp t="s">
        <v>#N/A N/A</v>
        <stp/>
        <stp>BDH|9224115873097019673</stp>
        <tr r="F29" s="4"/>
      </tp>
      <tp t="s">
        <v>#N/A N/A</v>
        <stp/>
        <stp>BDH|8998959178428776070</stp>
        <tr r="E17" s="4"/>
      </tp>
      <tp t="s">
        <v>#N/A N/A</v>
        <stp/>
        <stp>BDH|5730491029864755949</stp>
        <tr r="I66" s="4"/>
      </tp>
      <tp t="s">
        <v>#N/A N/A</v>
        <stp/>
        <stp>BDH|7256143493192718370</stp>
        <tr r="C42" s="4"/>
      </tp>
      <tp t="s">
        <v>#N/A N/A</v>
        <stp/>
        <stp>BDH|7977480132658491624</stp>
        <tr r="C31" s="4"/>
      </tp>
      <tp t="s">
        <v>#N/A N/A</v>
        <stp/>
        <stp>BDH|4998692975938998269</stp>
        <tr r="G7" s="4"/>
      </tp>
      <tp t="s">
        <v>#N/A N/A</v>
        <stp/>
        <stp>BDH|1199716390762357293</stp>
        <tr r="E33" s="5"/>
      </tp>
      <tp t="s">
        <v>#N/A N/A</v>
        <stp/>
        <stp>BDH|9921173072094765407</stp>
        <tr r="D73" s="4"/>
      </tp>
      <tp t="s">
        <v>#N/A N/A</v>
        <stp/>
        <stp>BDH|9920055139184923176</stp>
        <tr r="G32" s="4"/>
      </tp>
      <tp t="s">
        <v>#N/A N/A</v>
        <stp/>
        <stp>BDH|6602666271891844921</stp>
        <tr r="J23" s="3"/>
      </tp>
      <tp t="s">
        <v>#N/A N/A</v>
        <stp/>
        <stp>BDH|3897728582216552552</stp>
        <tr r="K26" s="5"/>
      </tp>
      <tp t="s">
        <v>#N/A N/A</v>
        <stp/>
        <stp>BDH|3238149498165188175</stp>
        <tr r="E69" s="3"/>
      </tp>
      <tp t="s">
        <v>#N/A N/A</v>
        <stp/>
        <stp>BDH|9870773051825098175</stp>
        <tr r="J47" s="3"/>
        <tr r="J35" s="3"/>
      </tp>
      <tp t="s">
        <v>#N/A N/A</v>
        <stp/>
        <stp>BDH|7581846543020863443</stp>
        <tr r="K19" s="4"/>
      </tp>
      <tp t="s">
        <v>#N/A N/A</v>
        <stp/>
        <stp>BDH|9994683491688830177</stp>
        <tr r="H31" s="4"/>
      </tp>
      <tp t="s">
        <v>#N/A N/A</v>
        <stp/>
        <stp>BDH|6803561097423248649</stp>
        <tr r="F47" s="3"/>
        <tr r="F35" s="3"/>
      </tp>
      <tp t="s">
        <v>#N/A N/A</v>
        <stp/>
        <stp>BDH|3704993054085051564</stp>
        <tr r="K31" s="4"/>
      </tp>
      <tp t="s">
        <v>#N/A N/A</v>
        <stp/>
        <stp>BDH|7461669674489906035</stp>
        <tr r="K26" s="4"/>
      </tp>
      <tp t="s">
        <v>#N/A N/A</v>
        <stp/>
        <stp>BDH|3392509086308913915</stp>
        <tr r="F12" s="4"/>
      </tp>
      <tp t="s">
        <v>#N/A N/A</v>
        <stp/>
        <stp>BDH|3526938329905751259</stp>
        <tr r="E26" s="3"/>
      </tp>
      <tp t="s">
        <v>#N/A N/A</v>
        <stp/>
        <stp>BDH|7931125285412153328</stp>
        <tr r="E22" s="5"/>
      </tp>
      <tp t="s">
        <v>#N/A N/A</v>
        <stp/>
        <stp>BDH|6813403258930346817</stp>
        <tr r="F32" s="4"/>
      </tp>
      <tp t="s">
        <v>#N/A N/A</v>
        <stp/>
        <stp>BDH|2871083655841205957</stp>
        <tr r="H67" s="4"/>
      </tp>
      <tp t="s">
        <v>#N/A N/A</v>
        <stp/>
        <stp>BDH|6528648824428144571</stp>
        <tr r="C15" s="3"/>
      </tp>
      <tp t="s">
        <v>#N/A N/A</v>
        <stp/>
        <stp>BDH|7307876945192039629</stp>
        <tr r="C52" s="5"/>
      </tp>
      <tp t="s">
        <v>#N/A N/A</v>
        <stp/>
        <stp>BDH|6877399576255377843</stp>
        <tr r="C24" s="3"/>
      </tp>
      <tp t="s">
        <v>#N/A N/A</v>
        <stp/>
        <stp>BDH|3156710094484650629</stp>
        <tr r="J49" s="4"/>
      </tp>
      <tp t="s">
        <v>#N/A N/A</v>
        <stp/>
        <stp>BDH|1567066773741808889</stp>
        <tr r="L32" s="5"/>
      </tp>
      <tp t="s">
        <v>#N/A N/A</v>
        <stp/>
        <stp>BDH|9854017358334736771</stp>
        <tr r="C29" s="5"/>
      </tp>
      <tp t="s">
        <v>#N/A N/A</v>
        <stp/>
        <stp>BDH|5884748691605565195</stp>
        <tr r="H14" s="4"/>
      </tp>
      <tp t="s">
        <v>#N/A N/A</v>
        <stp/>
        <stp>BDH|2426459527622312941</stp>
        <tr r="E32" s="3"/>
      </tp>
      <tp t="s">
        <v>#N/A N/A</v>
        <stp/>
        <stp>BDH|4929592125259155527</stp>
        <tr r="C71" s="4"/>
      </tp>
      <tp t="s">
        <v>#N/A N/A</v>
        <stp/>
        <stp>BDH|2076672034599512104</stp>
        <tr r="H30" s="3"/>
      </tp>
      <tp t="s">
        <v>#N/A N/A</v>
        <stp/>
        <stp>BDH|8814242845860883177</stp>
        <tr r="J87" s="4"/>
      </tp>
      <tp t="s">
        <v>#N/A N/A</v>
        <stp/>
        <stp>BDH|8500459070062294646</stp>
        <tr r="E6" s="2"/>
      </tp>
      <tp t="s">
        <v>#N/A N/A</v>
        <stp/>
        <stp>BDH|5089887362581819541</stp>
        <tr r="I72" s="4"/>
      </tp>
      <tp t="s">
        <v>#N/A N/A</v>
        <stp/>
        <stp>BDH|4225248365768670729</stp>
        <tr r="G38" s="3"/>
      </tp>
      <tp t="s">
        <v>#N/A N/A</v>
        <stp/>
        <stp>BDH|8111259482734123906</stp>
        <tr r="C19" s="3"/>
      </tp>
      <tp t="s">
        <v>#N/A N/A</v>
        <stp/>
        <stp>BDH|9500312571455082720</stp>
        <tr r="E54" s="5"/>
      </tp>
      <tp t="s">
        <v>#N/A N/A</v>
        <stp/>
        <stp>BDH|9421657291901477808</stp>
        <tr r="G88" s="4"/>
      </tp>
      <tp t="s">
        <v>#N/A N/A</v>
        <stp/>
        <stp>BDH|1664139126558214552</stp>
        <tr r="H17" s="5"/>
      </tp>
      <tp t="s">
        <v>#N/A N/A</v>
        <stp/>
        <stp>BDH|9303517311556624400</stp>
        <tr r="K66" s="4"/>
      </tp>
      <tp t="s">
        <v>#N/A N/A</v>
        <stp/>
        <stp>BDH|2440429984904645517</stp>
        <tr r="J27" s="4"/>
      </tp>
      <tp t="s">
        <v>#N/A N/A</v>
        <stp/>
        <stp>BDH|6595955613637462625</stp>
        <tr r="L36" s="5"/>
      </tp>
      <tp t="s">
        <v>#N/A N/A</v>
        <stp/>
        <stp>BDH|2937488507481121820</stp>
        <tr r="F54" s="3"/>
      </tp>
      <tp t="s">
        <v>#N/A N/A</v>
        <stp/>
        <stp>BDH|60426132704255193</stp>
        <tr r="I30" s="4"/>
      </tp>
      <tp t="s">
        <v>#N/A N/A</v>
        <stp/>
        <stp>BDH|6998913610677638149</stp>
        <tr r="E23" s="3"/>
      </tp>
      <tp t="s">
        <v>#N/A N/A</v>
        <stp/>
        <stp>BDH|4960205831009306415</stp>
        <tr r="E82" s="4"/>
      </tp>
      <tp t="s">
        <v>#N/A N/A</v>
        <stp/>
        <stp>BDH|4892727293212243011</stp>
        <tr r="J62" s="4"/>
      </tp>
      <tp t="s">
        <v>#N/A N/A</v>
        <stp/>
        <stp>BDH|6604287091800632524</stp>
        <tr r="F7" s="5"/>
      </tp>
      <tp t="s">
        <v>#N/A N/A</v>
        <stp/>
        <stp>BDH|2808925262061208424</stp>
        <tr r="H23" s="5"/>
      </tp>
      <tp t="s">
        <v>#N/A N/A</v>
        <stp/>
        <stp>BDH|7029783895287727621</stp>
        <tr r="D24" s="2"/>
      </tp>
      <tp t="s">
        <v>#N/A N/A</v>
        <stp/>
        <stp>BDH|6553620998608669917</stp>
        <tr r="H61" s="5"/>
      </tp>
      <tp t="s">
        <v>#N/A N/A</v>
        <stp/>
        <stp>BDH|5513878934421134795</stp>
        <tr r="H76" s="4"/>
      </tp>
      <tp t="s">
        <v>#N/A N/A</v>
        <stp/>
        <stp>BDH|9460085681109018022</stp>
        <tr r="F26" s="5"/>
      </tp>
      <tp t="s">
        <v>#N/A N/A</v>
        <stp/>
        <stp>BDH|9593327525051976144</stp>
        <tr r="J48" s="5"/>
      </tp>
      <tp t="s">
        <v>#N/A N/A</v>
        <stp/>
        <stp>BDH|7546906429300930499</stp>
        <tr r="J14" s="4"/>
      </tp>
      <tp t="s">
        <v>#N/A N/A</v>
        <stp/>
        <stp>BDH|3124514491536436181</stp>
        <tr r="D82" s="4"/>
      </tp>
      <tp t="s">
        <v>#N/A N/A</v>
        <stp/>
        <stp>BDH|6394166005896969945</stp>
        <tr r="I12" s="3"/>
      </tp>
      <tp t="s">
        <v>#N/A N/A</v>
        <stp/>
        <stp>BDH|5783957998885450835</stp>
        <tr r="C87" s="4"/>
      </tp>
      <tp t="s">
        <v>#N/A N/A</v>
        <stp/>
        <stp>BDH|7203382985997512374</stp>
        <tr r="D25" s="5"/>
      </tp>
      <tp t="s">
        <v>#N/A N/A</v>
        <stp/>
        <stp>BDH|8304431240212195228</stp>
        <tr r="D45" s="4"/>
      </tp>
      <tp t="s">
        <v>#N/A N/A</v>
        <stp/>
        <stp>BDH|5576869912136280209</stp>
        <tr r="E60" s="5"/>
      </tp>
      <tp t="s">
        <v>#N/A N/A</v>
        <stp/>
        <stp>BDH|7746971197098020749</stp>
        <tr r="G25" s="5"/>
      </tp>
      <tp t="s">
        <v>#N/A N/A</v>
        <stp/>
        <stp>BDH|8347966692444697418</stp>
        <tr r="F61" s="4"/>
      </tp>
      <tp t="s">
        <v>#N/A N/A</v>
        <stp/>
        <stp>BDH|3802682942141618849</stp>
        <tr r="F60" s="5"/>
      </tp>
      <tp t="s">
        <v>#N/A N/A</v>
        <stp/>
        <stp>BDH|2987697756938443128</stp>
        <tr r="J66" s="3"/>
      </tp>
      <tp t="s">
        <v>#N/A N/A</v>
        <stp/>
        <stp>BDH|8147646248894826648</stp>
        <tr r="H13" s="4"/>
      </tp>
      <tp t="s">
        <v>#N/A N/A</v>
        <stp/>
        <stp>BDH|2144244533373516820</stp>
        <tr r="I32" s="4"/>
      </tp>
      <tp t="s">
        <v>#N/A N/A</v>
        <stp/>
        <stp>BDH|1281951773247187049</stp>
        <tr r="D6" s="3"/>
        <tr r="D12" s="2"/>
      </tp>
      <tp t="s">
        <v>#N/A N/A</v>
        <stp/>
        <stp>BDH|9600011366757419032</stp>
        <tr r="D27" s="3"/>
      </tp>
      <tp t="s">
        <v>#N/A N/A</v>
        <stp/>
        <stp>BDH|9767805270836538859</stp>
        <tr r="C24" s="2"/>
      </tp>
      <tp t="s">
        <v>#N/A N/A</v>
        <stp/>
        <stp>BDH|2032854116200233365</stp>
        <tr r="L16" s="5"/>
      </tp>
      <tp t="s">
        <v>#N/A N/A</v>
        <stp/>
        <stp>BDH|9743529032297194027</stp>
        <tr r="H36" s="4"/>
      </tp>
      <tp t="s">
        <v>#N/A N/A</v>
        <stp/>
        <stp>BDH|3008156436560018976</stp>
        <tr r="H41" s="3"/>
      </tp>
      <tp t="s">
        <v>#N/A N/A</v>
        <stp/>
        <stp>BDH|7637760801648078058</stp>
        <tr r="F40" s="5"/>
      </tp>
      <tp t="s">
        <v>#N/A N/A</v>
        <stp/>
        <stp>BDH|7604955087009199716</stp>
        <tr r="C54" s="3"/>
      </tp>
      <tp t="s">
        <v>#N/A N/A</v>
        <stp/>
        <stp>BDH|5271633384275211623</stp>
        <tr r="F52" s="5"/>
      </tp>
      <tp t="s">
        <v>#N/A N/A</v>
        <stp/>
        <stp>BDH|13610864103484675</stp>
        <tr r="C14" s="5"/>
      </tp>
      <tp t="s">
        <v>#N/A N/A</v>
        <stp/>
        <stp>BDH|9299491100370626478</stp>
        <tr r="F12" s="5"/>
      </tp>
      <tp t="s">
        <v>#N/A N/A</v>
        <stp/>
        <stp>BDH|2745598644469336338</stp>
        <tr r="C11" s="5"/>
      </tp>
      <tp t="s">
        <v>#N/A N/A</v>
        <stp/>
        <stp>BDH|8597065069453335434</stp>
        <tr r="H41" s="4"/>
      </tp>
      <tp t="s">
        <v>#N/A N/A</v>
        <stp/>
        <stp>BDH|6453599982072723039</stp>
        <tr r="D56" s="5"/>
      </tp>
      <tp t="s">
        <v>#N/A N/A</v>
        <stp/>
        <stp>BDH|2429481955469395318</stp>
        <tr r="C9" s="3"/>
      </tp>
      <tp t="s">
        <v>#N/A N/A</v>
        <stp/>
        <stp>BDH|9779830676539006694</stp>
        <tr r="J63" s="4"/>
      </tp>
      <tp t="s">
        <v>#N/A N/A</v>
        <stp/>
        <stp>BDH|8825171873460191762</stp>
        <tr r="D52" s="4"/>
      </tp>
      <tp t="s">
        <v>#N/A N/A</v>
        <stp/>
        <stp>BDH|3573531229789644414</stp>
        <tr r="E21" s="4"/>
      </tp>
      <tp t="s">
        <v>#N/A N/A</v>
        <stp/>
        <stp>BDH|2335954506980886207</stp>
        <tr r="L30" s="5"/>
      </tp>
      <tp t="s">
        <v>#N/A N/A</v>
        <stp/>
        <stp>BDH|7097808748692656065</stp>
        <tr r="C21" s="5"/>
      </tp>
      <tp t="s">
        <v>#N/A N/A</v>
        <stp/>
        <stp>BDH|9880644772417668606</stp>
        <tr r="J18" s="5"/>
        <tr r="H23" s="2"/>
      </tp>
      <tp t="s">
        <v>#N/A N/A</v>
        <stp/>
        <stp>BDH|1859068581080567020</stp>
        <tr r="G26" s="5"/>
      </tp>
      <tp t="s">
        <v>#N/A N/A</v>
        <stp/>
        <stp>BDH|8930009053180054421</stp>
        <tr r="E16" s="3"/>
      </tp>
      <tp t="s">
        <v>#N/A N/A</v>
        <stp/>
        <stp>BDH|5252282375060745913</stp>
        <tr r="D68" s="4"/>
      </tp>
      <tp t="s">
        <v>#N/A N/A</v>
        <stp/>
        <stp>BDH|6075181190841015619</stp>
        <tr r="K27" s="5"/>
      </tp>
      <tp t="s">
        <v>#N/A N/A</v>
        <stp/>
        <stp>BDH|9038844415338067184</stp>
        <tr r="F35" s="5"/>
      </tp>
      <tp t="s">
        <v>#N/A N/A</v>
        <stp/>
        <stp>BDH|8663449078846783446</stp>
        <tr r="J65" s="3"/>
      </tp>
      <tp t="s">
        <v>#N/A N/A</v>
        <stp/>
        <stp>BDH|9450070395810970919</stp>
        <tr r="J18" s="3"/>
      </tp>
      <tp t="s">
        <v>#N/A N/A</v>
        <stp/>
        <stp>BDH|1435369695185984708</stp>
        <tr r="D83" s="4"/>
      </tp>
      <tp t="s">
        <v>#N/A N/A</v>
        <stp/>
        <stp>BDH|1790891737612032177</stp>
        <tr r="F57" s="4"/>
      </tp>
      <tp t="s">
        <v>#N/A N/A</v>
        <stp/>
        <stp>BDH|8312013168857381062</stp>
        <tr r="C56" s="5"/>
      </tp>
      <tp t="s">
        <v>#N/A N/A</v>
        <stp/>
        <stp>BDH|8094617173063455392</stp>
        <tr r="H46" s="5"/>
      </tp>
      <tp t="s">
        <v>#N/A N/A</v>
        <stp/>
        <stp>BDH|2398290254465453957</stp>
        <tr r="G46" s="3"/>
      </tp>
      <tp t="s">
        <v>#N/A N/A</v>
        <stp/>
        <stp>BDH|3062306628543705834</stp>
        <tr r="D8" s="4"/>
      </tp>
      <tp t="s">
        <v>#N/A N/A</v>
        <stp/>
        <stp>BDH|8253017794830918829</stp>
        <tr r="D57" s="5"/>
      </tp>
      <tp t="s">
        <v>#N/A N/A</v>
        <stp/>
        <stp>BDH|3072494471659446006</stp>
        <tr r="C62" s="3"/>
      </tp>
      <tp t="s">
        <v>#N/A N/A</v>
        <stp/>
        <stp>BDH|9936226327903656361</stp>
        <tr r="I9" s="3"/>
      </tp>
      <tp t="s">
        <v>#N/A N/A</v>
        <stp/>
        <stp>BDH|7687057086994094292</stp>
        <tr r="I38" s="3"/>
      </tp>
      <tp t="s">
        <v>#N/A N/A</v>
        <stp/>
        <stp>BDH|4403740718953655839</stp>
        <tr r="I9" s="5"/>
      </tp>
      <tp t="s">
        <v>#N/A N/A</v>
        <stp/>
        <stp>BDH|6886244339767813903</stp>
        <tr r="D68" s="5"/>
      </tp>
      <tp t="s">
        <v>#N/A N/A</v>
        <stp/>
        <stp>BDH|3197577149448377312</stp>
        <tr r="E48" s="4"/>
      </tp>
      <tp t="s">
        <v>#N/A N/A</v>
        <stp/>
        <stp>BDH|5356204857242620900</stp>
        <tr r="I65" s="5"/>
      </tp>
      <tp t="s">
        <v>#N/A N/A</v>
        <stp/>
        <stp>BDH|2211820459272301493</stp>
        <tr r="D37" s="5"/>
      </tp>
      <tp t="s">
        <v>#N/A N/A</v>
        <stp/>
        <stp>BDH|8592778970885496453</stp>
        <tr r="H32" s="4"/>
      </tp>
      <tp t="s">
        <v>#N/A N/A</v>
        <stp/>
        <stp>BDH|5837936560693188098</stp>
        <tr r="L86" s="4"/>
      </tp>
      <tp t="s">
        <v>#N/A N/A</v>
        <stp/>
        <stp>BDH|6774057106206447934</stp>
        <tr r="J43" s="5"/>
      </tp>
      <tp t="s">
        <v>#N/A N/A</v>
        <stp/>
        <stp>BDH|8400564743459112937</stp>
        <tr r="C18" s="4"/>
      </tp>
      <tp t="s">
        <v>#N/A N/A</v>
        <stp/>
        <stp>BDH|3527559518457957923</stp>
        <tr r="F61" s="5"/>
      </tp>
      <tp t="s">
        <v>#N/A N/A</v>
        <stp/>
        <stp>BDH|6225902747414481625</stp>
        <tr r="F60" s="4"/>
      </tp>
      <tp t="s">
        <v>#N/A N/A</v>
        <stp/>
        <stp>BDH|6166511731220633977</stp>
        <tr r="J73" s="4"/>
      </tp>
      <tp t="s">
        <v>#N/A N/A</v>
        <stp/>
        <stp>BDH|1435439976233999883</stp>
        <tr r="D60" s="5"/>
      </tp>
      <tp t="s">
        <v>#N/A N/A</v>
        <stp/>
        <stp>BDH|6556257500478446540</stp>
        <tr r="D45" s="3"/>
        <tr r="D18" s="2"/>
      </tp>
      <tp t="s">
        <v>#N/A N/A</v>
        <stp/>
        <stp>BDH|5424052193466247304</stp>
        <tr r="G15" s="5"/>
      </tp>
      <tp t="s">
        <v>#N/A N/A</v>
        <stp/>
        <stp>BDH|3619718152778292070</stp>
        <tr r="F9" s="3"/>
      </tp>
      <tp t="s">
        <v>#N/A N/A</v>
        <stp/>
        <stp>BDH|7931033259418739341</stp>
        <tr r="J17" s="3"/>
      </tp>
      <tp t="s">
        <v>#N/A N/A</v>
        <stp/>
        <stp>BDH|9261904043124996999</stp>
        <tr r="C37" s="3"/>
      </tp>
      <tp t="s">
        <v>#N/A N/A</v>
        <stp/>
        <stp>BDH|2494214501278398163</stp>
        <tr r="E18" s="4"/>
      </tp>
      <tp t="s">
        <v>#N/A N/A</v>
        <stp/>
        <stp>BDH|9922562954638868824</stp>
        <tr r="D42" s="3"/>
      </tp>
      <tp t="s">
        <v>#N/A N/A</v>
        <stp/>
        <stp>BDH|4794040555041530924</stp>
        <tr r="L16" s="4"/>
      </tp>
      <tp t="s">
        <v>#N/A N/A</v>
        <stp/>
        <stp>BDH|2076863530042575250</stp>
        <tr r="F70" s="3"/>
      </tp>
      <tp t="s">
        <v>#N/A N/A</v>
        <stp/>
        <stp>BDH|6294611153349768518</stp>
        <tr r="J30" s="3"/>
      </tp>
      <tp t="s">
        <v>#N/A N/A</v>
        <stp/>
        <stp>BDH|3864197496067861591</stp>
        <tr r="F31" s="4"/>
      </tp>
      <tp t="s">
        <v>#N/A N/A</v>
        <stp/>
        <stp>BDH|8630136305314193476</stp>
        <tr r="H72" s="3"/>
      </tp>
      <tp t="s">
        <v>#N/A N/A</v>
        <stp/>
        <stp>BDH|2207165894491031269</stp>
        <tr r="I87" s="4"/>
      </tp>
      <tp t="s">
        <v>#N/A N/A</v>
        <stp/>
        <stp>BDH|8164843942588182502</stp>
        <tr r="D29" s="5"/>
      </tp>
      <tp t="s">
        <v>#N/A N/A</v>
        <stp/>
        <stp>BDH|4920599103720345867</stp>
        <tr r="D50" s="5"/>
      </tp>
      <tp t="s">
        <v>#N/A N/A</v>
        <stp/>
        <stp>BDH|2523757217908343539</stp>
        <tr r="H40" s="4"/>
      </tp>
      <tp t="s">
        <v>#N/A N/A</v>
        <stp/>
        <stp>BDH|8089782268998370847</stp>
        <tr r="E22" s="3"/>
      </tp>
      <tp t="s">
        <v>#N/A N/A</v>
        <stp/>
        <stp>BDH|4457307277850667920</stp>
        <tr r="I16" s="3"/>
      </tp>
      <tp t="s">
        <v>#N/A N/A</v>
        <stp/>
        <stp>BDH|3097304474628217614</stp>
        <tr r="E60" s="4"/>
      </tp>
      <tp t="s">
        <v>#N/A N/A</v>
        <stp/>
        <stp>BDH|1439248230010520919</stp>
        <tr r="J34" s="5"/>
      </tp>
      <tp t="s">
        <v>#N/A N/A</v>
        <stp/>
        <stp>BDH|2424432315257723913</stp>
        <tr r="K44" s="4"/>
      </tp>
      <tp t="s">
        <v>#N/A N/A</v>
        <stp/>
        <stp>BDH|6819444595524508688</stp>
        <tr r="J32" s="4"/>
      </tp>
      <tp t="s">
        <v>#N/A N/A</v>
        <stp/>
        <stp>BDH|9047873140764131829</stp>
        <tr r="G69" s="4"/>
      </tp>
      <tp t="s">
        <v>#N/A N/A</v>
        <stp/>
        <stp>BDH|5803884864303993193</stp>
        <tr r="G37" s="4"/>
      </tp>
      <tp t="s">
        <v>#N/A N/A</v>
        <stp/>
        <stp>BDH|1960360988317550470</stp>
        <tr r="F63" s="5"/>
        <tr r="D25" s="2"/>
      </tp>
      <tp t="s">
        <v>#N/A N/A</v>
        <stp/>
        <stp>BDH|1847066023658168297</stp>
        <tr r="E29" s="3"/>
      </tp>
      <tp t="s">
        <v>#N/A N/A</v>
        <stp/>
        <stp>BDH|3541197312671509815</stp>
        <tr r="C56" s="3"/>
      </tp>
      <tp t="s">
        <v>#N/A N/A</v>
        <stp/>
        <stp>BDH|7361879856587154791</stp>
        <tr r="K42" s="5"/>
      </tp>
      <tp t="s">
        <v>#N/A N/A</v>
        <stp/>
        <stp>BDH|1517064241379820617</stp>
        <tr r="I61" s="5"/>
      </tp>
      <tp t="s">
        <v>#N/A N/A</v>
        <stp/>
        <stp>BDH|4525784820818191373</stp>
        <tr r="C31" s="5"/>
      </tp>
      <tp t="s">
        <v>#N/A N/A</v>
        <stp/>
        <stp>BDH|1954326767937117965</stp>
        <tr r="G67" s="3"/>
      </tp>
      <tp t="s">
        <v>#N/A N/A</v>
        <stp/>
        <stp>BDH|7889900422752596477</stp>
        <tr r="G10" s="4"/>
      </tp>
      <tp t="s">
        <v>#N/A N/A</v>
        <stp/>
        <stp>BDH|1989562529725889960</stp>
        <tr r="I55" s="4"/>
      </tp>
      <tp t="s">
        <v>#N/A N/A</v>
        <stp/>
        <stp>BDH|4973217742450609842</stp>
        <tr r="D24" s="4"/>
      </tp>
      <tp t="s">
        <v>#N/A N/A</v>
        <stp/>
        <stp>BDH|5647634169057030849</stp>
        <tr r="E49" s="5"/>
      </tp>
      <tp t="s">
        <v>#N/A N/A</v>
        <stp/>
        <stp>BDH|1647372475869923650</stp>
        <tr r="F88" s="4"/>
      </tp>
      <tp t="s">
        <v>#N/A N/A</v>
        <stp/>
        <stp>BDH|1223597743339098303</stp>
        <tr r="J32" s="5"/>
      </tp>
      <tp t="s">
        <v>#N/A N/A</v>
        <stp/>
        <stp>BDH|3234022344578809554</stp>
        <tr r="H15" s="3"/>
      </tp>
      <tp t="s">
        <v>#N/A N/A</v>
        <stp/>
        <stp>BDH|9342338008537534749</stp>
        <tr r="C14" s="4"/>
      </tp>
      <tp t="s">
        <v>#N/A N/A</v>
        <stp/>
        <stp>BDH|2984319075635738936</stp>
        <tr r="C7" s="2"/>
      </tp>
      <tp t="s">
        <v>#N/A N/A</v>
        <stp/>
        <stp>BDH|6788698681160741212</stp>
        <tr r="J33" s="3"/>
      </tp>
      <tp t="s">
        <v>#N/A N/A</v>
        <stp/>
        <stp>BDH|2525021291945732487</stp>
        <tr r="D45" s="5"/>
      </tp>
      <tp t="s">
        <v>#N/A N/A</v>
        <stp/>
        <stp>BDH|7111677489915756614</stp>
        <tr r="L18" s="5"/>
        <tr r="J23" s="2"/>
      </tp>
      <tp t="s">
        <v>#N/A N/A</v>
        <stp/>
        <stp>BDH|4952438560599401503</stp>
        <tr r="G30" s="3"/>
      </tp>
      <tp t="s">
        <v>#N/A N/A</v>
        <stp/>
        <stp>BDH|3466913318688614946</stp>
        <tr r="I62" s="3"/>
      </tp>
      <tp t="s">
        <v>#N/A N/A</v>
        <stp/>
        <stp>BDH|6790751089156151569</stp>
        <tr r="I67" s="4"/>
      </tp>
      <tp t="s">
        <v>#N/A N/A</v>
        <stp/>
        <stp>BDH|5251735324672165885</stp>
        <tr r="H10" s="2"/>
      </tp>
      <tp t="s">
        <v>#N/A N/A</v>
        <stp/>
        <stp>BDH|2504546570193435999</stp>
        <tr r="G42" s="4"/>
      </tp>
      <tp t="s">
        <v>#N/A N/A</v>
        <stp/>
        <stp>BDH|3282525613258708581</stp>
        <tr r="C62" s="4"/>
      </tp>
      <tp t="s">
        <v>#N/A N/A</v>
        <stp/>
        <stp>BDH|9781244149695348046</stp>
        <tr r="D15" s="4"/>
      </tp>
      <tp t="s">
        <v>#N/A N/A</v>
        <stp/>
        <stp>BDH|7182625751719711780</stp>
        <tr r="J24" s="4"/>
      </tp>
      <tp t="s">
        <v>#N/A N/A</v>
        <stp/>
        <stp>BDH|3118885665741216638</stp>
        <tr r="I13" s="4"/>
      </tp>
      <tp t="s">
        <v>#N/A N/A</v>
        <stp/>
        <stp>BDH|9286217516809360940</stp>
        <tr r="G18" s="5"/>
        <tr r="E23" s="2"/>
      </tp>
      <tp t="s">
        <v>#N/A N/A</v>
        <stp/>
        <stp>BDH|6803783274154670803</stp>
        <tr r="J61" s="3"/>
        <tr r="J16" s="2"/>
      </tp>
      <tp t="s">
        <v>#N/A N/A</v>
        <stp/>
        <stp>BDH|9807783337063784420</stp>
        <tr r="D49" s="3"/>
      </tp>
      <tp t="s">
        <v>#N/A N/A</v>
        <stp/>
        <stp>BDH|1543410959972816872</stp>
        <tr r="C93" s="4"/>
      </tp>
      <tp t="s">
        <v>#N/A N/A</v>
        <stp/>
        <stp>BDH|7327120796632426704</stp>
        <tr r="C34" s="5"/>
      </tp>
      <tp t="s">
        <v>#N/A N/A</v>
        <stp/>
        <stp>BDH|6131610793014804788</stp>
        <tr r="H71" s="4"/>
      </tp>
      <tp t="s">
        <v>#N/A N/A</v>
        <stp/>
        <stp>BDH|9646240793119616174</stp>
        <tr r="D11" s="3"/>
        <tr r="D14" s="2"/>
      </tp>
      <tp t="s">
        <v>#N/A N/A</v>
        <stp/>
        <stp>BDH|2179073782927184753</stp>
        <tr r="G23" s="3"/>
      </tp>
      <tp t="s">
        <v>#N/A N/A</v>
        <stp/>
        <stp>BDH|9919404418843318523</stp>
        <tr r="G86" s="4"/>
      </tp>
      <tp t="s">
        <v>#N/A N/A</v>
        <stp/>
        <stp>BDH|9747732430110016754</stp>
        <tr r="L43" s="4"/>
      </tp>
      <tp t="s">
        <v>#N/A N/A</v>
        <stp/>
        <stp>BDH|5318215991955712157</stp>
        <tr r="E57" s="4"/>
      </tp>
      <tp t="s">
        <v>#N/A N/A</v>
        <stp/>
        <stp>BDH|1409129771284764910</stp>
        <tr r="I24" s="3"/>
      </tp>
      <tp t="s">
        <v>#N/A N/A</v>
        <stp/>
        <stp>BDH|2835840106826930659</stp>
        <tr r="H38" s="4"/>
      </tp>
      <tp t="s">
        <v>#N/A N/A</v>
        <stp/>
        <stp>BDH|9051663550510719073</stp>
        <tr r="C30" s="3"/>
      </tp>
      <tp t="s">
        <v>#N/A N/A</v>
        <stp/>
        <stp>BDH|9149397611453811275</stp>
        <tr r="G73" s="4"/>
      </tp>
      <tp t="s">
        <v>#N/A N/A</v>
        <stp/>
        <stp>BDH|4020654893011262024</stp>
        <tr r="G36" s="3"/>
      </tp>
      <tp t="s">
        <v>#N/A N/A</v>
        <stp/>
        <stp>BDH|8433143816194674676</stp>
        <tr r="H68" s="5"/>
      </tp>
      <tp t="s">
        <v>#N/A N/A</v>
        <stp/>
        <stp>BDH|3331956968377868114</stp>
        <tr r="L7" s="4"/>
      </tp>
      <tp t="s">
        <v>#N/A N/A</v>
        <stp/>
        <stp>BDH|2349913760194348364</stp>
        <tr r="J76" s="4"/>
      </tp>
      <tp t="s">
        <v>#N/A N/A</v>
        <stp/>
        <stp>BDH|8313028637727950682</stp>
        <tr r="K66" s="5"/>
      </tp>
      <tp t="s">
        <v>#N/A N/A</v>
        <stp/>
        <stp>BDH|8668630716203172659</stp>
        <tr r="G49" s="5"/>
      </tp>
      <tp t="s">
        <v>#N/A N/A</v>
        <stp/>
        <stp>BDH|9849434932344815051</stp>
        <tr r="E45" s="3"/>
        <tr r="E18" s="2"/>
      </tp>
      <tp t="s">
        <v>#N/A N/A</v>
        <stp/>
        <stp>BDH|9460970415418776351</stp>
        <tr r="D89" s="4"/>
      </tp>
      <tp t="s">
        <v>#N/A N/A</v>
        <stp/>
        <stp>BDH|7976395883400344653</stp>
        <tr r="E83" s="4"/>
      </tp>
      <tp t="s">
        <v>#N/A N/A</v>
        <stp/>
        <stp>BDH|7299930812080796517</stp>
        <tr r="E33" s="4"/>
      </tp>
      <tp t="s">
        <v>#N/A N/A</v>
        <stp/>
        <stp>BDH|3729107790087854751</stp>
        <tr r="G27" s="5"/>
      </tp>
      <tp t="s">
        <v>#N/A N/A</v>
        <stp/>
        <stp>BDH|2950180895906809766</stp>
        <tr r="H8" s="2"/>
      </tp>
      <tp t="s">
        <v>#N/A N/A</v>
        <stp/>
        <stp>BDH|1598761046011739886</stp>
        <tr r="H57" s="3"/>
        <tr r="H20" s="2"/>
      </tp>
      <tp t="s">
        <v>#N/A N/A</v>
        <stp/>
        <stp>BDH|3772562385517988277</stp>
        <tr r="E29" s="5"/>
      </tp>
      <tp t="s">
        <v>#N/A N/A</v>
        <stp/>
        <stp>BDH|8862944226268003013</stp>
        <tr r="E8" s="2"/>
      </tp>
      <tp t="s">
        <v>#N/A N/A</v>
        <stp/>
        <stp>BDH|3991141931939534329</stp>
        <tr r="L26" s="4"/>
      </tp>
      <tp t="s">
        <v>#N/A N/A</v>
        <stp/>
        <stp>BDH|9336668979680375373</stp>
        <tr r="K25" s="4"/>
      </tp>
      <tp t="s">
        <v>#N/A N/A</v>
        <stp/>
        <stp>BDH|1057690799127828209</stp>
        <tr r="C33" s="5"/>
      </tp>
      <tp t="s">
        <v>#N/A N/A</v>
        <stp/>
        <stp>BDH|6175709941167072986</stp>
        <tr r="G91" s="4"/>
      </tp>
      <tp t="s">
        <v>#N/A N/A</v>
        <stp/>
        <stp>BDH|5441968327935530093</stp>
        <tr r="F21" s="3"/>
      </tp>
      <tp t="s">
        <v>#N/A N/A</v>
        <stp/>
        <stp>BDH|6635380402476781828</stp>
        <tr r="F21" s="4"/>
      </tp>
      <tp t="s">
        <v>#N/A N/A</v>
        <stp/>
        <stp>BDH|5877817532670668547</stp>
        <tr r="I20" s="3"/>
      </tp>
      <tp t="s">
        <v>#N/A N/A</v>
        <stp/>
        <stp>BDH|6830486842519976421</stp>
        <tr r="I56" s="5"/>
      </tp>
      <tp t="s">
        <v>#N/A N/A</v>
        <stp/>
        <stp>BDH|9049689617180364551</stp>
        <tr r="L10" s="5"/>
      </tp>
      <tp t="s">
        <v>#N/A N/A</v>
        <stp/>
        <stp>BDH|2928772339695920804</stp>
        <tr r="C10" s="2"/>
      </tp>
      <tp t="s">
        <v>#N/A N/A</v>
        <stp/>
        <stp>BDH|5975907624962085738</stp>
        <tr r="I54" s="4"/>
      </tp>
      <tp t="s">
        <v>#N/A N/A</v>
        <stp/>
        <stp>BDH|4795927451265859622</stp>
        <tr r="D70" s="4"/>
      </tp>
      <tp t="s">
        <v>#N/A N/A</v>
        <stp/>
        <stp>BDH|8850210421824620701</stp>
        <tr r="H37" s="5"/>
      </tp>
      <tp t="s">
        <v>#N/A N/A</v>
        <stp/>
        <stp>BDH|5128449608348329212</stp>
        <tr r="H14" s="5"/>
      </tp>
      <tp t="s">
        <v>#N/A N/A</v>
        <stp/>
        <stp>BDH|7935393206858979700</stp>
        <tr r="J36" s="3"/>
      </tp>
      <tp t="s">
        <v>#N/A N/A</v>
        <stp/>
        <stp>BDH|4290939575524166594</stp>
        <tr r="I21" s="5"/>
      </tp>
      <tp t="s">
        <v>#N/A N/A</v>
        <stp/>
        <stp>BDH|9270590271599364959</stp>
        <tr r="J56" s="3"/>
      </tp>
      <tp t="s">
        <v>#N/A N/A</v>
        <stp/>
        <stp>BDH|9311508657516949415</stp>
        <tr r="F15" s="3"/>
      </tp>
      <tp t="s">
        <v>#N/A N/A</v>
        <stp/>
        <stp>BDH|9419123022688829913</stp>
        <tr r="L45" s="4"/>
      </tp>
      <tp t="s">
        <v>#N/A N/A</v>
        <stp/>
        <stp>BDH|1887685669599072349</stp>
        <tr r="J90" s="4"/>
      </tp>
      <tp t="s">
        <v>#N/A N/A</v>
        <stp/>
        <stp>BDH|6265998781394608814</stp>
        <tr r="H10" s="5"/>
      </tp>
      <tp t="s">
        <v>#N/A N/A</v>
        <stp/>
        <stp>BDH|3690977516116348692</stp>
        <tr r="C50" s="5"/>
      </tp>
      <tp t="s">
        <v>#N/A N/A</v>
        <stp/>
        <stp>BDH|2345148892344771502</stp>
        <tr r="G49" s="4"/>
      </tp>
      <tp t="s">
        <v>#N/A N/A</v>
        <stp/>
        <stp>BDH|9409948576024689830</stp>
        <tr r="L85" s="4"/>
      </tp>
      <tp t="s">
        <v>#N/A N/A</v>
        <stp/>
        <stp>BDH|9627082630888889955</stp>
        <tr r="G24" s="2"/>
      </tp>
      <tp t="s">
        <v>#N/A N/A</v>
        <stp/>
        <stp>BDH|8760486703567712081</stp>
        <tr r="J55" s="4"/>
      </tp>
      <tp t="s">
        <v>#N/A N/A</v>
        <stp/>
        <stp>BDH|3323150867957505871</stp>
        <tr r="E10" s="2"/>
      </tp>
      <tp t="s">
        <v>#N/A N/A</v>
        <stp/>
        <stp>BDH|8779322031803315041</stp>
        <tr r="I78" s="4"/>
      </tp>
      <tp t="s">
        <v>#N/A N/A</v>
        <stp/>
        <stp>BDH|4656828713890191651</stp>
        <tr r="G65" s="3"/>
      </tp>
      <tp t="s">
        <v>#N/A N/A</v>
        <stp/>
        <stp>BDH|9310944681780236344</stp>
        <tr r="F24" s="5"/>
      </tp>
      <tp t="s">
        <v>#N/A N/A</v>
        <stp/>
        <stp>BDH|3368894073143981406</stp>
        <tr r="F27" s="3"/>
      </tp>
      <tp t="s">
        <v>#N/A N/A</v>
        <stp/>
        <stp>BDH|5790961596179347741</stp>
        <tr r="E72" s="4"/>
      </tp>
      <tp t="s">
        <v>#N/A N/A</v>
        <stp/>
        <stp>BDH|4601736607651264908</stp>
        <tr r="E44" s="5"/>
      </tp>
      <tp t="s">
        <v>#N/A N/A</v>
        <stp/>
        <stp>BDH|5585952052616118427</stp>
        <tr r="K77" s="4"/>
      </tp>
      <tp t="s">
        <v>#N/A N/A</v>
        <stp/>
        <stp>BDH|5764143768658973138</stp>
        <tr r="G8" s="4"/>
      </tp>
      <tp t="s">
        <v>#N/A N/A</v>
        <stp/>
        <stp>BDH|1012530471230085835</stp>
        <tr r="K41" s="4"/>
      </tp>
      <tp t="s">
        <v>#N/A N/A</v>
        <stp/>
        <stp>BDH|7129072473562728946</stp>
        <tr r="H61" s="3"/>
        <tr r="H16" s="2"/>
      </tp>
      <tp t="s">
        <v>#N/A N/A</v>
        <stp/>
        <stp>BDH|8416590152593870016</stp>
        <tr r="E28" s="3"/>
      </tp>
      <tp t="s">
        <v>#N/A N/A</v>
        <stp/>
        <stp>BDH|2804945508562759253</stp>
        <tr r="H11" s="5"/>
      </tp>
      <tp t="s">
        <v>#N/A N/A</v>
        <stp/>
        <stp>BDH|5162068624038239464</stp>
        <tr r="J56" s="5"/>
      </tp>
      <tp t="s">
        <v>#N/A N/A</v>
        <stp/>
        <stp>BDH|3416942118538974869</stp>
        <tr r="I50" s="5"/>
      </tp>
      <tp t="s">
        <v>#N/A N/A</v>
        <stp/>
        <stp>BDH|2623877855905628153</stp>
        <tr r="H17" s="4"/>
      </tp>
      <tp t="s">
        <v>#N/A N/A</v>
        <stp/>
        <stp>BDH|5672316606488074553</stp>
        <tr r="H47" s="3"/>
        <tr r="H35" s="3"/>
      </tp>
      <tp t="s">
        <v>#N/A N/A</v>
        <stp/>
        <stp>BDH|4669372392271204457</stp>
        <tr r="G92" s="4"/>
      </tp>
      <tp t="s">
        <v>#N/A N/A</v>
        <stp/>
        <stp>BDH|2966435796124024082</stp>
        <tr r="E85" s="4"/>
      </tp>
      <tp t="s">
        <v>#N/A N/A</v>
        <stp/>
        <stp>BDH|5754863631375135053</stp>
        <tr r="F33" s="3"/>
      </tp>
      <tp t="s">
        <v>#N/A N/A</v>
        <stp/>
        <stp>BDH|9646382599799490170</stp>
        <tr r="H91" s="4"/>
      </tp>
      <tp t="s">
        <v>#N/A N/A</v>
        <stp/>
        <stp>BDH|1820798784221334427</stp>
        <tr r="D93" s="4"/>
      </tp>
      <tp t="s">
        <v>#N/A N/A</v>
        <stp/>
        <stp>BDH|4743225781694921182</stp>
        <tr r="H41" s="5"/>
      </tp>
      <tp t="s">
        <v>#N/A N/A</v>
        <stp/>
        <stp>BDH|1254379587727305642</stp>
        <tr r="C75" s="4"/>
      </tp>
      <tp t="s">
        <v>#N/A N/A</v>
        <stp/>
        <stp>BDH|8841889294274159601</stp>
        <tr r="I7" s="5"/>
      </tp>
      <tp t="s">
        <v>#N/A N/A</v>
        <stp/>
        <stp>BDH|5671742177813749283</stp>
        <tr r="K71" s="4"/>
      </tp>
      <tp t="s">
        <v>#N/A N/A</v>
        <stp/>
        <stp>BDH|9971626998305959717</stp>
        <tr r="J43" s="4"/>
      </tp>
      <tp t="s">
        <v>#N/A N/A</v>
        <stp/>
        <stp>BDH|2072911393647816112</stp>
        <tr r="L35" s="5"/>
      </tp>
      <tp t="s">
        <v>#N/A N/A</v>
        <stp/>
        <stp>BDH|3819542343762475400</stp>
        <tr r="E36" s="5"/>
      </tp>
      <tp t="s">
        <v>#N/A N/A</v>
        <stp/>
        <stp>BDH|7879875032089246143</stp>
        <tr r="K83" s="4"/>
      </tp>
      <tp t="s">
        <v>#N/A N/A</v>
        <stp/>
        <stp>BDH|1450091097289035510</stp>
        <tr r="D36" s="4"/>
      </tp>
      <tp t="s">
        <v>#N/A N/A</v>
        <stp/>
        <stp>BDH|4014253512376585591</stp>
        <tr r="G72" s="3"/>
      </tp>
      <tp t="s">
        <v>#N/A N/A</v>
        <stp/>
        <stp>BDH|7526740826666713084</stp>
        <tr r="L13" s="4"/>
      </tp>
      <tp t="s">
        <v>#N/A N/A</v>
        <stp/>
        <stp>BDH|1718691422298341973</stp>
        <tr r="D66" s="4"/>
      </tp>
      <tp t="s">
        <v>#N/A N/A</v>
        <stp/>
        <stp>BDH|2922610916068616906</stp>
        <tr r="H13" s="3"/>
      </tp>
      <tp t="s">
        <v>#N/A N/A</v>
        <stp/>
        <stp>BDH|3987379104845673148</stp>
        <tr r="G31" s="3"/>
      </tp>
      <tp t="s">
        <v>#N/A N/A</v>
        <stp/>
        <stp>BDH|7075314621447907518</stp>
        <tr r="G40" s="3"/>
      </tp>
      <tp t="s">
        <v>#N/A N/A</v>
        <stp/>
        <stp>BDH|3943605168844070389</stp>
        <tr r="C32" s="5"/>
      </tp>
      <tp t="s">
        <v>#N/A N/A</v>
        <stp/>
        <stp>BDH|5345571747892829228</stp>
        <tr r="G71" s="4"/>
      </tp>
      <tp t="s">
        <v>#N/A N/A</v>
        <stp/>
        <stp>BDH|5978797937587891264</stp>
        <tr r="J32" s="3"/>
      </tp>
      <tp t="s">
        <v>#N/A N/A</v>
        <stp/>
        <stp>BDH|5699764794247870829</stp>
        <tr r="J67" s="4"/>
      </tp>
      <tp t="s">
        <v>#N/A N/A</v>
        <stp/>
        <stp>BDH|2315788815826179616</stp>
        <tr r="C25" s="3"/>
      </tp>
      <tp t="s">
        <v>#N/A N/A</v>
        <stp/>
        <stp>BDH|2053776416180943065</stp>
        <tr r="C33" s="3"/>
      </tp>
      <tp t="s">
        <v>#N/A N/A</v>
        <stp/>
        <stp>BDH|1686570696461037896</stp>
        <tr r="H21" s="4"/>
      </tp>
      <tp t="s">
        <v>#N/A N/A</v>
        <stp/>
        <stp>BDH|6698435140792810031</stp>
        <tr r="I21" s="4"/>
      </tp>
      <tp t="s">
        <v>#N/A N/A</v>
        <stp/>
        <stp>BDH|4059347283309035298</stp>
        <tr r="F33" s="5"/>
      </tp>
      <tp t="s">
        <v>#N/A N/A</v>
        <stp/>
        <stp>BDH|5794321669564011023</stp>
        <tr r="E52" s="3"/>
      </tp>
      <tp t="s">
        <v>#N/A N/A</v>
        <stp/>
        <stp>BDH|5388169538115497677</stp>
        <tr r="J64" s="3"/>
      </tp>
      <tp t="s">
        <v>#N/A N/A</v>
        <stp/>
        <stp>BDH|7382034589208795312</stp>
        <tr r="J54" s="4"/>
      </tp>
      <tp t="s">
        <v>#N/A N/A</v>
        <stp/>
        <stp>BDH|6081719825660931721</stp>
        <tr r="K60" s="5"/>
      </tp>
      <tp t="s">
        <v>#N/A N/A</v>
        <stp/>
        <stp>BDH|4955454564245725730</stp>
        <tr r="L42" s="5"/>
      </tp>
      <tp t="s">
        <v>#N/A N/A</v>
        <stp/>
        <stp>BDH|2197726361987856062</stp>
        <tr r="E76" s="4"/>
      </tp>
      <tp t="s">
        <v>#N/A N/A</v>
        <stp/>
        <stp>BDH|1758467047885816022</stp>
        <tr r="E47" s="3"/>
        <tr r="E35" s="3"/>
      </tp>
      <tp t="s">
        <v>#N/A N/A</v>
        <stp/>
        <stp>BDH|6136993578439598595</stp>
        <tr r="J31" s="3"/>
      </tp>
      <tp t="s">
        <v>#N/A N/A</v>
        <stp/>
        <stp>BDH|6197881495275827684</stp>
        <tr r="C58" s="4"/>
      </tp>
      <tp t="s">
        <v>#N/A N/A</v>
        <stp/>
        <stp>BDH|1631584784111484920</stp>
        <tr r="E70" s="4"/>
      </tp>
      <tp t="s">
        <v>#N/A N/A</v>
        <stp/>
        <stp>BDH|4133392155473030507</stp>
        <tr r="C27" s="4"/>
      </tp>
      <tp t="s">
        <v>#N/A N/A</v>
        <stp/>
        <stp>BDH|6958676535372057562</stp>
        <tr r="K44" s="5"/>
      </tp>
      <tp t="s">
        <v>#N/A N/A</v>
        <stp/>
        <stp>BDH|1052720025229371996</stp>
        <tr r="L52" s="4"/>
      </tp>
      <tp t="s">
        <v>#N/A N/A</v>
        <stp/>
        <stp>BDH|7512432270636881635</stp>
        <tr r="J67" s="3"/>
      </tp>
      <tp t="s">
        <v>#N/A N/A</v>
        <stp/>
        <stp>BDH|2784194235952279649</stp>
        <tr r="K17" s="5"/>
      </tp>
      <tp t="s">
        <v>#N/A N/A</v>
        <stp/>
        <stp>BDH|6562297463362048428</stp>
        <tr r="F84" s="4"/>
      </tp>
      <tp t="s">
        <v>#N/A N/A</v>
        <stp/>
        <stp>BDH|5119395435787621690</stp>
        <tr r="E32" s="4"/>
      </tp>
      <tp t="s">
        <v>#N/A N/A</v>
        <stp/>
        <stp>BDH|4127361142027555027</stp>
        <tr r="D87" s="4"/>
      </tp>
      <tp t="s">
        <v>#N/A N/A</v>
        <stp/>
        <stp>BDH|5701354121925366522</stp>
        <tr r="F45" s="4"/>
      </tp>
      <tp t="s">
        <v>#N/A N/A</v>
        <stp/>
        <stp>BDH|4695268323167009719</stp>
        <tr r="G49" s="3"/>
      </tp>
      <tp t="s">
        <v>#N/A N/A</v>
        <stp/>
        <stp>BDH|6698490935281853407</stp>
        <tr r="D22" s="5"/>
      </tp>
      <tp t="s">
        <v>#N/A N/A</v>
        <stp/>
        <stp>BDH|1049563971593032459</stp>
        <tr r="J9" s="5"/>
      </tp>
      <tp t="s">
        <v>#N/A N/A</v>
        <stp/>
        <stp>BDH|1319007530231203728</stp>
        <tr r="D22" s="3"/>
      </tp>
      <tp t="s">
        <v>#N/A N/A</v>
        <stp/>
        <stp>BDH|6257776600584401117</stp>
        <tr r="K15" s="4"/>
      </tp>
      <tp t="s">
        <v>#N/A N/A</v>
        <stp/>
        <stp>BDH|6836939833530082887</stp>
        <tr r="G30" s="5"/>
      </tp>
      <tp t="s">
        <v>#N/A N/A</v>
        <stp/>
        <stp>BDH|4234304850126643040</stp>
        <tr r="D48" s="5"/>
      </tp>
      <tp t="s">
        <v>#N/A N/A</v>
        <stp/>
        <stp>BDH|4807268935803304284</stp>
        <tr r="L68" s="5"/>
      </tp>
      <tp t="s">
        <v>#N/A N/A</v>
        <stp/>
        <stp>BDH|7589576304803379557</stp>
        <tr r="L87" s="4"/>
      </tp>
      <tp t="s">
        <v>#N/A N/A</v>
        <stp/>
        <stp>BDH|1837282953286345414</stp>
        <tr r="I57" s="4"/>
      </tp>
      <tp t="s">
        <v>#N/A N/A</v>
        <stp/>
        <stp>BDH|1413702175771072401</stp>
        <tr r="I8" s="2"/>
      </tp>
      <tp t="s">
        <v>#N/A N/A</v>
        <stp/>
        <stp>BDH|9052134782342498640</stp>
        <tr r="D51" s="3"/>
      </tp>
      <tp t="s">
        <v>#N/A N/A</v>
        <stp/>
        <stp>BDH|5837893328659905264</stp>
        <tr r="C17" s="5"/>
      </tp>
      <tp t="s">
        <v>#N/A N/A</v>
        <stp/>
        <stp>BDH|6271400437242585768</stp>
        <tr r="F54" s="4"/>
      </tp>
      <tp t="s">
        <v>#N/A N/A</v>
        <stp/>
        <stp>BDH|1776632641506038137</stp>
        <tr r="F9" s="2"/>
      </tp>
      <tp t="s">
        <v>#N/A N/A</v>
        <stp/>
        <stp>BDH|1463115172355107609</stp>
        <tr r="J64" s="5"/>
      </tp>
      <tp t="s">
        <v>#N/A N/A</v>
        <stp/>
        <stp>BDH|7583441636026139202</stp>
        <tr r="K45" s="4"/>
      </tp>
      <tp t="s">
        <v>#N/A N/A</v>
        <stp/>
        <stp>BDH|3420263200765583015</stp>
        <tr r="L33" s="5"/>
      </tp>
      <tp t="s">
        <v>#N/A N/A</v>
        <stp/>
        <stp>BDH|8415736790991448351</stp>
        <tr r="H26" s="3"/>
      </tp>
      <tp t="s">
        <v>#N/A N/A</v>
        <stp/>
        <stp>BDH|7078882930761969966</stp>
        <tr r="J17" s="5"/>
      </tp>
      <tp t="s">
        <v>#N/A N/A</v>
        <stp/>
        <stp>BDH|5400117748167287388</stp>
        <tr r="K68" s="4"/>
      </tp>
      <tp t="s">
        <v>#N/A N/A</v>
        <stp/>
        <stp>BDH|4485327740487062015</stp>
        <tr r="E11" s="3"/>
        <tr r="E14" s="2"/>
      </tp>
      <tp t="s">
        <v>#N/A N/A</v>
        <stp/>
        <stp>BDH|2599443933415125447</stp>
        <tr r="G38" s="4"/>
      </tp>
      <tp t="s">
        <v>#N/A N/A</v>
        <stp/>
        <stp>BDH|7970609872451938352</stp>
        <tr r="I25" s="5"/>
      </tp>
      <tp t="s">
        <v>#N/A N/A</v>
        <stp/>
        <stp>BDH|3841673443953951627</stp>
        <tr r="L33" s="4"/>
      </tp>
      <tp t="s">
        <v>#N/A N/A</v>
        <stp/>
        <stp>BDH|5003475939480263682</stp>
        <tr r="J33" s="5"/>
      </tp>
      <tp t="s">
        <v>#N/A N/A</v>
        <stp/>
        <stp>BDH|5660488377873439191</stp>
        <tr r="E68" s="4"/>
      </tp>
      <tp t="s">
        <v>#N/A N/A</v>
        <stp/>
        <stp>BDH|5499197502546963623</stp>
        <tr r="H61" s="4"/>
      </tp>
      <tp t="s">
        <v>#N/A N/A</v>
        <stp/>
        <stp>BDH|3275307872304371765</stp>
        <tr r="I47" s="4"/>
      </tp>
      <tp t="s">
        <v>#N/A N/A</v>
        <stp/>
        <stp>BDH|3140871512707587948</stp>
        <tr r="G8" s="2"/>
      </tp>
      <tp t="s">
        <v>#N/A N/A</v>
        <stp/>
        <stp>BDH|3549460410666655400</stp>
        <tr r="H32" s="3"/>
      </tp>
      <tp t="s">
        <v>#N/A N/A</v>
        <stp/>
        <stp>BDH|8455446784281298133</stp>
        <tr r="L55" s="4"/>
      </tp>
      <tp t="s">
        <v>#N/A N/A</v>
        <stp/>
        <stp>BDH|4446952245314390920</stp>
        <tr r="D77" s="4"/>
      </tp>
      <tp t="s">
        <v>#N/A N/A</v>
        <stp/>
        <stp>BDH|3071785860936197133</stp>
        <tr r="H15" s="4"/>
      </tp>
      <tp t="s">
        <v>#N/A N/A</v>
        <stp/>
        <stp>BDH|4126287287202742933</stp>
        <tr r="F30" s="5"/>
      </tp>
      <tp t="s">
        <v>#N/A N/A</v>
        <stp/>
        <stp>BDH|3135177494386983813</stp>
        <tr r="F61" s="3"/>
        <tr r="F16" s="2"/>
      </tp>
      <tp t="s">
        <v>#N/A N/A</v>
        <stp/>
        <stp>BDH|1475158712585024197</stp>
        <tr r="G51" s="4"/>
      </tp>
      <tp t="s">
        <v>#N/A N/A</v>
        <stp/>
        <stp>BDH|7886509548236368581</stp>
        <tr r="J22" s="4"/>
      </tp>
      <tp t="s">
        <v>#N/A N/A</v>
        <stp/>
        <stp>BDH|3203782637456281442</stp>
        <tr r="J23" s="5"/>
      </tp>
      <tp t="s">
        <v>#N/A N/A</v>
        <stp/>
        <stp>BDH|7604868993860241396</stp>
        <tr r="C50" s="4"/>
      </tp>
      <tp t="s">
        <v>#N/A N/A</v>
        <stp/>
        <stp>BDH|6153376169737356145</stp>
        <tr r="D49" s="4"/>
      </tp>
      <tp t="s">
        <v>#N/A N/A</v>
        <stp/>
        <stp>BDH|8832734081950313216</stp>
        <tr r="G29" s="3"/>
      </tp>
      <tp t="s">
        <v>#N/A N/A</v>
        <stp/>
        <stp>BDH|7941112377801013577</stp>
        <tr r="E24" s="3"/>
      </tp>
      <tp t="s">
        <v>#N/A N/A</v>
        <stp/>
        <stp>BDH|1039746719582028043</stp>
        <tr r="H21" s="5"/>
      </tp>
      <tp t="s">
        <v>#N/A N/A</v>
        <stp/>
        <stp>BDH|6945639142991269032</stp>
        <tr r="J50" s="5"/>
      </tp>
      <tp t="s">
        <v>#N/A N/A</v>
        <stp/>
        <stp>BDH|7552968339300096837</stp>
        <tr r="J40" s="4"/>
      </tp>
      <tp t="s">
        <v>#N/A N/A</v>
        <stp/>
        <stp>BDH|2508162708481311714</stp>
        <tr r="I44" s="5"/>
      </tp>
      <tp t="s">
        <v>#N/A N/A</v>
        <stp/>
        <stp>BDH|4866700470026470752</stp>
        <tr r="K8" s="4"/>
      </tp>
      <tp t="s">
        <v>#N/A N/A</v>
        <stp/>
        <stp>BDH|8375326088625982395</stp>
        <tr r="E75" s="4"/>
      </tp>
      <tp t="s">
        <v>#N/A N/A</v>
        <stp/>
        <stp>BDH|7487378581681952829</stp>
        <tr r="I25" s="3"/>
      </tp>
      <tp t="s">
        <v>#N/A N/A</v>
        <stp/>
        <stp>BDH|1448902496961399589</stp>
        <tr r="L11" s="4"/>
      </tp>
      <tp t="s">
        <v>#N/A N/A</v>
        <stp/>
        <stp>BDH|9524971015325050197</stp>
        <tr r="J31" s="4"/>
      </tp>
      <tp t="s">
        <v>#N/A N/A</v>
        <stp/>
        <stp>BDH|6496013635567729793</stp>
        <tr r="L38" s="4"/>
      </tp>
      <tp t="s">
        <v>#N/A N/A</v>
        <stp/>
        <stp>BDH|8018865107731741496</stp>
        <tr r="J10" s="5"/>
      </tp>
      <tp t="s">
        <v>#N/A N/A</v>
        <stp/>
        <stp>BDH|7675603667737725597</stp>
        <tr r="G42" s="3"/>
      </tp>
      <tp t="s">
        <v>#N/A N/A</v>
        <stp/>
        <stp>BDH|9355149608959794475</stp>
        <tr r="J42" s="3"/>
      </tp>
      <tp t="s">
        <v>#N/A N/A</v>
        <stp/>
        <stp>BDH|7674561248683499031</stp>
        <tr r="H92" s="4"/>
      </tp>
      <tp t="s">
        <v>#N/A N/A</v>
        <stp/>
        <stp>BDH|4962211367527012228</stp>
        <tr r="G20" s="4"/>
      </tp>
      <tp t="s">
        <v>#N/A N/A</v>
        <stp/>
        <stp>BDH|5821519691724003852</stp>
        <tr r="F11" s="5"/>
      </tp>
      <tp t="s">
        <v>#N/A N/A</v>
        <stp/>
        <stp>BDH|7083470554226580542</stp>
        <tr r="F68" s="5"/>
      </tp>
      <tp t="s">
        <v>#N/A N/A</v>
        <stp/>
        <stp>BDH|1509775873972278617</stp>
        <tr r="D55" s="3"/>
      </tp>
      <tp t="s">
        <v>#N/A N/A</v>
        <stp/>
        <stp>BDH|6855563811564591399</stp>
        <tr r="C27" s="3"/>
      </tp>
      <tp t="s">
        <v>#N/A N/A</v>
        <stp/>
        <stp>BDH|3568701119133646390</stp>
        <tr r="L68" s="4"/>
      </tp>
      <tp t="s">
        <v>#N/A N/A</v>
        <stp/>
        <stp>BDH|1328122653407781769</stp>
        <tr r="E56" s="3"/>
      </tp>
      <tp t="s">
        <v>#N/A N/A</v>
        <stp/>
        <stp>BDH|6901141352400464787</stp>
        <tr r="E56" s="5"/>
      </tp>
      <tp t="s">
        <v>#N/A N/A</v>
        <stp/>
        <stp>BDH|7600670625814085278</stp>
        <tr r="J37" s="3"/>
      </tp>
      <tp t="s">
        <v>#N/A N/A</v>
        <stp/>
        <stp>BDH|5713428057238064911</stp>
        <tr r="H45" s="4"/>
      </tp>
      <tp t="s">
        <v>#N/A N/A</v>
        <stp/>
        <stp>BDH|9224331187805580232</stp>
        <tr r="K75" s="4"/>
      </tp>
      <tp t="s">
        <v>#N/A N/A</v>
        <stp/>
        <stp>BDH|1121445957237467262</stp>
        <tr r="K35" s="5"/>
      </tp>
      <tp t="s">
        <v>#N/A N/A</v>
        <stp/>
        <stp>BDH|3032600801006004612</stp>
        <tr r="C28" s="3"/>
      </tp>
      <tp t="s">
        <v>#N/A N/A</v>
        <stp/>
        <stp>BDH|7668760570067920596</stp>
        <tr r="H11" s="3"/>
        <tr r="H14" s="2"/>
      </tp>
      <tp t="s">
        <v>#N/A N/A</v>
        <stp/>
        <stp>BDH|7160705168180834314</stp>
        <tr r="F8" s="3"/>
      </tp>
      <tp t="s">
        <v>#N/A N/A</v>
        <stp/>
        <stp>BDH|7139122227247088646</stp>
        <tr r="J9" s="4"/>
      </tp>
      <tp t="s">
        <v>#N/A N/A</v>
        <stp/>
        <stp>BDH|8436658005652513910</stp>
        <tr r="D32" s="4"/>
      </tp>
      <tp t="s">
        <v>#N/A N/A</v>
        <stp/>
        <stp>BDH|2738935943088374252</stp>
        <tr r="I37" s="4"/>
      </tp>
      <tp t="s">
        <v>#N/A N/A</v>
        <stp/>
        <stp>BDH|4610196792841893844</stp>
        <tr r="G48" s="4"/>
      </tp>
      <tp t="s">
        <v>#N/A N/A</v>
        <stp/>
        <stp>BDH|9136675390221029273</stp>
        <tr r="D57" s="4"/>
      </tp>
      <tp t="s">
        <v>#N/A N/A</v>
        <stp/>
        <stp>BDH|4700249083852537945</stp>
        <tr r="H45" s="5"/>
      </tp>
      <tp t="s">
        <v>#N/A N/A</v>
        <stp/>
        <stp>BDH|3309596991438915238</stp>
        <tr r="K89" s="4"/>
      </tp>
      <tp t="s">
        <v>#N/A N/A</v>
        <stp/>
        <stp>BDH|5811423357212994355</stp>
        <tr r="C12" s="5"/>
      </tp>
      <tp t="s">
        <v>#N/A N/A</v>
        <stp/>
        <stp>BDH|6141354084888478053</stp>
        <tr r="L14" s="5"/>
      </tp>
      <tp t="s">
        <v>#N/A N/A</v>
        <stp/>
        <stp>BDH|9899165638826717872</stp>
        <tr r="J28" s="5"/>
      </tp>
      <tp t="s">
        <v>#N/A N/A</v>
        <stp/>
        <stp>BDH|6545799012932081787</stp>
        <tr r="H8" s="4"/>
      </tp>
      <tp t="s">
        <v>#N/A N/A</v>
        <stp/>
        <stp>BDH|6046368820315103710</stp>
        <tr r="G19" s="4"/>
      </tp>
      <tp t="s">
        <v>#N/A N/A</v>
        <stp/>
        <stp>BDH|9279730118278776299</stp>
        <tr r="J7" s="5"/>
      </tp>
      <tp t="s">
        <v>#N/A N/A</v>
        <stp/>
        <stp>BDH|6021117878564699187</stp>
        <tr r="H45" s="3"/>
        <tr r="H18" s="2"/>
      </tp>
      <tp t="s">
        <v>#N/A N/A</v>
        <stp/>
        <stp>BDH|4060857591368942892</stp>
        <tr r="K82" s="4"/>
      </tp>
      <tp t="s">
        <v>#N/A N/A</v>
        <stp/>
        <stp>BDH|8414537885562031269</stp>
        <tr r="G35" s="5"/>
      </tp>
      <tp t="s">
        <v>#N/A N/A</v>
        <stp/>
        <stp>BDH|8176005382702182767</stp>
        <tr r="H69" s="4"/>
      </tp>
      <tp t="s">
        <v>#N/A N/A</v>
        <stp/>
        <stp>BDH|1512550243094108173</stp>
        <tr r="H39" s="4"/>
      </tp>
      <tp t="s">
        <v>#N/A N/A</v>
        <stp/>
        <stp>BDH|2281339663505422733</stp>
        <tr r="E64" s="3"/>
      </tp>
      <tp t="s">
        <v>#N/A N/A</v>
        <stp/>
        <stp>BDH|3042964435764617802</stp>
        <tr r="G34" s="3"/>
      </tp>
      <tp t="s">
        <v>#N/A N/A</v>
        <stp/>
        <stp>BDH|9577009680935018109</stp>
        <tr r="D72" s="4"/>
      </tp>
      <tp t="s">
        <v>#N/A N/A</v>
        <stp/>
        <stp>BDH|7024457260547972466</stp>
        <tr r="C83" s="4"/>
      </tp>
      <tp t="s">
        <v>#N/A N/A</v>
        <stp/>
        <stp>BDH|9521242586785494099</stp>
        <tr r="D64" s="3"/>
      </tp>
      <tp t="s">
        <v>#N/A N/A</v>
        <stp/>
        <stp>BDH|2841927686973749617</stp>
        <tr r="L65" s="4"/>
      </tp>
      <tp t="s">
        <v>#N/A N/A</v>
        <stp/>
        <stp>BDH|2089194007612343775</stp>
        <tr r="D13" s="5"/>
      </tp>
      <tp t="s">
        <v>#N/A N/A</v>
        <stp/>
        <stp>BDH|1180276444617934614</stp>
        <tr r="G28" s="5"/>
      </tp>
      <tp t="s">
        <v>#N/A N/A</v>
        <stp/>
        <stp>BDH|1098597503401560353</stp>
        <tr r="F24" s="4"/>
      </tp>
      <tp t="s">
        <v>#N/A N/A</v>
        <stp/>
        <stp>BDH|6009173905225802411</stp>
        <tr r="F50" s="4"/>
      </tp>
      <tp t="s">
        <v>#N/A N/A</v>
        <stp/>
        <stp>BDH|5651293517448430875</stp>
        <tr r="F10" s="5"/>
      </tp>
      <tp t="s">
        <v>#N/A N/A</v>
        <stp/>
        <stp>BDH|3380450552612493686</stp>
        <tr r="F10" s="4"/>
      </tp>
      <tp t="s">
        <v>#N/A N/A</v>
        <stp/>
        <stp>BDH|3956585339372301132</stp>
        <tr r="D15" s="5"/>
      </tp>
      <tp t="s">
        <v>#N/A N/A</v>
        <stp/>
        <stp>BDH|6708525078701045354</stp>
        <tr r="F39" s="4"/>
      </tp>
      <tp t="s">
        <v>#N/A N/A</v>
        <stp/>
        <stp>BDH|5435934494027856439</stp>
        <tr r="H89" s="4"/>
      </tp>
      <tp t="s">
        <v>#N/A N/A</v>
        <stp/>
        <stp>BDH|6957800157599787412</stp>
        <tr r="E46" s="4"/>
      </tp>
      <tp t="s">
        <v>#N/A N/A</v>
        <stp/>
        <stp>BDH|8389973178164424402</stp>
        <tr r="K29" s="5"/>
      </tp>
      <tp t="s">
        <v>#N/A N/A</v>
        <stp/>
        <stp>BDH|3227436501926029798</stp>
        <tr r="J75" s="4"/>
      </tp>
      <tp t="s">
        <v>#N/A N/A</v>
        <stp/>
        <stp>BDH|1374638265220440782</stp>
        <tr r="L36" s="4"/>
      </tp>
      <tp t="s">
        <v>#N/A N/A</v>
        <stp/>
        <stp>BDH|6476684566788571868</stp>
        <tr r="H64" s="3"/>
      </tp>
      <tp t="s">
        <v>#N/A N/A</v>
        <stp/>
        <stp>BDH|3539143589828456457</stp>
        <tr r="E55" s="3"/>
      </tp>
      <tp t="s">
        <v>#N/A N/A</v>
        <stp/>
        <stp>BDH|4202557831027698392</stp>
        <tr r="E14" s="4"/>
      </tp>
      <tp t="s">
        <v>#N/A N/A</v>
        <stp/>
        <stp>BDH|2508656139186313738</stp>
        <tr r="E17" s="3"/>
      </tp>
      <tp t="s">
        <v>#N/A N/A</v>
        <stp/>
        <stp>BDH|3501447661440940770</stp>
        <tr r="D6" s="2"/>
      </tp>
      <tp t="s">
        <v>#N/A N/A</v>
        <stp/>
        <stp>BDH|7539332679707367226</stp>
        <tr r="G44" s="5"/>
      </tp>
      <tp t="s">
        <v>#N/A N/A</v>
        <stp/>
        <stp>BDH|5598419671374921435</stp>
        <tr r="J27" s="5"/>
      </tp>
      <tp t="s">
        <v>#N/A N/A</v>
        <stp/>
        <stp>BDH|6398380727041681057</stp>
        <tr r="C55" s="3"/>
      </tp>
      <tp t="s">
        <v>#N/A N/A</v>
        <stp/>
        <stp>BDH|7902404070323560108</stp>
        <tr r="J82" s="4"/>
      </tp>
      <tp t="s">
        <v>#N/A N/A</v>
        <stp/>
        <stp>BDH|2542585900391339029</stp>
        <tr r="E26" s="4"/>
      </tp>
      <tp t="s">
        <v>#N/A N/A</v>
        <stp/>
        <stp>BDH|9315482378308982465</stp>
        <tr r="I77" s="4"/>
      </tp>
      <tp t="s">
        <v>#N/A N/A</v>
        <stp/>
        <stp>BDH|4690498718294888334</stp>
        <tr r="C70" s="3"/>
      </tp>
      <tp t="s">
        <v>#N/A N/A</v>
        <stp/>
        <stp>BDH|5812959862775055929</stp>
        <tr r="D30" s="5"/>
      </tp>
      <tp t="s">
        <v>#N/A N/A</v>
        <stp/>
        <stp>BDH|4226221515381967013</stp>
        <tr r="D29" s="3"/>
      </tp>
      <tp t="s">
        <v>#N/A N/A</v>
        <stp/>
        <stp>BDH|8546122021069811439</stp>
        <tr r="K30" s="5"/>
      </tp>
      <tp t="s">
        <v>#N/A N/A</v>
        <stp/>
        <stp>BDH|2977191286579669424</stp>
        <tr r="J24" s="3"/>
      </tp>
      <tp t="s">
        <v>#N/A N/A</v>
        <stp/>
        <stp>BDH|8865242182293848741</stp>
        <tr r="E41" s="5"/>
      </tp>
      <tp t="s">
        <v>#N/A N/A</v>
        <stp/>
        <stp>BDH|6982292740387533179</stp>
        <tr r="K48" s="5"/>
      </tp>
      <tp t="s">
        <v>#N/A N/A</v>
        <stp/>
        <stp>BDH|7641108177546246118</stp>
        <tr r="L49" s="4"/>
      </tp>
      <tp t="s">
        <v>#N/A N/A</v>
        <stp/>
        <stp>BDH|3440710144456334005</stp>
        <tr r="L48" s="5"/>
      </tp>
      <tp t="s">
        <v>#N/A N/A</v>
        <stp/>
        <stp>BDH|8383483026368627093</stp>
        <tr r="L89" s="4"/>
      </tp>
      <tp t="s">
        <v>#N/A N/A</v>
        <stp/>
        <stp>BDH|1257096409776353139</stp>
        <tr r="I61" s="4"/>
      </tp>
      <tp t="s">
        <v>#N/A N/A</v>
        <stp/>
        <stp>BDH|7699481311690903446</stp>
        <tr r="K65" s="4"/>
      </tp>
      <tp t="s">
        <v>#N/A N/A</v>
        <stp/>
        <stp>BDH|4942188957251102753</stp>
        <tr r="K7" s="5"/>
      </tp>
      <tp t="s">
        <v>#N/A N/A</v>
        <stp/>
        <stp>BDH|4840399411692042220</stp>
        <tr r="G66" s="3"/>
      </tp>
      <tp t="s">
        <v>#N/A N/A</v>
        <stp/>
        <stp>BDH|5673415817745227308</stp>
        <tr r="C64" s="4"/>
      </tp>
      <tp t="s">
        <v>#N/A N/A</v>
        <stp/>
        <stp>BDH|3152633025246080752</stp>
        <tr r="L47" s="5"/>
      </tp>
      <tp t="s">
        <v>#N/A N/A</v>
        <stp/>
        <stp>BDH|7490075607336194766</stp>
        <tr r="E65" s="4"/>
      </tp>
      <tp t="s">
        <v>#N/A N/A</v>
        <stp/>
        <stp>BDH|5088831277955555925</stp>
        <tr r="F17" s="3"/>
      </tp>
      <tp t="s">
        <v>#N/A N/A</v>
        <stp/>
        <stp>BDH|7437115170611279643</stp>
        <tr r="C13" s="3"/>
      </tp>
      <tp t="s">
        <v>#N/A N/A</v>
        <stp/>
        <stp>BDH|3090032073613261115</stp>
        <tr r="E18" s="5"/>
        <tr r="C23" s="2"/>
      </tp>
      <tp t="s">
        <v>#N/A N/A</v>
        <stp/>
        <stp>BDH|4852630749929824990</stp>
        <tr r="L19" s="4"/>
      </tp>
      <tp t="s">
        <v>#N/A N/A</v>
        <stp/>
        <stp>BDH|1160583325235803540</stp>
        <tr r="J27" s="3"/>
      </tp>
      <tp t="s">
        <v>#N/A N/A</v>
        <stp/>
        <stp>BDH|9191806057965287748</stp>
        <tr r="I18" s="4"/>
      </tp>
      <tp t="s">
        <v>#N/A N/A</v>
        <stp/>
        <stp>BDH|7911895113790106825</stp>
        <tr r="H31" s="5"/>
      </tp>
      <tp t="s">
        <v>#N/A N/A</v>
        <stp/>
        <stp>BDH|4674403023674781022</stp>
        <tr r="I33" s="5"/>
      </tp>
      <tp t="s">
        <v>#N/A N/A</v>
        <stp/>
        <stp>BDH|4874303975157531197</stp>
        <tr r="J91" s="4"/>
      </tp>
      <tp t="s">
        <v>#N/A N/A</v>
        <stp/>
        <stp>BDH|7438464547566484701</stp>
        <tr r="L71" s="4"/>
      </tp>
      <tp t="s">
        <v>#N/A N/A</v>
        <stp/>
        <stp>BDH|6286971324608911393</stp>
        <tr r="C60" s="4"/>
      </tp>
      <tp t="s">
        <v>#N/A N/A</v>
        <stp/>
        <stp>BDH|6021888902658558098</stp>
        <tr r="E24" s="2"/>
      </tp>
      <tp t="s">
        <v>#N/A N/A</v>
        <stp/>
        <stp>BDH|6063871506569204157</stp>
        <tr r="G28" s="3"/>
      </tp>
      <tp t="s">
        <v>#N/A N/A</v>
        <stp/>
        <stp>BDH|4082740405021341449</stp>
        <tr r="G23" s="4"/>
      </tp>
      <tp t="s">
        <v>#N/A N/A</v>
        <stp/>
        <stp>BDH|1642722673193859495</stp>
        <tr r="C52" s="4"/>
      </tp>
      <tp t="s">
        <v>#N/A N/A</v>
        <stp/>
        <stp>BDH|4934306547361131492</stp>
        <tr r="G16" s="5"/>
      </tp>
      <tp t="s">
        <v>#N/A N/A</v>
        <stp/>
        <stp>BDH|8373159492030692641</stp>
        <tr r="E28" s="5"/>
      </tp>
      <tp t="s">
        <v>#N/A N/A</v>
        <stp/>
        <stp>BDH|6709672913772646538</stp>
        <tr r="D42" s="5"/>
      </tp>
      <tp t="s">
        <v>#N/A N/A</v>
        <stp/>
        <stp>BDH|1109201235856502074</stp>
        <tr r="I63" s="4"/>
      </tp>
      <tp t="s">
        <v>#N/A N/A</v>
        <stp/>
        <stp>BDH|5143072912137235509</stp>
        <tr r="C47" s="4"/>
      </tp>
      <tp t="s">
        <v>#N/A N/A</v>
        <stp/>
        <stp>BDH|4854488444414601647</stp>
        <tr r="J24" s="2"/>
      </tp>
      <tp t="s">
        <v>#N/A N/A</v>
        <stp/>
        <stp>BDH|1862316781039987576</stp>
        <tr r="H33" s="3"/>
      </tp>
      <tp t="s">
        <v>#N/A N/A</v>
        <stp/>
        <stp>BDH|3038600904962386103</stp>
        <tr r="D62" s="4"/>
      </tp>
      <tp t="s">
        <v>#N/A N/A</v>
        <stp/>
        <stp>BDH|9772773448434652890</stp>
        <tr r="L9" s="5"/>
      </tp>
      <tp t="s">
        <v>#N/A N/A</v>
        <stp/>
        <stp>BDH|3422571850611156458</stp>
        <tr r="L44" s="5"/>
      </tp>
      <tp t="s">
        <v>#N/A N/A</v>
        <stp/>
        <stp>BDH|3581902890675550073</stp>
        <tr r="E92" s="4"/>
      </tp>
      <tp t="s">
        <v>#N/A N/A</v>
        <stp/>
        <stp>BDH|7739959606450796871</stp>
        <tr r="H62" s="4"/>
      </tp>
      <tp t="s">
        <v>#N/A N/A</v>
        <stp/>
        <stp>BDH|6884666556863409080</stp>
        <tr r="L28" s="4"/>
      </tp>
      <tp t="s">
        <v>#N/A N/A</v>
        <stp/>
        <stp>BDH|7655309630575743454</stp>
        <tr r="G66" s="4"/>
      </tp>
      <tp t="s">
        <v>#N/A N/A</v>
        <stp/>
        <stp>BDH|6279020255747323231</stp>
        <tr r="K67" s="4"/>
      </tp>
      <tp t="s">
        <v>#N/A N/A</v>
        <stp/>
        <stp>BDH|1522905407099405732</stp>
        <tr r="C9" s="5"/>
      </tp>
      <tp t="s">
        <v>#N/A N/A</v>
        <stp/>
        <stp>BDH|5017410573355717507</stp>
        <tr r="K74" s="4"/>
      </tp>
      <tp t="s">
        <v>#N/A N/A</v>
        <stp/>
        <stp>BDH|4740262826180586279</stp>
        <tr r="I82" s="4"/>
      </tp>
      <tp t="s">
        <v>#N/A N/A</v>
        <stp/>
        <stp>BDH|4009023822014202479</stp>
        <tr r="C29" s="4"/>
      </tp>
      <tp t="s">
        <v>#N/A N/A</v>
        <stp/>
        <stp>BDH|8215831627965057133</stp>
        <tr r="G55" s="3"/>
      </tp>
      <tp t="s">
        <v>#N/A N/A</v>
        <stp/>
        <stp>BDH|8008547113509946246</stp>
        <tr r="I85" s="4"/>
      </tp>
      <tp t="s">
        <v>#N/A N/A</v>
        <stp/>
        <stp>BDH|4077304797570900945</stp>
        <tr r="G54" s="4"/>
      </tp>
      <tp t="s">
        <v>#N/A N/A</v>
        <stp/>
        <stp>BDH|8321304169518772271</stp>
        <tr r="D27" s="4"/>
      </tp>
      <tp t="s">
        <v>#N/A N/A</v>
        <stp/>
        <stp>BDH|7343125559647619348</stp>
        <tr r="G84" s="4"/>
      </tp>
      <tp t="s">
        <v>#N/A N/A</v>
        <stp/>
        <stp>BDH|6438311349365035374</stp>
        <tr r="L91" s="4"/>
      </tp>
      <tp t="s">
        <v>#N/A N/A</v>
        <stp/>
        <stp>BDH|1884535574486401201</stp>
        <tr r="C69" s="4"/>
      </tp>
      <tp t="s">
        <v>#N/A N/A</v>
        <stp/>
        <stp>BDH|8320861338697590334</stp>
        <tr r="I11" s="5"/>
      </tp>
      <tp t="s">
        <v>#N/A N/A</v>
        <stp/>
        <stp>BDH|7828711140180082327</stp>
        <tr r="D61" s="4"/>
      </tp>
      <tp t="s">
        <v>#N/A N/A</v>
        <stp/>
        <stp>BDH|1370596315836116456</stp>
        <tr r="J41" s="4"/>
      </tp>
      <tp t="s">
        <v>#N/A N/A</v>
        <stp/>
        <stp>BDH|7040606187286751881</stp>
        <tr r="C89" s="4"/>
      </tp>
      <tp t="s">
        <v>#N/A N/A</v>
        <stp/>
        <stp>BDH|7251934585712924346</stp>
        <tr r="G14" s="3"/>
      </tp>
      <tp t="s">
        <v>#N/A N/A</v>
        <stp/>
        <stp>BDH|3338637801011874305</stp>
        <tr r="I44" s="4"/>
      </tp>
      <tp t="s">
        <v>#N/A N/A</v>
        <stp/>
        <stp>BDH|6926480423832910524</stp>
        <tr r="E71" s="3"/>
      </tp>
      <tp t="s">
        <v>#N/A N/A</v>
        <stp/>
        <stp>BDH|3844274947956188478</stp>
        <tr r="J63" s="5"/>
        <tr r="H25" s="2"/>
      </tp>
      <tp t="s">
        <v>#N/A N/A</v>
        <stp/>
        <stp>BDH|2141145415305605089</stp>
        <tr r="F68" s="4"/>
      </tp>
      <tp t="s">
        <v>#N/A N/A</v>
        <stp/>
        <stp>BDH|5615634350274385581</stp>
        <tr r="I14" s="5"/>
      </tp>
      <tp t="s">
        <v>#N/A N/A</v>
        <stp/>
        <stp>BDH|5057714172717886549</stp>
        <tr r="I26" s="5"/>
      </tp>
      <tp t="s">
        <v>#N/A N/A</v>
        <stp/>
        <stp>BDH|1466150329943257651</stp>
        <tr r="D25" s="4"/>
      </tp>
      <tp t="s">
        <v>#N/A N/A</v>
        <stp/>
        <stp>BDH|6832147943832475647</stp>
        <tr r="L17" s="4"/>
      </tp>
      <tp t="s">
        <v>#N/A N/A</v>
        <stp/>
        <stp>BDH|6939369056880148744</stp>
        <tr r="L60" s="4"/>
      </tp>
      <tp t="s">
        <v>#N/A N/A</v>
        <stp/>
        <stp>BDH|6439088825915575601</stp>
        <tr r="G6" s="2"/>
      </tp>
      <tp t="s">
        <v>#N/A N/A</v>
        <stp/>
        <stp>BDH|8537242786721237492</stp>
        <tr r="D53" s="4"/>
      </tp>
      <tp t="s">
        <v>#N/A N/A</v>
        <stp/>
        <stp>BDH|6789990468908326694</stp>
        <tr r="G68" s="4"/>
      </tp>
      <tp t="s">
        <v>#N/A N/A</v>
        <stp/>
        <stp>BDH|2058648133214285498</stp>
        <tr r="I29" s="3"/>
      </tp>
      <tp t="s">
        <v>#N/A N/A</v>
        <stp/>
        <stp>BDH|4426321482678013091</stp>
        <tr r="J8" s="3"/>
      </tp>
      <tp t="s">
        <v>#N/A N/A</v>
        <stp/>
        <stp>BDH|8298439602418779396</stp>
        <tr r="F20" s="3"/>
      </tp>
      <tp t="s">
        <v>#N/A N/A</v>
        <stp/>
        <stp>BDH|2621413950437930331</stp>
        <tr r="H78" s="4"/>
      </tp>
      <tp t="s">
        <v>#N/A N/A</v>
        <stp/>
        <stp>BDH|4339928293686853571</stp>
        <tr r="H19" s="3"/>
      </tp>
      <tp t="s">
        <v>#N/A N/A</v>
        <stp/>
        <stp>BDH|7608593795089490531</stp>
        <tr r="E13" s="3"/>
      </tp>
      <tp t="s">
        <v>#N/A N/A</v>
        <stp/>
        <stp>BDH|1682262216760264590</stp>
        <tr r="J18" s="4"/>
      </tp>
      <tp t="s">
        <v>#N/A N/A</v>
        <stp/>
        <stp>BDH|4786139602254721635</stp>
        <tr r="H68" s="3"/>
      </tp>
      <tp t="s">
        <v>#N/A N/A</v>
        <stp/>
        <stp>BDH|4655730554907526666</stp>
        <tr r="L54" s="4"/>
      </tp>
      <tp t="s">
        <v>#N/A N/A</v>
        <stp/>
        <stp>BDH|6594472002643607646</stp>
        <tr r="J16" s="3"/>
      </tp>
      <tp t="s">
        <v>#N/A N/A</v>
        <stp/>
        <stp>BDH|5520355842062381731</stp>
        <tr r="G78" s="4"/>
      </tp>
      <tp t="s">
        <v>#N/A N/A</v>
        <stp/>
        <stp>BDH|8384736922743889998</stp>
        <tr r="G46" s="5"/>
      </tp>
      <tp t="s">
        <v>#N/A N/A</v>
        <stp/>
        <stp>BDH|7399248078280675594</stp>
        <tr r="D11" s="5"/>
      </tp>
      <tp t="s">
        <v>#N/A N/A</v>
        <stp/>
        <stp>BDH|5223681936081442684</stp>
        <tr r="E14" s="3"/>
      </tp>
      <tp t="s">
        <v>#N/A N/A</v>
        <stp/>
        <stp>BDH|6285911882786613679</stp>
        <tr r="I34" s="3"/>
      </tp>
      <tp t="s">
        <v>#N/A N/A</v>
        <stp/>
        <stp>BDH|8221478652009762705</stp>
        <tr r="E15" s="5"/>
      </tp>
      <tp t="s">
        <v>#N/A N/A</v>
        <stp/>
        <stp>BDH|7007563446869845885</stp>
        <tr r="H44" s="4"/>
      </tp>
      <tp t="s">
        <v>#N/A N/A</v>
        <stp/>
        <stp>BDH|5501350153636171230</stp>
        <tr r="G27" s="3"/>
      </tp>
      <tp t="s">
        <v>#N/A N/A</v>
        <stp/>
        <stp>BDH|5340634444018447814</stp>
        <tr r="J33" s="4"/>
      </tp>
      <tp t="s">
        <v>#N/A N/A</v>
        <stp/>
        <stp>BDH|9621672995804634538</stp>
        <tr r="G85" s="4"/>
      </tp>
      <tp t="s">
        <v>#N/A N/A</v>
        <stp/>
        <stp>BDH|1722297878635328643</stp>
        <tr r="E72" s="3"/>
      </tp>
      <tp t="s">
        <v>#N/A N/A</v>
        <stp/>
        <stp>BDH|8889343524128874614</stp>
        <tr r="L32" s="4"/>
      </tp>
      <tp t="s">
        <v>#N/A N/A</v>
        <stp/>
        <stp>BDH|4678905316863628877</stp>
        <tr r="H22" s="4"/>
      </tp>
      <tp t="s">
        <v>#N/A N/A</v>
        <stp/>
        <stp>BDH|7403970573726451823</stp>
        <tr r="E18" s="3"/>
      </tp>
      <tp t="s">
        <v>#N/A N/A</v>
        <stp/>
        <stp>BDH|5693278767050207620</stp>
        <tr r="I46" s="3"/>
      </tp>
      <tp t="s">
        <v>#N/A N/A</v>
        <stp/>
        <stp>BDH|1970611241501703582</stp>
        <tr r="H62" s="5"/>
      </tp>
      <tp t="s">
        <v>#N/A N/A</v>
        <stp/>
        <stp>BDH|1301133333522106646</stp>
        <tr r="F69" s="3"/>
      </tp>
      <tp t="s">
        <v>#N/A N/A</v>
        <stp/>
        <stp>BDH|2227123622983437507</stp>
        <tr r="E47" s="5"/>
      </tp>
      <tp t="s">
        <v>#N/A N/A</v>
        <stp/>
        <stp>BDH|3636733133110379023</stp>
        <tr r="D90" s="4"/>
      </tp>
      <tp t="s">
        <v>#N/A N/A</v>
        <stp/>
        <stp>BDH|6945578648299886991</stp>
        <tr r="K64" s="4"/>
      </tp>
      <tp t="s">
        <v>#N/A N/A</v>
        <stp/>
        <stp>BDH|8622366224179574768</stp>
        <tr r="H50" s="3"/>
      </tp>
      <tp t="s">
        <v>#N/A N/A</v>
        <stp/>
        <stp>BDH|9742121222065391832</stp>
        <tr r="C28" s="4"/>
      </tp>
      <tp t="s">
        <v>#N/A N/A</v>
        <stp/>
        <stp>BDH|4260716226070209631</stp>
        <tr r="E62" s="3"/>
      </tp>
      <tp t="s">
        <v>#N/A N/A</v>
        <stp/>
        <stp>BDH|1015732211695203541</stp>
        <tr r="J7" s="4"/>
      </tp>
      <tp t="s">
        <v>#N/A N/A</v>
        <stp/>
        <stp>BDH|1598967089376839168</stp>
        <tr r="H37" s="4"/>
      </tp>
      <tp t="s">
        <v>#N/A N/A</v>
        <stp/>
        <stp>BDH|5694040573673179641</stp>
        <tr r="I36" s="5"/>
      </tp>
      <tp t="s">
        <v>#N/A N/A</v>
        <stp/>
        <stp>BDH|3006601453786373149</stp>
        <tr r="C41" s="5"/>
      </tp>
      <tp t="s">
        <v>#N/A N/A</v>
        <stp/>
        <stp>BDH|5924490502741262753</stp>
        <tr r="L37" s="5"/>
      </tp>
      <tp t="s">
        <v>#N/A N/A</v>
        <stp/>
        <stp>BDH|3917509976411345793</stp>
        <tr r="I29" s="4"/>
      </tp>
      <tp t="s">
        <v>#N/A N/A</v>
        <stp/>
        <stp>BDH|76800990619778248</stp>
        <tr r="J42" s="4"/>
      </tp>
      <tp t="s">
        <v>#N/A N/A</v>
        <stp/>
        <stp>BDH|1590573058815428441</stp>
        <tr r="I13" s="5"/>
      </tp>
      <tp t="s">
        <v>#N/A N/A</v>
        <stp/>
        <stp>BDH|6313345439494047245</stp>
        <tr r="F7" s="2"/>
      </tp>
      <tp t="s">
        <v>#N/A N/A</v>
        <stp/>
        <stp>BDH|3728168118253173028</stp>
        <tr r="G7" s="5"/>
      </tp>
      <tp t="s">
        <v>#N/A N/A</v>
        <stp/>
        <stp>BDH|8614872091198235189</stp>
        <tr r="I68" s="5"/>
      </tp>
      <tp t="s">
        <v>#N/A N/A</v>
        <stp/>
        <stp>BDH|6678593870366585204</stp>
        <tr r="F66" s="3"/>
      </tp>
      <tp t="s">
        <v>#N/A N/A</v>
        <stp/>
        <stp>BDH|8233389394283706120</stp>
        <tr r="H18" s="5"/>
        <tr r="F23" s="2"/>
      </tp>
      <tp t="s">
        <v>#N/A N/A</v>
        <stp/>
        <stp>BDH|5243350716727815016</stp>
        <tr r="F56" s="5"/>
      </tp>
      <tp t="s">
        <v>#N/A N/A</v>
        <stp/>
        <stp>BDH|4228413004988948868</stp>
        <tr r="H66" s="5"/>
      </tp>
      <tp t="s">
        <v>#N/A N/A</v>
        <stp/>
        <stp>BDH|1740322226079306989</stp>
        <tr r="K49" s="5"/>
      </tp>
      <tp t="s">
        <v>#N/A N/A</v>
        <stp/>
        <stp>BDH|2839604676497311441</stp>
        <tr r="J11" s="3"/>
        <tr r="J14" s="2"/>
      </tp>
      <tp t="s">
        <v>#N/A N/A</v>
        <stp/>
        <stp>BDH|6551450149366018000</stp>
        <tr r="J85" s="4"/>
      </tp>
      <tp t="s">
        <v>#N/A N/A</v>
        <stp/>
        <stp>BDH|7304294265494500737</stp>
        <tr r="L84" s="4"/>
      </tp>
      <tp t="s">
        <v>#N/A N/A</v>
        <stp/>
        <stp>BDH|5111109108690898481</stp>
        <tr r="F52" s="4"/>
      </tp>
      <tp t="s">
        <v>#N/A N/A</v>
        <stp/>
        <stp>BDH|1202766066987845730</stp>
        <tr r="C61" s="5"/>
      </tp>
      <tp t="s">
        <v>#N/A N/A</v>
        <stp/>
        <stp>BDH|2112602022633387590</stp>
        <tr r="J63" s="3"/>
      </tp>
      <tp t="s">
        <v>#N/A N/A</v>
        <stp/>
        <stp>BDH|7294399995004545957</stp>
        <tr r="F44" s="5"/>
      </tp>
      <tp t="s">
        <v>#N/A N/A</v>
        <stp/>
        <stp>BDH|3676166654806262187</stp>
        <tr r="F10" s="2"/>
      </tp>
      <tp t="s">
        <v>#N/A N/A</v>
        <stp/>
        <stp>BDH|4919579940553734675</stp>
        <tr r="J15" s="3"/>
      </tp>
      <tp t="s">
        <v>#N/A N/A</v>
        <stp/>
        <stp>BDH|3092399450690044562</stp>
        <tr r="C64" s="3"/>
      </tp>
      <tp t="s">
        <v>#N/A N/A</v>
        <stp/>
        <stp>BDH|6972053542116867490</stp>
        <tr r="E73" s="4"/>
      </tp>
      <tp t="s">
        <v>#N/A N/A</v>
        <stp/>
        <stp>BDH|5426929257521919875</stp>
        <tr r="J65" s="5"/>
      </tp>
      <tp t="s">
        <v>#N/A N/A</v>
        <stp/>
        <stp>BDH|1497236635232956246</stp>
        <tr r="L34" s="5"/>
      </tp>
      <tp t="s">
        <v>#N/A N/A</v>
        <stp/>
        <stp>BDH|7792980709266823820</stp>
        <tr r="C13" s="5"/>
      </tp>
      <tp t="s">
        <v>#N/A N/A</v>
        <stp/>
        <stp>BDH|5528151221811470794</stp>
        <tr r="F22" s="4"/>
      </tp>
      <tp t="s">
        <v>#N/A N/A</v>
        <stp/>
        <stp>BDH|9294311014589345284</stp>
        <tr r="H66" s="4"/>
      </tp>
      <tp t="s">
        <v>#N/A N/A</v>
        <stp/>
        <stp>BDH|9170834594359391197</stp>
        <tr r="D56" s="4"/>
      </tp>
      <tp t="s">
        <v>#N/A N/A</v>
        <stp/>
        <stp>BDH|4406195677043199172</stp>
        <tr r="I11" s="4"/>
      </tp>
      <tp t="s">
        <v>#N/A N/A</v>
        <stp/>
        <stp>BDH|1843636671002167261</stp>
        <tr r="E50" s="4"/>
      </tp>
      <tp t="s">
        <v>#N/A N/A</v>
        <stp/>
        <stp>BDH|3642405304441220626</stp>
        <tr r="G57" s="4"/>
      </tp>
      <tp t="s">
        <v>#N/A N/A</v>
        <stp/>
        <stp>BDH|3693329051792076779</stp>
        <tr r="F59" s="4"/>
      </tp>
      <tp t="s">
        <v>#N/A N/A</v>
        <stp/>
        <stp>BDH|3193499578110308019</stp>
        <tr r="H56" s="5"/>
      </tp>
      <tp t="s">
        <v>#N/A N/A</v>
        <stp/>
        <stp>BDH|7724457789088075399</stp>
        <tr r="G17" s="3"/>
      </tp>
      <tp t="s">
        <v>#N/A N/A</v>
        <stp/>
        <stp>BDH|8841849297660874916</stp>
        <tr r="F92" s="4"/>
      </tp>
      <tp t="s">
        <v>#N/A N/A</v>
        <stp/>
        <stp>BDH|6298721662397715077</stp>
        <tr r="C42" s="5"/>
      </tp>
      <tp t="s">
        <v>#N/A N/A</v>
        <stp/>
        <stp>BDH|1517088860553742486</stp>
        <tr r="F51" s="4"/>
      </tp>
      <tp t="s">
        <v>#N/A N/A</v>
        <stp/>
        <stp>BDH|7244077333091256570</stp>
        <tr r="I32" s="3"/>
      </tp>
      <tp t="s">
        <v>#N/A N/A</v>
        <stp/>
        <stp>BDH|3093316078012304597</stp>
        <tr r="L40" s="4"/>
      </tp>
      <tp t="s">
        <v>#N/A N/A</v>
        <stp/>
        <stp>BDH|4108683920834991406</stp>
        <tr r="K9" s="5"/>
      </tp>
      <tp t="s">
        <v>#N/A N/A</v>
        <stp/>
        <stp>BDH|4566167384255692813</stp>
        <tr r="C54" s="4"/>
      </tp>
      <tp t="s">
        <v>#N/A N/A</v>
        <stp/>
        <stp>BDH|2911812993033281096</stp>
        <tr r="K10" s="4"/>
      </tp>
      <tp t="s">
        <v>#N/A N/A</v>
        <stp/>
        <stp>BDH|1129405121523761479</stp>
        <tr r="I18" s="5"/>
        <tr r="G23" s="2"/>
      </tp>
      <tp t="s">
        <v>#N/A N/A</v>
        <stp/>
        <stp>BDH|2340829152379655654</stp>
        <tr r="H54" s="4"/>
      </tp>
      <tp t="s">
        <v>#N/A N/A</v>
        <stp/>
        <stp>BDH|7807722158260401572</stp>
        <tr r="J34" s="3"/>
      </tp>
      <tp t="s">
        <v>#N/A N/A</v>
        <stp/>
        <stp>BDH|7582519647694533273</stp>
        <tr r="F62" s="4"/>
      </tp>
      <tp t="s">
        <v>#N/A N/A</v>
        <stp/>
        <stp>BDH|5847880796400440441</stp>
        <tr r="E8" s="3"/>
      </tp>
      <tp t="s">
        <v>#N/A N/A</v>
        <stp/>
        <stp>BDH|5879242959692675051</stp>
        <tr r="H29" s="5"/>
      </tp>
      <tp t="s">
        <v>#N/A N/A</v>
        <stp/>
        <stp>BDH|2462439253204421767</stp>
        <tr r="C21" s="4"/>
      </tp>
      <tp t="s">
        <v>#N/A N/A</v>
        <stp/>
        <stp>BDH|3794460970561003174</stp>
        <tr r="E10" s="5"/>
      </tp>
      <tp t="s">
        <v>#N/A N/A</v>
        <stp/>
        <stp>BDH|3610919987796527430</stp>
        <tr r="G47" s="3"/>
        <tr r="G35" s="3"/>
      </tp>
      <tp t="s">
        <v>#N/A N/A</v>
        <stp/>
        <stp>BDH|6167563590908157205</stp>
        <tr r="E14" s="5"/>
      </tp>
      <tp t="s">
        <v>#N/A N/A</v>
        <stp/>
        <stp>BDH|2831798076581141306</stp>
        <tr r="L67" s="4"/>
      </tp>
      <tp t="s">
        <v>#N/A N/A</v>
        <stp/>
        <stp>BDH|6404015816695178252</stp>
        <tr r="I23" s="3"/>
      </tp>
      <tp t="s">
        <v>#N/A N/A</v>
        <stp/>
        <stp>BDH|6362218036944480374</stp>
        <tr r="G9" s="2"/>
      </tp>
      <tp t="s">
        <v>#N/A N/A</v>
        <stp/>
        <stp>BDH|6401214789098804439</stp>
        <tr r="I9" s="4"/>
      </tp>
      <tp t="s">
        <v>#N/A N/A</v>
        <stp/>
        <stp>BDH|1254257021894084527</stp>
        <tr r="K63" s="4"/>
      </tp>
      <tp t="s">
        <v>#N/A N/A</v>
        <stp/>
        <stp>BDH|6728763697500384819</stp>
        <tr r="L13" s="5"/>
      </tp>
      <tp t="s">
        <v>#N/A N/A</v>
        <stp/>
        <stp>BDH|1023416279387400583</stp>
        <tr r="I54" s="3"/>
      </tp>
      <tp t="s">
        <v>#N/A N/A</v>
        <stp/>
        <stp>BDH|3172733359023950267</stp>
        <tr r="I40" s="5"/>
      </tp>
      <tp t="s">
        <v>#N/A N/A</v>
        <stp/>
        <stp>BDH|9194326295806335512</stp>
        <tr r="I45" s="4"/>
      </tp>
      <tp t="s">
        <v>#N/A N/A</v>
        <stp/>
        <stp>BDH|1235015636513364130</stp>
        <tr r="I26" s="3"/>
      </tp>
      <tp t="s">
        <v>#N/A N/A</v>
        <stp/>
        <stp>BDH|6584477435979542876</stp>
        <tr r="C55" s="4"/>
      </tp>
      <tp t="s">
        <v>#N/A N/A</v>
        <stp/>
        <stp>BDH|5935876252810198880</stp>
        <tr r="J11" s="4"/>
      </tp>
      <tp t="s">
        <v>#N/A N/A</v>
        <stp/>
        <stp>BDH|2715593382389991605</stp>
        <tr r="D64" s="4"/>
      </tp>
      <tp t="s">
        <v>#N/A N/A</v>
        <stp/>
        <stp>BDH|7433471615531428285</stp>
        <tr r="D43" s="3"/>
      </tp>
      <tp t="s">
        <v>#N/A N/A</v>
        <stp/>
        <stp>BDH|4074155479870593336</stp>
        <tr r="G22" s="5"/>
      </tp>
      <tp t="s">
        <v>#N/A N/A</v>
        <stp/>
        <stp>BDH|1479480714543019626</stp>
        <tr r="G31" s="4"/>
      </tp>
      <tp t="s">
        <v>#N/A N/A</v>
        <stp/>
        <stp>BDH|2979824605639512219</stp>
        <tr r="I8" s="3"/>
      </tp>
      <tp t="s">
        <v>#N/A N/A</v>
        <stp/>
        <stp>BDH|5095376457676916434</stp>
        <tr r="J71" s="4"/>
      </tp>
      <tp t="s">
        <v>#N/A N/A</v>
        <stp/>
        <stp>BDH|6590977991100877714</stp>
        <tr r="K62" s="4"/>
      </tp>
      <tp t="s">
        <v>#N/A N/A</v>
        <stp/>
        <stp>BDH|9527757797165525397</stp>
        <tr r="H10" s="4"/>
      </tp>
      <tp t="s">
        <v>#N/A N/A</v>
        <stp/>
        <stp>BDH|4386694843571195636</stp>
        <tr r="D64" s="5"/>
      </tp>
      <tp t="s">
        <v>#N/A N/A</v>
        <stp/>
        <stp>BDH|8470094587789596846</stp>
        <tr r="D34" s="5"/>
      </tp>
      <tp t="s">
        <v>#N/A N/A</v>
        <stp/>
        <stp>BDH|8699592694551310433</stp>
        <tr r="C76" s="4"/>
      </tp>
      <tp t="s">
        <v>#N/A N/A</v>
        <stp/>
        <stp>BDH|6594399226776729054</stp>
        <tr r="J39" s="3"/>
      </tp>
      <tp t="s">
        <v>#N/A N/A</v>
        <stp/>
        <stp>BDH|8476983632810385357</stp>
        <tr r="G11" s="4"/>
      </tp>
      <tp t="s">
        <v>#N/A N/A</v>
        <stp/>
        <stp>BDH|5859154123950223742</stp>
        <tr r="E46" s="3"/>
      </tp>
      <tp t="s">
        <v>#N/A N/A</v>
        <stp/>
        <stp>BDH|7766029669968789833</stp>
        <tr r="F31" s="3"/>
      </tp>
      <tp t="s">
        <v>#N/A N/A</v>
        <stp/>
        <stp>BDH|3254266541725884150</stp>
        <tr r="K41" s="5"/>
      </tp>
      <tp t="s">
        <v>#N/A N/A</v>
        <stp/>
        <stp>BDH|8051597997900476538</stp>
        <tr r="F70" s="4"/>
      </tp>
      <tp t="s">
        <v>#N/A N/A</v>
        <stp/>
        <stp>BDH|5554597476870622657</stp>
        <tr r="J77" s="4"/>
      </tp>
      <tp t="s">
        <v>#N/A N/A</v>
        <stp/>
        <stp>BDH|1354619746317985534</stp>
        <tr r="D7" s="4"/>
      </tp>
      <tp t="s">
        <v>#N/A N/A</v>
        <stp/>
        <stp>BDH|6829627634290604262</stp>
        <tr r="E29" s="4"/>
      </tp>
      <tp t="s">
        <v>#N/A N/A</v>
        <stp/>
        <stp>BDH|3064083708397652584</stp>
        <tr r="G20" s="3"/>
      </tp>
      <tp t="s">
        <v>#N/A N/A</v>
        <stp/>
        <stp>BDH|3893225751853662634</stp>
        <tr r="I27" s="4"/>
      </tp>
      <tp t="s">
        <v>#N/A N/A</v>
        <stp/>
        <stp>BDH|7871648616204751529</stp>
        <tr r="I52" s="4"/>
      </tp>
      <tp t="s">
        <v>#N/A N/A</v>
        <stp/>
        <stp>BDH|8829414919035601995</stp>
        <tr r="I24" s="2"/>
      </tp>
      <tp t="s">
        <v>#N/A N/A</v>
        <stp/>
        <stp>BDH|9794014601691897901</stp>
        <tr r="F85" s="4"/>
      </tp>
      <tp t="s">
        <v>#N/A N/A</v>
        <stp/>
        <stp>BDH|1395956231753854905</stp>
        <tr r="J7" s="2"/>
      </tp>
      <tp t="s">
        <v>#N/A N/A</v>
        <stp/>
        <stp>BDH|2242011947576291193</stp>
        <tr r="I35" s="5"/>
      </tp>
      <tp t="s">
        <v>#N/A N/A</v>
        <stp/>
        <stp>BDH|3063033249071652700</stp>
        <tr r="F26" s="3"/>
      </tp>
      <tp t="s">
        <v>#N/A N/A</v>
        <stp/>
        <stp>BDH|9833234962979589506</stp>
        <tr r="K86" s="4"/>
      </tp>
      <tp t="s">
        <v>#N/A N/A</v>
        <stp/>
        <stp>BDH|6176216491324461894</stp>
        <tr r="E7" s="5"/>
      </tp>
      <tp t="s">
        <v>#N/A N/A</v>
        <stp/>
        <stp>BDH|7534001443161222383</stp>
        <tr r="G21" s="5"/>
      </tp>
      <tp t="s">
        <v>#N/A N/A</v>
        <stp/>
        <stp>BDH|6123993557302729946</stp>
        <tr r="K43" s="4"/>
      </tp>
      <tp t="s">
        <v>#N/A N/A</v>
        <stp/>
        <stp>BDH|2607579006461217794</stp>
        <tr r="I16" s="5"/>
      </tp>
      <tp t="s">
        <v>#N/A N/A</v>
        <stp/>
        <stp>BDH|2753281766346766129</stp>
        <tr r="D39" s="3"/>
      </tp>
      <tp t="s">
        <v>#N/A N/A</v>
        <stp/>
        <stp>BDH|5664786360993495668</stp>
        <tr r="C68" s="5"/>
      </tp>
      <tp t="s">
        <v>#N/A N/A</v>
        <stp/>
        <stp>BDH|2601804509702186926</stp>
        <tr r="H75" s="4"/>
      </tp>
      <tp t="s">
        <v>#N/A N/A</v>
        <stp/>
        <stp>BDH|4817054645873759237</stp>
        <tr r="G62" s="3"/>
      </tp>
      <tp t="s">
        <v>#N/A N/A</v>
        <stp/>
        <stp>BDH|5623324368495541447</stp>
        <tr r="I88" s="4"/>
      </tp>
      <tp t="s">
        <v>#N/A N/A</v>
        <stp/>
        <stp>BDH|4332185145099673958</stp>
        <tr r="L10" s="4"/>
      </tp>
      <tp t="s">
        <v>#N/A N/A</v>
        <stp/>
        <stp>BDH|7526272610076333333</stp>
        <tr r="H68" s="4"/>
      </tp>
      <tp t="s">
        <v>#N/A N/A</v>
        <stp/>
        <stp>BDH|4700407727462190139</stp>
        <tr r="J41" s="5"/>
      </tp>
      <tp t="s">
        <v>#N/A N/A</v>
        <stp/>
        <stp>BDH|7322041664542471252</stp>
        <tr r="D23" s="5"/>
      </tp>
      <tp t="s">
        <v>#N/A N/A</v>
        <stp/>
        <stp>BDH|7332173765582779347</stp>
        <tr r="G10" s="2"/>
      </tp>
      <tp t="s">
        <v>#N/A N/A</v>
        <stp/>
        <stp>BDH|7840850310997686892</stp>
        <tr r="E8" s="4"/>
      </tp>
      <tp t="s">
        <v>#N/A N/A</v>
        <stp/>
        <stp>BDH|7697593746623249490</stp>
        <tr r="K84" s="4"/>
      </tp>
      <tp t="s">
        <v>#N/A N/A</v>
        <stp/>
        <stp>BDH|5222198709387307235</stp>
        <tr r="G48" s="5"/>
      </tp>
      <tp t="s">
        <v>#N/A N/A</v>
        <stp/>
        <stp>BDH|8414728492374723316</stp>
        <tr r="L64" s="5"/>
      </tp>
      <tp t="s">
        <v>#N/A N/A</v>
        <stp/>
        <stp>BDH|9979004479378370703</stp>
        <tr r="D9" s="5"/>
      </tp>
      <tp t="s">
        <v>#N/A N/A</v>
        <stp/>
        <stp>BDH|5674927382235238041</stp>
        <tr r="C51" s="4"/>
      </tp>
      <tp t="s">
        <v>#N/A N/A</v>
        <stp/>
        <stp>BDH|2029025589028944321</stp>
        <tr r="F83" s="4"/>
      </tp>
      <tp t="s">
        <v>#N/A N/A</v>
        <stp/>
        <stp>BDH|2252616434032323446</stp>
        <tr r="E67" s="5"/>
      </tp>
      <tp t="s">
        <v>#N/A N/A</v>
        <stp/>
        <stp>BDH|2722370803164467473</stp>
        <tr r="C10" s="4"/>
      </tp>
      <tp t="s">
        <v>#N/A N/A</v>
        <stp/>
        <stp>BDH|3198191129349384830</stp>
        <tr r="G56" s="3"/>
      </tp>
      <tp t="s">
        <v>#N/A N/A</v>
        <stp/>
        <stp>BDH|6240326012611040432</stp>
        <tr r="H16" s="5"/>
      </tp>
      <tp t="s">
        <v>#N/A N/A</v>
        <stp/>
        <stp>BDH|2313668308556412388</stp>
        <tr r="H63" s="3"/>
      </tp>
      <tp t="s">
        <v>#N/A N/A</v>
        <stp/>
        <stp>BDH|3252341078204643296</stp>
        <tr r="D41" s="3"/>
      </tp>
      <tp t="s">
        <v>#N/A N/A</v>
        <stp/>
        <stp>BDH|7868635346064427085</stp>
        <tr r="I52" s="5"/>
      </tp>
      <tp t="s">
        <v>#N/A N/A</v>
        <stp/>
        <stp>BDH|3093415902777572177</stp>
        <tr r="F69" s="4"/>
      </tp>
      <tp t="s">
        <v>#N/A N/A</v>
        <stp/>
        <stp>BDH|8401818270573313572</stp>
        <tr r="K93" s="4"/>
      </tp>
      <tp t="s">
        <v>#N/A N/A</v>
        <stp/>
        <stp>BDH|6149357857152400317</stp>
        <tr r="J30" s="5"/>
      </tp>
      <tp t="s">
        <v>#N/A N/A</v>
        <stp/>
        <stp>BDH|4492675796429497374</stp>
        <tr r="E46" s="5"/>
      </tp>
      <tp t="s">
        <v>#N/A N/A</v>
        <stp/>
        <stp>BDH|5195842698031855432</stp>
        <tr r="F31" s="5"/>
      </tp>
      <tp t="s">
        <v>#N/A N/A</v>
        <stp/>
        <stp>BDH|2622737075051598229</stp>
        <tr r="E25" s="5"/>
      </tp>
      <tp t="s">
        <v>#N/A N/A</v>
        <stp/>
        <stp>BDH|6408166323103379769</stp>
        <tr r="F18" s="4"/>
      </tp>
      <tp t="s">
        <v>#N/A N/A</v>
        <stp/>
        <stp>BDH|3648461230146383371</stp>
        <tr r="E77" s="4"/>
      </tp>
      <tp t="s">
        <v>#N/A N/A</v>
        <stp/>
        <stp>BDH|2020278953883894787</stp>
        <tr r="I22" s="5"/>
      </tp>
      <tp t="s">
        <v>#N/A N/A</v>
        <stp/>
        <stp>BDH|7641327761461814287</stp>
        <tr r="C46" s="5"/>
      </tp>
      <tp t="s">
        <v>#N/A N/A</v>
        <stp/>
        <stp>BDH|6370106666244208423</stp>
        <tr r="G13" s="4"/>
      </tp>
      <tp t="s">
        <v>#N/A N/A</v>
        <stp/>
        <stp>BDH|1071246432494233511</stp>
        <tr r="I39" s="4"/>
      </tp>
      <tp t="s">
        <v>#N/A N/A</v>
        <stp/>
        <stp>BDH|3645508165355221442</stp>
        <tr r="I50" s="3"/>
      </tp>
      <tp t="s">
        <v>#N/A N/A</v>
        <stp/>
        <stp>BDH|6278164441162619395</stp>
        <tr r="F20" s="4"/>
      </tp>
      <tp t="s">
        <v>#N/A N/A</v>
        <stp/>
        <stp>BDH|2636996093628289840</stp>
        <tr r="C88" s="4"/>
      </tp>
      <tp t="s">
        <v>#N/A N/A</v>
        <stp/>
        <stp>BDH|1901471663144682509</stp>
        <tr r="H54" s="3"/>
      </tp>
      <tp t="s">
        <v>#N/A N/A</v>
        <stp/>
        <stp>BDH|6855627930067216633</stp>
        <tr r="K54" s="5"/>
      </tp>
      <tp t="s">
        <v>#N/A N/A</v>
        <stp/>
        <stp>BDH|2650283961066248266</stp>
        <tr r="I93" s="4"/>
      </tp>
      <tp t="s">
        <v>#N/A N/A</v>
        <stp/>
        <stp>BDH|1088350172005864242</stp>
        <tr r="K13" s="5"/>
      </tp>
      <tp t="s">
        <v>#N/A N/A</v>
        <stp/>
        <stp>BDH|9432419523894852959</stp>
        <tr r="L56" s="5"/>
      </tp>
      <tp t="s">
        <v>#N/A N/A</v>
        <stp/>
        <stp>BDH|6218092855014472524</stp>
        <tr r="L46" s="5"/>
      </tp>
      <tp t="s">
        <v>#N/A N/A</v>
        <stp/>
        <stp>BDH|7633518459865551033</stp>
        <tr r="C61" s="3"/>
        <tr r="C16" s="2"/>
      </tp>
      <tp t="s">
        <v>#N/A N/A</v>
        <stp/>
        <stp>BDH|3057476549396168766</stp>
        <tr r="H34" s="5"/>
      </tp>
      <tp t="s">
        <v>#N/A N/A</v>
        <stp/>
        <stp>BDH|5641076824692537793</stp>
        <tr r="J83" s="4"/>
      </tp>
      <tp t="s">
        <v>#N/A N/A</v>
        <stp/>
        <stp>BDH|4609296952617540613</stp>
        <tr r="D7" s="5"/>
      </tp>
      <tp t="s">
        <v>#N/A N/A</v>
        <stp/>
        <stp>BDH|8712168463288348586</stp>
        <tr r="F8" s="4"/>
      </tp>
      <tp t="s">
        <v>#N/A N/A</v>
        <stp/>
        <stp>BDH|2089125004278803971</stp>
        <tr r="I49" s="4"/>
      </tp>
      <tp t="s">
        <v>#N/A N/A</v>
        <stp/>
        <stp>BDH|3319907685453828303</stp>
        <tr r="J36" s="5"/>
      </tp>
      <tp t="s">
        <v>#N/A N/A</v>
        <stp/>
        <stp>BDH|6822641727310039051</stp>
        <tr r="D14" s="4"/>
      </tp>
      <tp t="s">
        <v>#N/A N/A</v>
        <stp/>
        <stp>BDH|5057095903280676721</stp>
        <tr r="J13" s="3"/>
      </tp>
      <tp t="s">
        <v>#N/A N/A</v>
        <stp/>
        <stp>BDH|3481304839714284517</stp>
        <tr r="I45" s="5"/>
      </tp>
      <tp t="s">
        <v>#N/A N/A</v>
        <stp/>
        <stp>BDH|2737296505744010655</stp>
        <tr r="J46" s="5"/>
      </tp>
      <tp t="s">
        <v>#N/A N/A</v>
        <stp/>
        <stp>BDH|3676172922070401293</stp>
        <tr r="G15" s="3"/>
      </tp>
      <tp t="s">
        <v>#N/A N/A</v>
        <stp/>
        <stp>BDH|3413743353933843056</stp>
        <tr r="D85" s="4"/>
      </tp>
      <tp t="s">
        <v>#N/A N/A</v>
        <stp/>
        <stp>BDH|4189092963389023956</stp>
        <tr r="C13" s="2"/>
      </tp>
      <tp t="s">
        <v>#N/A N/A</v>
        <stp/>
        <stp>BDH|7041184156572411356</stp>
        <tr r="L25" s="5"/>
      </tp>
      <tp t="s">
        <v>#N/A N/A</v>
        <stp/>
        <stp>BDH|2331747831576018294</stp>
        <tr r="D40" s="5"/>
      </tp>
      <tp t="s">
        <v>#N/A N/A</v>
        <stp/>
        <stp>BDH|7774383513387014032</stp>
        <tr r="I12" s="5"/>
      </tp>
      <tp t="s">
        <v>#N/A N/A</v>
        <stp/>
        <stp>BDH|7641743327161239188</stp>
        <tr r="I47" s="5"/>
      </tp>
      <tp t="s">
        <v>#N/A N/A</v>
        <stp/>
        <stp>BDH|2970473325377346150</stp>
        <tr r="G44" s="4"/>
      </tp>
      <tp t="s">
        <v>#N/A N/A</v>
        <stp/>
        <stp>BDH|7553397174159060857</stp>
        <tr r="I60" s="5"/>
      </tp>
      <tp t="s">
        <v>#N/A N/A</v>
        <stp/>
        <stp>BDH|9030494131304706826</stp>
        <tr r="I51" s="3"/>
      </tp>
      <tp t="s">
        <v>#N/A N/A</v>
        <stp/>
        <stp>BDH|6441310570829129999</stp>
        <tr r="F9" s="4"/>
      </tp>
      <tp t="s">
        <v>#N/A N/A</v>
        <stp/>
        <stp>BDH|5913630574624228213</stp>
        <tr r="G74" s="4"/>
      </tp>
      <tp t="s">
        <v>#N/A N/A</v>
        <stp/>
        <stp>BDH|9973575687316008049</stp>
        <tr r="L70" s="4"/>
      </tp>
      <tp t="s">
        <v>#N/A N/A</v>
        <stp/>
        <stp>BDH|2935617094988008716</stp>
        <tr r="K32" s="5"/>
      </tp>
      <tp t="s">
        <v>#N/A N/A</v>
        <stp/>
        <stp>BDH|6141864382204075070</stp>
        <tr r="K28" s="5"/>
      </tp>
      <tp t="s">
        <v>#N/A N/A</v>
        <stp/>
        <stp>BDH|4748659921271924381</stp>
        <tr r="J25" s="4"/>
      </tp>
      <tp t="s">
        <v>#N/A N/A</v>
        <stp/>
        <stp>BDH|4945067671875450480</stp>
        <tr r="D12" s="5"/>
      </tp>
      <tp t="s">
        <v>#N/A N/A</v>
        <stp/>
        <stp>BDH|9420069131321284921</stp>
        <tr r="D44" s="4"/>
      </tp>
      <tp t="s">
        <v>#N/A N/A</v>
        <stp/>
        <stp>BDH|3920116239365124635</stp>
        <tr r="H87" s="4"/>
      </tp>
      <tp t="s">
        <v>#N/A N/A</v>
        <stp/>
        <stp>BDH|5728605750201255562</stp>
        <tr r="G61" s="4"/>
      </tp>
      <tp t="s">
        <v>#N/A N/A</v>
        <stp/>
        <stp>BDH|7872051427030053798</stp>
        <tr r="I10" s="5"/>
      </tp>
      <tp t="s">
        <v>#N/A N/A</v>
        <stp/>
        <stp>BDH|7132406213176132608</stp>
        <tr r="H32" s="5"/>
      </tp>
      <tp t="s">
        <v>#N/A N/A</v>
        <stp/>
        <stp>BDH|7649461155625193149</stp>
        <tr r="D65" s="5"/>
      </tp>
      <tp t="s">
        <v>#N/A N/A</v>
        <stp/>
        <stp>BDH|1254927541387450953</stp>
        <tr r="C40" s="5"/>
      </tp>
      <tp t="s">
        <v>#N/A N/A</v>
        <stp/>
        <stp>BDH|9192212822613690843</stp>
        <tr r="E65" s="5"/>
      </tp>
      <tp t="s">
        <v>#N/A N/A</v>
        <stp/>
        <stp>BDH|8515968162762399735</stp>
        <tr r="J47" s="5"/>
      </tp>
      <tp t="s">
        <v>#N/A N/A</v>
        <stp/>
        <stp>BDH|7187509753904475178</stp>
        <tr r="K88" s="4"/>
      </tp>
      <tp t="s">
        <v>#N/A N/A</v>
        <stp/>
        <stp>BDH|7693133090464418978</stp>
        <tr r="F49" s="5"/>
      </tp>
      <tp t="s">
        <v>#N/A N/A</v>
        <stp/>
        <stp>BDH|5096734614415011410</stp>
        <tr r="G68" s="5"/>
      </tp>
      <tp t="s">
        <v>#N/A N/A</v>
        <stp/>
        <stp>BDH|2143032010048193950</stp>
        <tr r="F41" s="5"/>
      </tp>
      <tp t="s">
        <v>#N/A N/A</v>
        <stp/>
        <stp>BDH|1637087852253245592</stp>
        <tr r="D11" s="4"/>
      </tp>
      <tp t="s">
        <v>#N/A N/A</v>
        <stp/>
        <stp>BDH|2250032908447770797</stp>
        <tr r="E37" s="4"/>
      </tp>
      <tp t="s">
        <v>#N/A N/A</v>
        <stp/>
        <stp>BDH|3737018163091618648</stp>
        <tr r="F17" s="4"/>
      </tp>
      <tp t="s">
        <v>#N/A N/A</v>
        <stp/>
        <stp>BDH|8318937004376030533</stp>
        <tr r="K43" s="5"/>
      </tp>
      <tp t="s">
        <v>#N/A N/A</v>
        <stp/>
        <stp>BDH|4293678546700478409</stp>
        <tr r="H28" s="5"/>
      </tp>
      <tp t="s">
        <v>#N/A N/A</v>
        <stp/>
        <stp>BDH|5567558587249948393</stp>
        <tr r="F40" s="3"/>
      </tp>
      <tp t="s">
        <v>#N/A N/A</v>
        <stp/>
        <stp>BDH|7735572618526831746</stp>
        <tr r="J62" s="5"/>
      </tp>
      <tp t="s">
        <v>#N/A N/A</v>
        <stp/>
        <stp>BDH|5545703321650224224</stp>
        <tr r="E30" s="4"/>
      </tp>
      <tp t="s">
        <v>#N/A N/A</v>
        <stp/>
        <stp>BDH|7546578716927319633</stp>
        <tr r="J64" s="4"/>
      </tp>
      <tp t="s">
        <v>#N/A N/A</v>
        <stp/>
        <stp>BDH|7220633854242054418</stp>
        <tr r="C36" s="5"/>
      </tp>
      <tp t="s">
        <v>#N/A N/A</v>
        <stp/>
        <stp>BDH|5537314526920639603</stp>
        <tr r="F50" s="5"/>
      </tp>
      <tp t="s">
        <v>#N/A N/A</v>
        <stp/>
        <stp>BDH|5139230623021615626</stp>
        <tr r="J52" s="4"/>
      </tp>
      <tp t="s">
        <v>#N/A N/A</v>
        <stp/>
        <stp>BDH|9123662461882582967</stp>
        <tr r="C36" s="3"/>
      </tp>
      <tp t="s">
        <v>#N/A N/A</v>
        <stp/>
        <stp>BDH|3503298791032130890</stp>
        <tr r="J50" s="3"/>
      </tp>
      <tp t="s">
        <v>#N/A N/A</v>
        <stp/>
        <stp>BDH|2404369442883383466</stp>
        <tr r="G21" s="4"/>
      </tp>
      <tp t="s">
        <v>#N/A N/A</v>
        <stp/>
        <stp>BDH|6682671378952276617</stp>
        <tr r="E41" s="4"/>
      </tp>
      <tp t="s">
        <v>#N/A N/A</v>
        <stp/>
        <stp>BDH|8513286697261167116</stp>
        <tr r="I40" s="4"/>
      </tp>
      <tp t="s">
        <v>#N/A N/A</v>
        <stp/>
        <stp>BDH|9267684919528882518</stp>
        <tr r="H73" s="4"/>
      </tp>
      <tp t="s">
        <v>#N/A N/A</v>
        <stp/>
        <stp>BDH|3107665059335488608</stp>
        <tr r="D21" s="4"/>
      </tp>
      <tp t="s">
        <v>#N/A N/A</v>
        <stp/>
        <stp>BDH|9312403240882113883</stp>
        <tr r="D41" s="4"/>
      </tp>
      <tp t="s">
        <v>#N/A N/A</v>
        <stp/>
        <stp>BDH|6447535620004805640</stp>
        <tr r="E37" s="5"/>
      </tp>
      <tp t="s">
        <v>#N/A N/A</v>
        <stp/>
        <stp>BDH|2040240708617254455</stp>
        <tr r="J57" s="4"/>
      </tp>
      <tp t="s">
        <v>#N/A N/A</v>
        <stp/>
        <stp>BDH|9306479889107157177</stp>
        <tr r="I19" s="3"/>
      </tp>
      <tp t="s">
        <v>#N/A N/A</v>
        <stp/>
        <stp>BDH|5469872992337284080</stp>
        <tr r="E7" s="3"/>
      </tp>
      <tp t="s">
        <v>#N/A N/A</v>
        <stp/>
        <stp>BDH|7445847439087230831</stp>
        <tr r="E62" s="4"/>
      </tp>
      <tp t="s">
        <v>#N/A N/A</v>
        <stp/>
        <stp>BDH|7300064749670270065</stp>
        <tr r="C7" s="3"/>
      </tp>
      <tp t="s">
        <v>#N/A N/A</v>
        <stp/>
        <stp>BDH|2288897592937008719</stp>
        <tr r="H27" s="5"/>
      </tp>
      <tp t="s">
        <v>#N/A N/A</v>
        <stp/>
        <stp>BDH|8711943276362552796</stp>
        <tr r="G57" s="3"/>
        <tr r="G20" s="2"/>
      </tp>
      <tp t="s">
        <v>#N/A N/A</v>
        <stp/>
        <stp>BDH|2834262911104561632</stp>
        <tr r="G19" s="3"/>
      </tp>
      <tp t="s">
        <v>#N/A N/A</v>
        <stp/>
        <stp>BDH|9861632240398488064</stp>
        <tr r="D86" s="4"/>
      </tp>
      <tp t="s">
        <v>#N/A N/A</v>
        <stp/>
        <stp>BDH|5468796059557984340</stp>
        <tr r="G60" s="4"/>
      </tp>
      <tp t="s">
        <v>#N/A N/A</v>
        <stp/>
        <stp>BDH|1657410005046396080</stp>
        <tr r="I55" s="3"/>
      </tp>
      <tp t="s">
        <v>#N/A N/A</v>
        <stp/>
        <stp>BDH|9127102285617883451</stp>
        <tr r="L82" s="4"/>
      </tp>
      <tp t="s">
        <v>#N/A N/A</v>
        <stp/>
        <stp>BDH|6295062190875590984</stp>
        <tr r="H7" s="2"/>
      </tp>
      <tp t="s">
        <v>#N/A N/A</v>
        <stp/>
        <stp>BDH|3877781323853534689</stp>
        <tr r="I46" s="5"/>
      </tp>
      <tp t="s">
        <v>#N/A N/A</v>
        <stp/>
        <stp>BDH|4898924562008398050</stp>
        <tr r="F9" s="5"/>
      </tp>
      <tp t="s">
        <v>#N/A N/A</v>
        <stp/>
        <stp>BDH|4262196877440182132</stp>
        <tr r="J30" s="4"/>
      </tp>
      <tp t="s">
        <v>#N/A N/A</v>
        <stp/>
        <stp>BDH|5270121595899954739</stp>
        <tr r="K47" s="4"/>
      </tp>
      <tp t="s">
        <v>#N/A N/A</v>
        <stp/>
        <stp>BDH|8686339643039034597</stp>
        <tr r="G46" s="4"/>
      </tp>
      <tp t="s">
        <v>#N/A N/A</v>
        <stp/>
        <stp>BDH|9929111387311250221</stp>
        <tr r="L61" s="5"/>
      </tp>
      <tp t="s">
        <v>#N/A N/A</v>
        <stp/>
        <stp>BDH|5122409823734402497</stp>
        <tr r="I21" s="3"/>
      </tp>
      <tp t="s">
        <v>#N/A N/A</v>
        <stp/>
        <stp>BDH|4459506361462990631</stp>
        <tr r="L50" s="5"/>
      </tp>
      <tp t="s">
        <v>#N/A N/A</v>
        <stp/>
        <stp>BDH|3998404157613251231</stp>
        <tr r="L69" s="4"/>
      </tp>
      <tp t="s">
        <v>#N/A N/A</v>
        <stp/>
        <stp>BDH|7630849326087944915</stp>
        <tr r="J12" s="4"/>
      </tp>
      <tp t="s">
        <v>#N/A N/A</v>
        <stp/>
        <stp>BDH|9719995463240811599</stp>
        <tr r="D24" s="5"/>
      </tp>
      <tp t="s">
        <v>#N/A N/A</v>
        <stp/>
        <stp>BDH|1857431887006586852</stp>
        <tr r="K13" s="4"/>
      </tp>
      <tp t="s">
        <v>#N/A N/A</v>
        <stp/>
        <stp>BDH|6087340228565159116</stp>
        <tr r="D67" s="4"/>
      </tp>
      <tp t="s">
        <v>#N/A N/A</v>
        <stp/>
        <stp>BDH|2129324714702855124</stp>
        <tr r="G17" s="5"/>
      </tp>
      <tp t="s">
        <v>#N/A N/A</v>
        <stp/>
        <stp>BDH|5988400716651782253</stp>
        <tr r="H62" s="3"/>
      </tp>
      <tp t="s">
        <v>#N/A N/A</v>
        <stp/>
        <stp>BDH|6905736336755797461</stp>
        <tr r="G18" s="4"/>
      </tp>
      <tp t="s">
        <v>#N/A N/A</v>
        <stp/>
        <stp>BDH|7318230313214134305</stp>
        <tr r="I49" s="5"/>
      </tp>
      <tp t="s">
        <v>#N/A N/A</v>
        <stp/>
        <stp>BDH|5320764823685722635</stp>
        <tr r="F18" s="3"/>
      </tp>
      <tp t="s">
        <v>#N/A N/A</v>
        <stp/>
        <stp>BDH|4296881808557740873</stp>
        <tr r="K27" s="4"/>
      </tp>
      <tp t="s">
        <v>#N/A N/A</v>
        <stp/>
        <stp>BDH|5931177596188824636</stp>
        <tr r="J62" s="3"/>
      </tp>
      <tp t="s">
        <v>#N/A N/A</v>
        <stp/>
        <stp>BDH|9023932260986315335</stp>
        <tr r="F22" s="3"/>
      </tp>
      <tp t="s">
        <v>#N/A N/A</v>
        <stp/>
        <stp>BDH|7369172856455295535</stp>
        <tr r="F65" s="3"/>
      </tp>
      <tp t="s">
        <v>#N/A N/A</v>
        <stp/>
        <stp>BDH|5204096218164616355</stp>
        <tr r="J13" s="5"/>
      </tp>
      <tp t="s">
        <v>#N/A N/A</v>
        <stp/>
        <stp>BDH|3061343382593447827</stp>
        <tr r="G57" s="5"/>
      </tp>
      <tp t="s">
        <v>#N/A N/A</v>
        <stp/>
        <stp>BDH|9451919576082384603</stp>
        <tr r="F68" s="3"/>
      </tp>
      <tp t="s">
        <v>#N/A N/A</v>
        <stp/>
        <stp>BDH|6295076347055308419</stp>
        <tr r="F14" s="4"/>
      </tp>
      <tp t="s">
        <v>#N/A N/A</v>
        <stp/>
        <stp>BDH|5799716432134554610</stp>
        <tr r="H28" s="4"/>
      </tp>
      <tp t="s">
        <v>#N/A N/A</v>
        <stp/>
        <stp>BDH|4759520136835549464</stp>
        <tr r="G37" s="3"/>
      </tp>
      <tp t="s">
        <v>#N/A N/A</v>
        <stp/>
        <stp>BDH|7145473112806031740</stp>
        <tr r="F55" s="3"/>
      </tp>
      <tp t="s">
        <v>#N/A N/A</v>
        <stp/>
        <stp>BDH|9651329803140558927</stp>
        <tr r="K7" s="4"/>
      </tp>
      <tp t="s">
        <v>#N/A N/A</v>
        <stp/>
        <stp>BDH|6213007238680309685</stp>
        <tr r="E39" s="4"/>
      </tp>
      <tp t="s">
        <v>#N/A N/A</v>
        <stp/>
        <stp>BDH|8688005492885525702</stp>
        <tr r="L40" s="5"/>
      </tp>
      <tp t="s">
        <v>#N/A N/A</v>
        <stp/>
        <stp>BDH|1372753847903425246</stp>
        <tr r="H60" s="5"/>
      </tp>
      <tp t="s">
        <v>#N/A N/A</v>
        <stp/>
        <stp>BDH|2125457254233770368</stp>
        <tr r="H23" s="3"/>
      </tp>
      <tp t="s">
        <v>#N/A N/A</v>
        <stp/>
        <stp>BDH|1333730347422332324</stp>
        <tr r="E52" s="4"/>
      </tp>
      <tp t="s">
        <v>#N/A N/A</v>
        <stp/>
        <stp>BDH|5982122078569642930</stp>
        <tr r="I48" s="4"/>
      </tp>
      <tp t="s">
        <v>#N/A N/A</v>
        <stp/>
        <stp>BDH|2850690995319697744</stp>
        <tr r="I56" s="4"/>
      </tp>
      <tp t="s">
        <v>#N/A N/A</v>
        <stp/>
        <stp>BDH|9217051251219217629</stp>
        <tr r="I72" s="3"/>
      </tp>
      <tp t="s">
        <v>#N/A N/A</v>
        <stp/>
        <stp>BDH|2938425955136134699</stp>
        <tr r="I64" s="5"/>
      </tp>
      <tp t="s">
        <v>#N/A N/A</v>
        <stp/>
        <stp>BDH|1104920594501925388</stp>
        <tr r="J74" s="4"/>
      </tp>
      <tp t="s">
        <v>#N/A N/A</v>
        <stp/>
        <stp>BDH|2677170746307856380</stp>
        <tr r="G25" s="4"/>
      </tp>
      <tp t="s">
        <v>#N/A N/A</v>
        <stp/>
        <stp>BDH|3360561874502159075</stp>
        <tr r="L73" s="4"/>
      </tp>
      <tp t="s">
        <v>#N/A N/A</v>
        <stp/>
        <stp>BDH|4850317457121130087</stp>
        <tr r="G14" s="4"/>
      </tp>
      <tp t="s">
        <v>#N/A N/A</v>
        <stp/>
        <stp>BDH|3915593944583292210</stp>
        <tr r="I83" s="4"/>
      </tp>
      <tp t="s">
        <v>#N/A N/A</v>
        <stp/>
        <stp>BDH|7830011842009442988</stp>
        <tr r="D91" s="4"/>
      </tp>
      <tp t="s">
        <v>#N/A N/A</v>
        <stp/>
        <stp>BDH|3809775710463238592</stp>
        <tr r="H54" s="5"/>
      </tp>
      <tp t="s">
        <v>#N/A N/A</v>
        <stp/>
        <stp>BDH|7479104694045325974</stp>
        <tr r="C23" s="4"/>
      </tp>
      <tp t="s">
        <v>#N/A N/A</v>
        <stp/>
        <stp>BDH|7542003260257031512</stp>
        <tr r="I42" s="4"/>
      </tp>
      <tp t="s">
        <v>#N/A N/A</v>
        <stp/>
        <stp>BDH|5162105767747626640</stp>
        <tr r="F47" s="5"/>
      </tp>
      <tp t="s">
        <v>#N/A N/A</v>
        <stp/>
        <stp>BDH|8843980475812932786</stp>
        <tr r="L39" s="4"/>
      </tp>
      <tp t="s">
        <v>#N/A N/A</v>
        <stp/>
        <stp>BDH|5520569966383831690</stp>
        <tr r="G32" s="3"/>
      </tp>
      <tp t="s">
        <v>#N/A N/A</v>
        <stp/>
        <stp>BDH|3094236175272231705</stp>
        <tr r="I19" s="4"/>
      </tp>
      <tp t="s">
        <v>#N/A N/A</v>
        <stp/>
        <stp>BDH|7125179960764205701</stp>
        <tr r="I65" s="3"/>
      </tp>
      <tp t="s">
        <v>#N/A N/A</v>
        <stp/>
        <stp>BDH|7401225651711578274</stp>
        <tr r="D55" s="4"/>
      </tp>
      <tp t="s">
        <v>#N/A N/A</v>
        <stp/>
        <stp>BDH|6517451283851691801</stp>
        <tr r="F28" s="4"/>
      </tp>
      <tp t="s">
        <v>#N/A N/A</v>
        <stp/>
        <stp>BDH|6505821434328741614</stp>
        <tr r="F45" s="3"/>
        <tr r="F18" s="2"/>
      </tp>
      <tp t="s">
        <v>#N/A N/A</v>
        <stp/>
        <stp>BDH|5746186526363968658</stp>
        <tr r="D10" s="5"/>
      </tp>
      <tp t="s">
        <v>#N/A N/A</v>
        <stp/>
        <stp>BDH|74306919494631879</stp>
        <tr r="H65" s="3"/>
      </tp>
      <tp t="s">
        <v>#N/A N/A</v>
        <stp/>
        <stp>BDH|863260213066744071</stp>
        <tr r="K46" s="4"/>
      </tp>
      <tp t="s">
        <v>#N/A N/A</v>
        <stp/>
        <stp>BDH|248921546000847804</stp>
        <tr r="D58" s="4"/>
      </tp>
      <tp t="s">
        <v>#N/A N/A</v>
        <stp/>
        <stp>BDH|373478309186226748</stp>
        <tr r="I67" s="5"/>
      </tp>
      <tp t="s">
        <v>#N/A N/A</v>
        <stp/>
        <stp>BDH|114373665797631701</stp>
        <tr r="C41" s="4"/>
      </tp>
      <tp t="s">
        <v>#N/A N/A</v>
        <stp/>
        <stp>BDH|346064933492165478</stp>
        <tr r="D15" s="3"/>
      </tp>
      <tp t="s">
        <v>#N/A N/A</v>
        <stp/>
        <stp>BDH|719194429762480413</stp>
        <tr r="G28" s="4"/>
      </tp>
      <tp t="s">
        <v>#N/A N/A</v>
        <stp/>
        <stp>BDH|318247722891989506</stp>
        <tr r="C63" s="5"/>
      </tp>
      <tp t="s">
        <v>#N/A N/A</v>
        <stp/>
        <stp>BDH|733037219723576603</stp>
        <tr r="E91" s="4"/>
      </tp>
      <tp t="s">
        <v>#N/A N/A</v>
        <stp/>
        <stp>BDH|543794127908936983</stp>
        <tr r="J88" s="4"/>
      </tp>
      <tp t="s">
        <v>#N/A N/A</v>
        <stp/>
        <stp>BDH|732675171606298394</stp>
        <tr r="C16" s="3"/>
      </tp>
      <tp t="s">
        <v>#N/A N/A</v>
        <stp/>
        <stp>BDH|502748431412298245</stp>
        <tr r="D28" s="5"/>
      </tp>
      <tp t="s">
        <v>#N/A N/A</v>
        <stp/>
        <stp>BDH|808665907347010592</stp>
        <tr r="G63" s="5"/>
        <tr r="E25" s="2"/>
      </tp>
      <tp t="s">
        <v>#N/A N/A</v>
        <stp/>
        <stp>BDH|195378653483277158</stp>
        <tr r="J69" s="4"/>
      </tp>
      <tp t="s">
        <v>#N/A N/A</v>
        <stp/>
        <stp>BDH|208122501624358100</stp>
        <tr r="D72" s="3"/>
      </tp>
      <tp t="s">
        <v>#N/A N/A</v>
        <stp/>
        <stp>BDH|921187225633971716</stp>
        <tr r="L48" s="4"/>
      </tp>
      <tp t="s">
        <v>#N/A N/A</v>
        <stp/>
        <stp>BDH|439241932972701412</stp>
        <tr r="F36" s="5"/>
      </tp>
      <tp t="s">
        <v>#N/A N/A</v>
        <stp/>
        <stp>BDH|306158373725095582</stp>
        <tr r="D66" s="5"/>
      </tp>
      <tp t="s">
        <v>#N/A N/A</v>
        <stp/>
        <stp>BDH|979638360362367423</stp>
        <tr r="E34" s="3"/>
      </tp>
      <tp t="s">
        <v>#N/A N/A</v>
        <stp/>
        <stp>BDH|479536257494475238</stp>
        <tr r="J45" s="5"/>
      </tp>
      <tp t="s">
        <v>#N/A N/A</v>
        <stp/>
        <stp>BDH|561313530426291079</stp>
        <tr r="K24" s="4"/>
      </tp>
      <tp t="s">
        <v>#N/A N/A</v>
        <stp/>
        <stp>BDH|382485243605770436</stp>
        <tr r="G89" s="4"/>
      </tp>
      <tp t="s">
        <v>#N/A N/A</v>
        <stp/>
        <stp>BDH|693914131788964317</stp>
        <tr r="C32" s="3"/>
      </tp>
      <tp t="s">
        <v>#N/A N/A</v>
        <stp/>
        <stp>BDH|265970372067441897</stp>
        <tr r="C77" s="4"/>
      </tp>
      <tp t="s">
        <v>#N/A N/A</v>
        <stp/>
        <stp>BDH|158306105800558253</stp>
        <tr r="F89" s="4"/>
      </tp>
      <tp t="s">
        <v>#N/A N/A</v>
        <stp/>
        <stp>BDH|117938568416567882</stp>
        <tr r="C39" s="3"/>
      </tp>
      <tp t="s">
        <v>#N/A N/A</v>
        <stp/>
        <stp>BDH|919108008193276339</stp>
        <tr r="J46" s="4"/>
      </tp>
      <tp t="s">
        <v>#N/A N/A</v>
        <stp/>
        <stp>BDH|906932164417801971</stp>
        <tr r="F64" s="5"/>
      </tp>
      <tp t="s">
        <v>#N/A N/A</v>
        <stp/>
        <stp>BDH|548454532235876264</stp>
        <tr r="H51" s="3"/>
      </tp>
      <tp t="s">
        <v>#N/A N/A</v>
        <stp/>
        <stp>BDH|611787801204368322</stp>
        <tr r="C59" s="4"/>
      </tp>
      <tp t="s">
        <v>#N/A N/A</v>
        <stp/>
        <stp>BDH|172952587548930950</stp>
        <tr r="K62" s="5"/>
      </tp>
      <tp t="s">
        <v>#N/A N/A</v>
        <stp/>
        <stp>BDH|499096071655191299</stp>
        <tr r="F67" s="3"/>
      </tp>
      <tp t="s">
        <v>#N/A N/A</v>
        <stp/>
        <stp>BDH|719309776303455728</stp>
        <tr r="G10" s="5"/>
      </tp>
      <tp t="s">
        <v>#N/A N/A</v>
        <stp/>
        <stp>BDH|605603954953799070</stp>
        <tr r="I59" s="4"/>
      </tp>
      <tp t="s">
        <v>#N/A N/A</v>
        <stp/>
        <stp>BDH|467055306860599007</stp>
        <tr r="E54" s="4"/>
      </tp>
      <tp t="s">
        <v>#N/A N/A</v>
        <stp/>
        <stp>BDH|308793999487482945</stp>
        <tr r="J25" s="3"/>
      </tp>
      <tp t="s">
        <v>#N/A N/A</v>
        <stp/>
        <stp>BDH|286107978014136171</stp>
        <tr r="E16" s="4"/>
      </tp>
      <tp t="s">
        <v>#N/A N/A</v>
        <stp/>
        <stp>BDH|609784778950708393</stp>
        <tr r="G54" s="3"/>
      </tp>
      <tp t="s">
        <v>#N/A N/A</v>
        <stp/>
        <stp>BDH|166936205482445886</stp>
        <tr r="H44" s="5"/>
      </tp>
      <tp t="s">
        <v>#N/A N/A</v>
        <stp/>
        <stp>BDH|770262693298332056</stp>
        <tr r="L22" s="4"/>
      </tp>
      <tp t="s">
        <v>#N/A N/A</v>
        <stp/>
        <stp>BDH|164148067556068221</stp>
        <tr r="D59" s="4"/>
      </tp>
      <tp t="s">
        <v>#N/A N/A</v>
        <stp/>
        <stp>BDH|294793374553748157</stp>
        <tr r="J8" s="4"/>
      </tp>
      <tp t="s">
        <v>#N/A N/A</v>
        <stp/>
        <stp>BDH|799420558534052704</stp>
        <tr r="J45" s="3"/>
        <tr r="J18" s="2"/>
      </tp>
      <tp t="s">
        <v>#N/A N/A</v>
        <stp/>
        <stp>BDH|623571294519640774</stp>
        <tr r="I66" s="3"/>
      </tp>
      <tp t="s">
        <v>#N/A N/A</v>
        <stp/>
        <stp>BDH|141555083886416968</stp>
        <tr r="I62" s="4"/>
      </tp>
      <tp t="s">
        <v>#N/A N/A</v>
        <stp/>
        <stp>BDH|862586230664229050</stp>
        <tr r="C67" s="4"/>
      </tp>
      <tp t="s">
        <v>#N/A N/A</v>
        <stp/>
        <stp>BDH|918484533266245311</stp>
        <tr r="I24" s="5"/>
      </tp>
      <tp t="s">
        <v>#N/A N/A</v>
        <stp/>
        <stp>BDH|158000086629664305</stp>
        <tr r="D16" s="5"/>
      </tp>
      <tp t="s">
        <v>#N/A N/A</v>
        <stp/>
        <stp>BDH|202684287773761032</stp>
        <tr r="C72" s="4"/>
      </tp>
      <tp t="s">
        <v>#N/A N/A</v>
        <stp/>
        <stp>BDH|265784805732700940</stp>
        <tr r="I36" s="3"/>
      </tp>
      <tp t="s">
        <v>#N/A N/A</v>
        <stp/>
        <stp>BDH|225967389129823486</stp>
        <tr r="K48" s="4"/>
      </tp>
      <tp t="s">
        <v>#N/A N/A</v>
        <stp/>
        <stp>BDH|905899748679724974</stp>
        <tr r="K45" s="5"/>
      </tp>
      <tp t="s">
        <v>#N/A N/A</v>
        <stp/>
        <stp>BDH|632783275458123768</stp>
        <tr r="G50" s="5"/>
      </tp>
      <tp t="s">
        <v>#N/A N/A</v>
        <stp/>
        <stp>BDH|838440664308913571</stp>
        <tr r="G16" s="3"/>
      </tp>
      <tp t="s">
        <v>#N/A N/A</v>
        <stp/>
        <stp>BDH|157148961590092874</stp>
        <tr r="F8" s="5"/>
      </tp>
      <tp t="s">
        <v>#N/A N/A</v>
        <stp/>
        <stp>BDH|951760461867060861</stp>
        <tr r="I43" s="3"/>
      </tp>
      <tp t="s">
        <v>#N/A N/A</v>
        <stp/>
        <stp>BDH|289910171150967029</stp>
        <tr r="G24" s="5"/>
      </tp>
      <tp t="s">
        <v>#N/A N/A</v>
        <stp/>
        <stp>BDH|587993918015876368</stp>
        <tr r="C64" s="5"/>
      </tp>
      <tp t="s">
        <v>#N/A N/A</v>
        <stp/>
        <stp>BDH|996839441282710074</stp>
        <tr r="D42" s="4"/>
      </tp>
      <tp t="s">
        <v>#N/A N/A</v>
        <stp/>
        <stp>BDH|281901241885538622</stp>
        <tr r="H84" s="4"/>
      </tp>
      <tp t="s">
        <v>#N/A N/A</v>
        <stp/>
        <stp>BDH|335847437924773111</stp>
        <tr r="J21" s="4"/>
      </tp>
      <tp t="s">
        <v>#N/A N/A</v>
        <stp/>
        <stp>BDH|721872137713049613</stp>
        <tr r="I28" s="5"/>
      </tp>
      <tp t="s">
        <v>#N/A N/A</v>
        <stp/>
        <stp>BDH|269301525899125185</stp>
        <tr r="K18" s="4"/>
      </tp>
      <tp t="s">
        <v>#N/A N/A</v>
        <stp/>
        <stp>BDH|322879721616470591</stp>
        <tr r="D49" s="5"/>
      </tp>
      <tp t="s">
        <v>#N/A N/A</v>
        <stp/>
        <stp>BDH|112216372598262485</stp>
        <tr r="K33" s="4"/>
      </tp>
      <tp t="s">
        <v>#N/A N/A</v>
        <stp/>
        <stp>BDH|371275682102445168</stp>
        <tr r="H18" s="4"/>
      </tp>
      <tp t="s">
        <v>#N/A N/A</v>
        <stp/>
        <stp>BDH|199779210148008703</stp>
        <tr r="J68" s="5"/>
      </tp>
      <tp t="s">
        <v>#N/A N/A</v>
        <stp/>
        <stp>BDH|763319904773960986</stp>
        <tr r="D10" s="4"/>
      </tp>
      <tp t="s">
        <v>#N/A N/A</v>
        <stp/>
        <stp>BDH|367186326243400840</stp>
        <tr r="F57" s="3"/>
        <tr r="F20" s="2"/>
      </tp>
      <tp t="s">
        <v>#N/A N/A</v>
        <stp/>
        <stp>BDH|323744141708857330</stp>
        <tr r="G14" s="5"/>
      </tp>
      <tp t="s">
        <v>#N/A N/A</v>
        <stp/>
        <stp>BDH|714900177162428783</stp>
        <tr r="I90" s="4"/>
      </tp>
      <tp t="s">
        <v>#N/A N/A</v>
        <stp/>
        <stp>BDH|659406908479063661</stp>
        <tr r="J57" s="3"/>
        <tr r="J20" s="2"/>
      </tp>
      <tp t="s">
        <v>#N/A N/A</v>
        <stp/>
        <stp>BDH|210018561278600546</stp>
        <tr r="C67" s="5"/>
      </tp>
      <tp t="s">
        <v>#N/A N/A</v>
        <stp/>
        <stp>BDH|510611517919459483</stp>
        <tr r="E15" s="3"/>
      </tp>
      <tp t="s">
        <v>#N/A N/A</v>
        <stp/>
        <stp>BDH|622589371888705015</stp>
        <tr r="K12" s="4"/>
      </tp>
      <tp t="s">
        <v>#N/A N/A</v>
        <stp/>
        <stp>BDH|311403835139177430</stp>
        <tr r="H21" s="3"/>
      </tp>
      <tp t="s">
        <v>#N/A N/A</v>
        <stp/>
        <stp>BDH|719672577469541266</stp>
        <tr r="K90" s="4"/>
      </tp>
      <tp t="s">
        <v>#N/A N/A</v>
        <stp/>
        <stp>BDH|554245917489342004</stp>
        <tr r="C7" s="4"/>
      </tp>
      <tp t="s">
        <v>#N/A N/A</v>
        <stp/>
        <stp>BDH|786295498899423840</stp>
        <tr r="E28" s="4"/>
      </tp>
      <tp t="s">
        <v>#N/A N/A</v>
        <stp/>
        <stp>BDH|487925076412383632</stp>
        <tr r="G39" s="3"/>
      </tp>
      <tp t="s">
        <v>#N/A N/A</v>
        <stp/>
        <stp>BDH|597391298239265973</stp>
        <tr r="E43" s="3"/>
      </tp>
      <tp t="s">
        <v>#N/A N/A</v>
        <stp/>
        <stp>BDH|103687498270486566</stp>
        <tr r="L21" s="4"/>
      </tp>
      <tp t="s">
        <v>#N/A N/A</v>
        <stp/>
        <stp>BDH|831052600813477</stp>
        <tr r="D40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/>
  </sheetViews>
  <sheetFormatPr defaultRowHeight="14.5" x14ac:dyDescent="0.35"/>
  <cols>
    <col min="1" max="1" width="23.6328125" customWidth="1"/>
    <col min="2" max="2" width="0" hidden="1" customWidth="1"/>
    <col min="3" max="12" width="11.81640625" customWidth="1"/>
  </cols>
  <sheetData>
    <row r="1" spans="1:12" x14ac:dyDescent="0.3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20" x14ac:dyDescent="0.35">
      <c r="A2" s="26" t="s">
        <v>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2" x14ac:dyDescent="0.3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x14ac:dyDescent="0.35">
      <c r="A4" s="21" t="s">
        <v>5</v>
      </c>
      <c r="B4" s="21"/>
      <c r="C4" s="22" t="s">
        <v>6</v>
      </c>
      <c r="D4" s="22" t="s">
        <v>7</v>
      </c>
      <c r="E4" s="22" t="s">
        <v>8</v>
      </c>
      <c r="F4" s="22" t="s">
        <v>9</v>
      </c>
      <c r="G4" s="22" t="s">
        <v>10</v>
      </c>
      <c r="H4" s="22" t="s">
        <v>11</v>
      </c>
      <c r="I4" s="22" t="s">
        <v>12</v>
      </c>
      <c r="J4" s="22" t="s">
        <v>13</v>
      </c>
      <c r="K4" s="22" t="s">
        <v>14</v>
      </c>
      <c r="L4" s="22" t="s">
        <v>15</v>
      </c>
    </row>
    <row r="5" spans="1:12" x14ac:dyDescent="0.35">
      <c r="A5" s="27" t="s">
        <v>16</v>
      </c>
      <c r="B5" s="27"/>
      <c r="C5" s="23" t="s">
        <v>17</v>
      </c>
      <c r="D5" s="23" t="s">
        <v>18</v>
      </c>
      <c r="E5" s="23" t="s">
        <v>19</v>
      </c>
      <c r="F5" s="23" t="s">
        <v>20</v>
      </c>
      <c r="G5" s="23" t="s">
        <v>21</v>
      </c>
      <c r="H5" s="23" t="s">
        <v>22</v>
      </c>
      <c r="I5" s="23" t="s">
        <v>23</v>
      </c>
      <c r="J5" s="23" t="s">
        <v>24</v>
      </c>
      <c r="K5" s="23" t="s">
        <v>25</v>
      </c>
      <c r="L5" s="23" t="s">
        <v>26</v>
      </c>
    </row>
    <row r="6" spans="1:12" x14ac:dyDescent="0.35">
      <c r="A6" s="24" t="s">
        <v>27</v>
      </c>
      <c r="B6" s="24" t="s">
        <v>28</v>
      </c>
      <c r="C6" s="32">
        <f>_xll.BDH("CHTR US Equity","HISTORICAL_MARKET_CAP","FQ3 2018","FQ3 2018","Currency=USD","Period=FQ","BEST_FPERIOD_OVERRIDE=FQ","FILING_STATUS=MR","SCALING_FORMAT=MLN","Sort=A","Dates=H","DateFormat=P","Fill=—","Direction=H","UseDPDF=Y")</f>
        <v>74599.697499999995</v>
      </c>
      <c r="D6" s="32">
        <f>_xll.BDH("CHTR US Equity","HISTORICAL_MARKET_CAP","FQ4 2018","FQ4 2018","Currency=USD","Period=FQ","BEST_FPERIOD_OVERRIDE=FQ","FILING_STATUS=MR","SCALING_FORMAT=MLN","Sort=A","Dates=H","DateFormat=P","Fill=—","Direction=H","UseDPDF=Y")</f>
        <v>64219.074699999997</v>
      </c>
      <c r="E6" s="32">
        <f>_xll.BDH("CHTR US Equity","HISTORICAL_MARKET_CAP","FQ1 2019","FQ1 2019","Currency=USD","Period=FQ","BEST_FPERIOD_OVERRIDE=FQ","FILING_STATUS=MR","SCALING_FORMAT=MLN","Sort=A","Dates=H","DateFormat=P","Fill=—","Direction=H","UseDPDF=Y")</f>
        <v>77502.495299999995</v>
      </c>
      <c r="F6" s="32">
        <f>_xll.BDH("CHTR US Equity","HISTORICAL_MARKET_CAP","FQ2 2019","FQ2 2019","Currency=USD","Period=FQ","BEST_FPERIOD_OVERRIDE=FQ","FILING_STATUS=MR","SCALING_FORMAT=MLN","Sort=A","Dates=H","DateFormat=P","Fill=—","Direction=H","UseDPDF=Y")</f>
        <v>87523.543699999995</v>
      </c>
      <c r="G6" s="32">
        <f>_xll.BDH("CHTR US Equity","HISTORICAL_MARKET_CAP","FQ3 2019","FQ3 2019","Currency=USD","Period=FQ","BEST_FPERIOD_OVERRIDE=FQ","FILING_STATUS=MR","SCALING_FORMAT=MLN","Sort=A","Dates=H","DateFormat=P","Fill=—","Direction=H","UseDPDF=Y")</f>
        <v>88515.183099999995</v>
      </c>
      <c r="H6" s="32">
        <f>_xll.BDH("CHTR US Equity","HISTORICAL_MARKET_CAP","FQ4 2019","FQ4 2019","Currency=USD","Period=FQ","BEST_FPERIOD_OVERRIDE=FQ","FILING_STATUS=MR","SCALING_FORMAT=MLN","Sort=A","Dates=H","DateFormat=P","Fill=—","Direction=H","UseDPDF=Y")</f>
        <v>101855.1406</v>
      </c>
      <c r="I6" s="32">
        <f>_xll.BDH("CHTR US Equity","HISTORICAL_MARKET_CAP","FQ1 2020","FQ1 2020","Currency=USD","Period=FQ","BEST_FPERIOD_OVERRIDE=FQ","FILING_STATUS=MR","SCALING_FORMAT=MLN","Sort=A","Dates=H","DateFormat=P","Fill=—","Direction=H","UseDPDF=Y")</f>
        <v>90079.489700000006</v>
      </c>
      <c r="J6" s="32">
        <f>_xll.BDH("CHTR US Equity","HISTORICAL_MARKET_CAP","FQ2 2020","FQ2 2020","Currency=USD","Period=FQ","BEST_FPERIOD_OVERRIDE=FQ","FILING_STATUS=MR","SCALING_FORMAT=MLN","Sort=A","Dates=H","DateFormat=P","Fill=—","Direction=H","UseDPDF=Y")</f>
        <v>104506.77619999999</v>
      </c>
      <c r="K6" s="32"/>
      <c r="L6" s="32"/>
    </row>
    <row r="7" spans="1:12" x14ac:dyDescent="0.35">
      <c r="A7" s="28" t="s">
        <v>29</v>
      </c>
      <c r="B7" s="28" t="s">
        <v>30</v>
      </c>
      <c r="C7" s="30">
        <f>_xll.BDH("CHTR US Equity","CASH_AND_MARKETABLE_SECURITIES","FQ3 2018","FQ3 2018","Currency=USD","Period=FQ","BEST_FPERIOD_OVERRIDE=FQ","FILING_STATUS=MR","SCALING_FORMAT=MLN","Sort=A","Dates=H","DateFormat=P","Fill=—","Direction=H","UseDPDF=Y")</f>
        <v>612</v>
      </c>
      <c r="D7" s="30">
        <f>_xll.BDH("CHTR US Equity","CASH_AND_MARKETABLE_SECURITIES","FQ4 2018","FQ4 2018","Currency=USD","Period=FQ","BEST_FPERIOD_OVERRIDE=FQ","FILING_STATUS=MR","SCALING_FORMAT=MLN","Sort=A","Dates=H","DateFormat=P","Fill=—","Direction=H","UseDPDF=Y")</f>
        <v>551</v>
      </c>
      <c r="E7" s="30">
        <f>_xll.BDH("CHTR US Equity","CASH_AND_MARKETABLE_SECURITIES","FQ1 2019","FQ1 2019","Currency=USD","Period=FQ","BEST_FPERIOD_OVERRIDE=FQ","FILING_STATUS=MR","SCALING_FORMAT=MLN","Sort=A","Dates=H","DateFormat=P","Fill=—","Direction=H","UseDPDF=Y")</f>
        <v>1451</v>
      </c>
      <c r="F7" s="30">
        <f>_xll.BDH("CHTR US Equity","CASH_AND_MARKETABLE_SECURITIES","FQ2 2019","FQ2 2019","Currency=USD","Period=FQ","BEST_FPERIOD_OVERRIDE=FQ","FILING_STATUS=MR","SCALING_FORMAT=MLN","Sort=A","Dates=H","DateFormat=P","Fill=—","Direction=H","UseDPDF=Y")</f>
        <v>696</v>
      </c>
      <c r="G7" s="30">
        <f>_xll.BDH("CHTR US Equity","CASH_AND_MARKETABLE_SECURITIES","FQ3 2019","FQ3 2019","Currency=USD","Period=FQ","BEST_FPERIOD_OVERRIDE=FQ","FILING_STATUS=MR","SCALING_FORMAT=MLN","Sort=A","Dates=H","DateFormat=P","Fill=—","Direction=H","UseDPDF=Y")</f>
        <v>508</v>
      </c>
      <c r="H7" s="30">
        <f>_xll.BDH("CHTR US Equity","CASH_AND_MARKETABLE_SECURITIES","FQ4 2019","FQ4 2019","Currency=USD","Period=FQ","BEST_FPERIOD_OVERRIDE=FQ","FILING_STATUS=MR","SCALING_FORMAT=MLN","Sort=A","Dates=H","DateFormat=P","Fill=—","Direction=H","UseDPDF=Y")</f>
        <v>3483</v>
      </c>
      <c r="I7" s="30">
        <f>_xll.BDH("CHTR US Equity","CASH_AND_MARKETABLE_SECURITIES","FQ1 2020","FQ1 2020","Currency=USD","Period=FQ","BEST_FPERIOD_OVERRIDE=FQ","FILING_STATUS=MR","SCALING_FORMAT=MLN","Sort=A","Dates=H","DateFormat=P","Fill=—","Direction=H","UseDPDF=Y")</f>
        <v>2908</v>
      </c>
      <c r="J7" s="30">
        <f>_xll.BDH("CHTR US Equity","CASH_AND_MARKETABLE_SECURITIES","FQ2 2020","FQ2 2020","Currency=USD","Period=FQ","BEST_FPERIOD_OVERRIDE=FQ","FILING_STATUS=MR","SCALING_FORMAT=MLN","Sort=A","Dates=H","DateFormat=P","Fill=—","Direction=H","UseDPDF=Y")</f>
        <v>2097</v>
      </c>
      <c r="K7" s="30"/>
      <c r="L7" s="30"/>
    </row>
    <row r="8" spans="1:12" x14ac:dyDescent="0.35">
      <c r="A8" s="28" t="s">
        <v>31</v>
      </c>
      <c r="B8" s="28" t="s">
        <v>32</v>
      </c>
      <c r="C8" s="30">
        <f>_xll.BDH("CHTR US Equity","PREFERRED_EQUITY_&amp;_MINORITY_INT","FQ3 2018","FQ3 2018","Currency=USD","Period=FQ","BEST_FPERIOD_OVERRIDE=FQ","FILING_STATUS=MR","SCALING_FORMAT=MLN","Sort=A","Dates=H","DateFormat=P","Fill=—","Direction=H","UseDPDF=Y")</f>
        <v>0</v>
      </c>
      <c r="D8" s="30">
        <f>_xll.BDH("CHTR US Equity","PREFERRED_EQUITY_&amp;_MINORITY_INT","FQ4 2018","FQ4 2018","Currency=USD","Period=FQ","BEST_FPERIOD_OVERRIDE=FQ","FILING_STATUS=MR","SCALING_FORMAT=MLN","Sort=A","Dates=H","DateFormat=P","Fill=—","Direction=H","UseDPDF=Y")</f>
        <v>0</v>
      </c>
      <c r="E8" s="30">
        <f>_xll.BDH("CHTR US Equity","PREFERRED_EQUITY_&amp;_MINORITY_INT","FQ1 2019","FQ1 2019","Currency=USD","Period=FQ","BEST_FPERIOD_OVERRIDE=FQ","FILING_STATUS=MR","SCALING_FORMAT=MLN","Sort=A","Dates=H","DateFormat=P","Fill=—","Direction=H","UseDPDF=Y")</f>
        <v>0</v>
      </c>
      <c r="F8" s="30">
        <f>_xll.BDH("CHTR US Equity","PREFERRED_EQUITY_&amp;_MINORITY_INT","FQ2 2019","FQ2 2019","Currency=USD","Period=FQ","BEST_FPERIOD_OVERRIDE=FQ","FILING_STATUS=MR","SCALING_FORMAT=MLN","Sort=A","Dates=H","DateFormat=P","Fill=—","Direction=H","UseDPDF=Y")</f>
        <v>0</v>
      </c>
      <c r="G8" s="30">
        <f>_xll.BDH("CHTR US Equity","PREFERRED_EQUITY_&amp;_MINORITY_INT","FQ3 2019","FQ3 2019","Currency=USD","Period=FQ","BEST_FPERIOD_OVERRIDE=FQ","FILING_STATUS=MR","SCALING_FORMAT=MLN","Sort=A","Dates=H","DateFormat=P","Fill=—","Direction=H","UseDPDF=Y")</f>
        <v>0</v>
      </c>
      <c r="H8" s="30">
        <f>_xll.BDH("CHTR US Equity","PREFERRED_EQUITY_&amp;_MINORITY_INT","FQ4 2019","FQ4 2019","Currency=USD","Period=FQ","BEST_FPERIOD_OVERRIDE=FQ","FILING_STATUS=MR","SCALING_FORMAT=MLN","Sort=A","Dates=H","DateFormat=P","Fill=—","Direction=H","UseDPDF=Y")</f>
        <v>0</v>
      </c>
      <c r="I8" s="30">
        <f>_xll.BDH("CHTR US Equity","PREFERRED_EQUITY_&amp;_MINORITY_INT","FQ1 2020","FQ1 2020","Currency=USD","Period=FQ","BEST_FPERIOD_OVERRIDE=FQ","FILING_STATUS=MR","SCALING_FORMAT=MLN","Sort=A","Dates=H","DateFormat=P","Fill=—","Direction=H","UseDPDF=Y")</f>
        <v>0</v>
      </c>
      <c r="J8" s="30">
        <f>_xll.BDH("CHTR US Equity","PREFERRED_EQUITY_&amp;_MINORITY_INT","FQ2 2020","FQ2 2020","Currency=USD","Period=FQ","BEST_FPERIOD_OVERRIDE=FQ","FILING_STATUS=MR","SCALING_FORMAT=MLN","Sort=A","Dates=H","DateFormat=P","Fill=—","Direction=H","UseDPDF=Y")</f>
        <v>0</v>
      </c>
      <c r="K8" s="30"/>
      <c r="L8" s="30"/>
    </row>
    <row r="9" spans="1:12" x14ac:dyDescent="0.35">
      <c r="A9" s="28" t="s">
        <v>33</v>
      </c>
      <c r="B9" s="28" t="s">
        <v>34</v>
      </c>
      <c r="C9" s="30">
        <f>_xll.BDH("CHTR US Equity","SHORT_AND_LONG_TERM_DEBT","FQ3 2018","FQ3 2018","Currency=USD","Period=FQ","BEST_FPERIOD_OVERRIDE=FQ","FILING_STATUS=MR","SCALING_FORMAT=MLN","Sort=A","Dates=H","DateFormat=P","Fill=—","Direction=H","UseDPDF=Y")</f>
        <v>72474</v>
      </c>
      <c r="D9" s="30">
        <f>_xll.BDH("CHTR US Equity","SHORT_AND_LONG_TERM_DEBT","FQ4 2018","FQ4 2018","Currency=USD","Period=FQ","BEST_FPERIOD_OVERRIDE=FQ","FILING_STATUS=MR","SCALING_FORMAT=MLN","Sort=A","Dates=H","DateFormat=P","Fill=—","Direction=H","UseDPDF=Y")</f>
        <v>72827</v>
      </c>
      <c r="E9" s="30">
        <f>_xll.BDH("CHTR US Equity","SHORT_AND_LONG_TERM_DEBT","FQ1 2019","FQ1 2019","Currency=USD","Period=FQ","BEST_FPERIOD_OVERRIDE=FQ","FILING_STATUS=MR","SCALING_FORMAT=MLN","Sort=A","Dates=H","DateFormat=P","Fill=—","Direction=H","UseDPDF=Y")</f>
        <v>75389</v>
      </c>
      <c r="F9" s="30">
        <f>_xll.BDH("CHTR US Equity","SHORT_AND_LONG_TERM_DEBT","FQ2 2019","FQ2 2019","Currency=USD","Period=FQ","BEST_FPERIOD_OVERRIDE=FQ","FILING_STATUS=MR","SCALING_FORMAT=MLN","Sort=A","Dates=H","DateFormat=P","Fill=—","Direction=H","UseDPDF=Y")</f>
        <v>74669</v>
      </c>
      <c r="G9" s="30">
        <f>_xll.BDH("CHTR US Equity","SHORT_AND_LONG_TERM_DEBT","FQ3 2019","FQ3 2019","Currency=USD","Period=FQ","BEST_FPERIOD_OVERRIDE=FQ","FILING_STATUS=MR","SCALING_FORMAT=MLN","Sort=A","Dates=H","DateFormat=P","Fill=—","Direction=H","UseDPDF=Y")</f>
        <v>76158</v>
      </c>
      <c r="H9" s="30">
        <f>_xll.BDH("CHTR US Equity","SHORT_AND_LONG_TERM_DEBT","FQ4 2019","FQ4 2019","Currency=USD","Period=FQ","BEST_FPERIOD_OVERRIDE=FQ","FILING_STATUS=MR","SCALING_FORMAT=MLN","Sort=A","Dates=H","DateFormat=P","Fill=—","Direction=H","UseDPDF=Y")</f>
        <v>80333</v>
      </c>
      <c r="I9" s="30">
        <f>_xll.BDH("CHTR US Equity","SHORT_AND_LONG_TERM_DEBT","FQ1 2020","FQ1 2020","Currency=USD","Period=FQ","BEST_FPERIOD_OVERRIDE=FQ","FILING_STATUS=MR","SCALING_FORMAT=MLN","Sort=A","Dates=H","DateFormat=P","Fill=—","Direction=H","UseDPDF=Y")</f>
        <v>80894</v>
      </c>
      <c r="J9" s="30">
        <f>_xll.BDH("CHTR US Equity","SHORT_AND_LONG_TERM_DEBT","FQ2 2020","FQ2 2020","Currency=USD","Period=FQ","BEST_FPERIOD_OVERRIDE=FQ","FILING_STATUS=MR","SCALING_FORMAT=MLN","Sort=A","Dates=H","DateFormat=P","Fill=—","Direction=H","UseDPDF=Y")</f>
        <v>79614</v>
      </c>
      <c r="K9" s="30"/>
      <c r="L9" s="30"/>
    </row>
    <row r="10" spans="1:12" x14ac:dyDescent="0.35">
      <c r="A10" s="24" t="s">
        <v>35</v>
      </c>
      <c r="B10" s="24" t="s">
        <v>36</v>
      </c>
      <c r="C10" s="32">
        <f>_xll.BDH("CHTR US Equity","ENTERPRISE_VALUE","FQ3 2018","FQ3 2018","Currency=USD","Period=FQ","BEST_FPERIOD_OVERRIDE=FQ","FILING_STATUS=MR","SCALING_FORMAT=MLN","Sort=A","Dates=H","DateFormat=P","Fill=—","Direction=H","UseDPDF=Y")</f>
        <v>146461.69750000001</v>
      </c>
      <c r="D10" s="32">
        <f>_xll.BDH("CHTR US Equity","ENTERPRISE_VALUE","FQ4 2018","FQ4 2018","Currency=USD","Period=FQ","BEST_FPERIOD_OVERRIDE=FQ","FILING_STATUS=MR","SCALING_FORMAT=MLN","Sort=A","Dates=H","DateFormat=P","Fill=—","Direction=H","UseDPDF=Y")</f>
        <v>136495.0747</v>
      </c>
      <c r="E10" s="32">
        <f>_xll.BDH("CHTR US Equity","ENTERPRISE_VALUE","FQ1 2019","FQ1 2019","Currency=USD","Period=FQ","BEST_FPERIOD_OVERRIDE=FQ","FILING_STATUS=MR","SCALING_FORMAT=MLN","Sort=A","Dates=H","DateFormat=P","Fill=—","Direction=H","UseDPDF=Y")</f>
        <v>151440.49530000001</v>
      </c>
      <c r="F10" s="32">
        <f>_xll.BDH("CHTR US Equity","ENTERPRISE_VALUE","FQ2 2019","FQ2 2019","Currency=USD","Period=FQ","BEST_FPERIOD_OVERRIDE=FQ","FILING_STATUS=MR","SCALING_FORMAT=MLN","Sort=A","Dates=H","DateFormat=P","Fill=—","Direction=H","UseDPDF=Y")</f>
        <v>161496.54370000001</v>
      </c>
      <c r="G10" s="32">
        <f>_xll.BDH("CHTR US Equity","ENTERPRISE_VALUE","FQ3 2019","FQ3 2019","Currency=USD","Period=FQ","BEST_FPERIOD_OVERRIDE=FQ","FILING_STATUS=MR","SCALING_FORMAT=MLN","Sort=A","Dates=H","DateFormat=P","Fill=—","Direction=H","UseDPDF=Y")</f>
        <v>164165.18309999999</v>
      </c>
      <c r="H10" s="32">
        <f>_xll.BDH("CHTR US Equity","ENTERPRISE_VALUE","FQ4 2019","FQ4 2019","Currency=USD","Period=FQ","BEST_FPERIOD_OVERRIDE=FQ","FILING_STATUS=MR","SCALING_FORMAT=MLN","Sort=A","Dates=H","DateFormat=P","Fill=—","Direction=H","UseDPDF=Y")</f>
        <v>178705.14060000001</v>
      </c>
      <c r="I10" s="32">
        <f>_xll.BDH("CHTR US Equity","ENTERPRISE_VALUE","FQ1 2020","FQ1 2020","Currency=USD","Period=FQ","BEST_FPERIOD_OVERRIDE=FQ","FILING_STATUS=MR","SCALING_FORMAT=MLN","Sort=A","Dates=H","DateFormat=P","Fill=—","Direction=H","UseDPDF=Y")</f>
        <v>168065.48970000001</v>
      </c>
      <c r="J10" s="32">
        <f>_xll.BDH("CHTR US Equity","ENTERPRISE_VALUE","FQ2 2020","FQ2 2020","Currency=USD","Period=FQ","BEST_FPERIOD_OVERRIDE=FQ","FILING_STATUS=MR","SCALING_FORMAT=MLN","Sort=A","Dates=H","DateFormat=P","Fill=—","Direction=H","UseDPDF=Y")</f>
        <v>182023.77619999999</v>
      </c>
      <c r="K10" s="32"/>
      <c r="L10" s="32"/>
    </row>
    <row r="11" spans="1:12" x14ac:dyDescent="0.35">
      <c r="A11" s="24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</row>
    <row r="12" spans="1:12" x14ac:dyDescent="0.35">
      <c r="A12" s="24" t="s">
        <v>37</v>
      </c>
      <c r="B12" s="24" t="s">
        <v>38</v>
      </c>
      <c r="C12" s="32">
        <f>_xll.BDH("CHTR US Equity","SALES_REV_TURN","FQ3 2018","FQ3 2018","Currency=USD","Period=FQ","BEST_FPERIOD_OVERRIDE=FQ","FILING_STATUS=MR","SCALING_FORMAT=MLN","FA_ADJUSTED=Adjusted","Sort=A","Dates=H","DateFormat=P","Fill=—","Direction=H","UseDPDF=Y")</f>
        <v>10892</v>
      </c>
      <c r="D12" s="32">
        <f>_xll.BDH("CHTR US Equity","SALES_REV_TURN","FQ4 2018","FQ4 2018","Currency=USD","Period=FQ","BEST_FPERIOD_OVERRIDE=FQ","FILING_STATUS=MR","SCALING_FORMAT=MLN","FA_ADJUSTED=Adjusted","Sort=A","Dates=H","DateFormat=P","Fill=—","Direction=H","UseDPDF=Y")</f>
        <v>11231</v>
      </c>
      <c r="E12" s="32">
        <f>_xll.BDH("CHTR US Equity","SALES_REV_TURN","FQ1 2019","FQ1 2019","Currency=USD","Period=FQ","BEST_FPERIOD_OVERRIDE=FQ","FILING_STATUS=MR","SCALING_FORMAT=MLN","FA_ADJUSTED=Adjusted","Sort=A","Dates=H","DateFormat=P","Fill=—","Direction=H","UseDPDF=Y")</f>
        <v>11206</v>
      </c>
      <c r="F12" s="32">
        <f>_xll.BDH("CHTR US Equity","SALES_REV_TURN","FQ2 2019","FQ2 2019","Currency=USD","Period=FQ","BEST_FPERIOD_OVERRIDE=FQ","FILING_STATUS=MR","SCALING_FORMAT=MLN","FA_ADJUSTED=Adjusted","Sort=A","Dates=H","DateFormat=P","Fill=—","Direction=H","UseDPDF=Y")</f>
        <v>11347</v>
      </c>
      <c r="G12" s="32">
        <f>_xll.BDH("CHTR US Equity","SALES_REV_TURN","FQ3 2019","FQ3 2019","Currency=USD","Period=FQ","BEST_FPERIOD_OVERRIDE=FQ","FILING_STATUS=MR","SCALING_FORMAT=MLN","FA_ADJUSTED=Adjusted","Sort=A","Dates=H","DateFormat=P","Fill=—","Direction=H","UseDPDF=Y")</f>
        <v>11450</v>
      </c>
      <c r="H12" s="32">
        <f>_xll.BDH("CHTR US Equity","SALES_REV_TURN","FQ4 2019","FQ4 2019","Currency=USD","Period=FQ","BEST_FPERIOD_OVERRIDE=FQ","FILING_STATUS=MR","SCALING_FORMAT=MLN","FA_ADJUSTED=Adjusted","Sort=A","Dates=H","DateFormat=P","Fill=—","Direction=H","UseDPDF=Y")</f>
        <v>11761</v>
      </c>
      <c r="I12" s="32">
        <f>_xll.BDH("CHTR US Equity","SALES_REV_TURN","FQ1 2020","FQ1 2020","Currency=USD","Period=FQ","BEST_FPERIOD_OVERRIDE=FQ","FILING_STATUS=MR","SCALING_FORMAT=MLN","FA_ADJUSTED=Adjusted","Sort=A","Dates=H","DateFormat=P","Fill=—","Direction=H","UseDPDF=Y")</f>
        <v>11738</v>
      </c>
      <c r="J12" s="32">
        <f>_xll.BDH("CHTR US Equity","SALES_REV_TURN","FQ2 2020","FQ2 2020","Currency=USD","Period=FQ","BEST_FPERIOD_OVERRIDE=FQ","FILING_STATUS=MR","SCALING_FORMAT=MLN","FA_ADJUSTED=Adjusted","Sort=A","Dates=H","DateFormat=P","Fill=—","Direction=H","UseDPDF=Y")</f>
        <v>11696</v>
      </c>
      <c r="K12" s="32">
        <v>12066.272999999999</v>
      </c>
      <c r="L12" s="32">
        <v>12462.045</v>
      </c>
    </row>
    <row r="13" spans="1:12" x14ac:dyDescent="0.35">
      <c r="A13" s="29" t="s">
        <v>39</v>
      </c>
      <c r="B13" s="29" t="s">
        <v>40</v>
      </c>
      <c r="C13" s="34">
        <f>_xll.BDH("CHTR US Equity","SALES_GROWTH","FQ3 2018","FQ3 2018","Currency=USD","Period=FQ","BEST_FPERIOD_OVERRIDE=FQ","FILING_STATUS=MR","FA_ADJUSTED=Adjusted","Sort=A","Dates=H","DateFormat=P","Fill=—","Direction=H","UseDPDF=Y")</f>
        <v>4.1498999999999997</v>
      </c>
      <c r="D13" s="34">
        <f>_xll.BDH("CHTR US Equity","SALES_GROWTH","FQ4 2018","FQ4 2018","Currency=USD","Period=FQ","BEST_FPERIOD_OVERRIDE=FQ","FILING_STATUS=MR","FA_ADJUSTED=Adjusted","Sort=A","Dates=H","DateFormat=P","Fill=—","Direction=H","UseDPDF=Y")</f>
        <v>5.9328000000000003</v>
      </c>
      <c r="E13" s="34">
        <f>_xll.BDH("CHTR US Equity","SALES_GROWTH","FQ1 2019","FQ1 2019","Currency=USD","Period=FQ","BEST_FPERIOD_OVERRIDE=FQ","FILING_STATUS=MR","FA_ADJUSTED=Adjusted","Sort=A","Dates=H","DateFormat=P","Fill=—","Direction=H","UseDPDF=Y")</f>
        <v>5.1515000000000004</v>
      </c>
      <c r="F13" s="34">
        <f>_xll.BDH("CHTR US Equity","SALES_GROWTH","FQ2 2019","FQ2 2019","Currency=USD","Period=FQ","BEST_FPERIOD_OVERRIDE=FQ","FILING_STATUS=MR","FA_ADJUSTED=Adjusted","Sort=A","Dates=H","DateFormat=P","Fill=—","Direction=H","UseDPDF=Y")</f>
        <v>4.5420999999999996</v>
      </c>
      <c r="G13" s="34">
        <f>_xll.BDH("CHTR US Equity","SALES_GROWTH","FQ3 2019","FQ3 2019","Currency=USD","Period=FQ","BEST_FPERIOD_OVERRIDE=FQ","FILING_STATUS=MR","FA_ADJUSTED=Adjusted","Sort=A","Dates=H","DateFormat=P","Fill=—","Direction=H","UseDPDF=Y")</f>
        <v>5.1230000000000002</v>
      </c>
      <c r="H13" s="34">
        <f>_xll.BDH("CHTR US Equity","SALES_GROWTH","FQ4 2019","FQ4 2019","Currency=USD","Period=FQ","BEST_FPERIOD_OVERRIDE=FQ","FILING_STATUS=MR","FA_ADJUSTED=Adjusted","Sort=A","Dates=H","DateFormat=P","Fill=—","Direction=H","UseDPDF=Y")</f>
        <v>4.7191000000000001</v>
      </c>
      <c r="I13" s="34">
        <f>_xll.BDH("CHTR US Equity","SALES_GROWTH","FQ1 2020","FQ1 2020","Currency=USD","Period=FQ","BEST_FPERIOD_OVERRIDE=FQ","FILING_STATUS=MR","FA_ADJUSTED=Adjusted","Sort=A","Dates=H","DateFormat=P","Fill=—","Direction=H","UseDPDF=Y")</f>
        <v>4.7475000000000005</v>
      </c>
      <c r="J13" s="34">
        <f>_xll.BDH("CHTR US Equity","SALES_GROWTH","FQ2 2020","FQ2 2020","Currency=USD","Period=FQ","BEST_FPERIOD_OVERRIDE=FQ","FILING_STATUS=MR","FA_ADJUSTED=Adjusted","Sort=A","Dates=H","DateFormat=P","Fill=—","Direction=H","UseDPDF=Y")</f>
        <v>3.0756999999999999</v>
      </c>
      <c r="K13" s="34">
        <v>5.3822969432314496</v>
      </c>
      <c r="L13" s="34">
        <v>5.9607601394439298</v>
      </c>
    </row>
    <row r="14" spans="1:12" x14ac:dyDescent="0.35">
      <c r="A14" s="24" t="s">
        <v>41</v>
      </c>
      <c r="B14" s="24" t="s">
        <v>42</v>
      </c>
      <c r="C14" s="32">
        <f>_xll.BDH("CHTR US Equity","GROSS_PROFIT","FQ3 2018","FQ3 2018","Currency=USD","Period=FQ","BEST_FPERIOD_OVERRIDE=FQ","FILING_STATUS=MR","SCALING_FORMAT=MLN","FA_ADJUSTED=Adjusted","Sort=A","Dates=H","DateFormat=P","Fill=—","Direction=H","UseDPDF=Y")</f>
        <v>5620</v>
      </c>
      <c r="D14" s="32">
        <f>_xll.BDH("CHTR US Equity","GROSS_PROFIT","FQ4 2018","FQ4 2018","Currency=USD","Period=FQ","BEST_FPERIOD_OVERRIDE=FQ","FILING_STATUS=MR","SCALING_FORMAT=MLN","FA_ADJUSTED=Adjusted","Sort=A","Dates=H","DateFormat=P","Fill=—","Direction=H","UseDPDF=Y")</f>
        <v>5823</v>
      </c>
      <c r="E14" s="32">
        <f>_xll.BDH("CHTR US Equity","GROSS_PROFIT","FQ1 2019","FQ1 2019","Currency=USD","Period=FQ","BEST_FPERIOD_OVERRIDE=FQ","FILING_STATUS=MR","SCALING_FORMAT=MLN","FA_ADJUSTED=Adjusted","Sort=A","Dates=H","DateFormat=P","Fill=—","Direction=H","UseDPDF=Y")</f>
        <v>5698</v>
      </c>
      <c r="F14" s="32">
        <f>_xll.BDH("CHTR US Equity","GROSS_PROFIT","FQ2 2019","FQ2 2019","Currency=USD","Period=FQ","BEST_FPERIOD_OVERRIDE=FQ","FILING_STATUS=MR","SCALING_FORMAT=MLN","FA_ADJUSTED=Adjusted","Sort=A","Dates=H","DateFormat=P","Fill=—","Direction=H","UseDPDF=Y")</f>
        <v>5879</v>
      </c>
      <c r="G14" s="32">
        <f>_xll.BDH("CHTR US Equity","GROSS_PROFIT","FQ3 2019","FQ3 2019","Currency=USD","Period=FQ","BEST_FPERIOD_OVERRIDE=FQ","FILING_STATUS=MR","SCALING_FORMAT=MLN","FA_ADJUSTED=Adjusted","Sort=A","Dates=H","DateFormat=P","Fill=—","Direction=H","UseDPDF=Y")</f>
        <v>5817</v>
      </c>
      <c r="H14" s="32">
        <f>_xll.BDH("CHTR US Equity","GROSS_PROFIT","FQ4 2019","FQ4 2019","Currency=USD","Period=FQ","BEST_FPERIOD_OVERRIDE=FQ","FILING_STATUS=MR","SCALING_FORMAT=MLN","FA_ADJUSTED=Adjusted","Sort=A","Dates=H","DateFormat=P","Fill=—","Direction=H","UseDPDF=Y")</f>
        <v>6191</v>
      </c>
      <c r="I14" s="32">
        <f>_xll.BDH("CHTR US Equity","GROSS_PROFIT","FQ1 2020","FQ1 2020","Currency=USD","Period=FQ","BEST_FPERIOD_OVERRIDE=FQ","FILING_STATUS=MR","SCALING_FORMAT=MLN","FA_ADJUSTED=Adjusted","Sort=A","Dates=H","DateFormat=P","Fill=—","Direction=H","UseDPDF=Y")</f>
        <v>6073</v>
      </c>
      <c r="J14" s="32">
        <f>_xll.BDH("CHTR US Equity","GROSS_PROFIT","FQ2 2020","FQ2 2020","Currency=USD","Period=FQ","BEST_FPERIOD_OVERRIDE=FQ","FILING_STATUS=MR","SCALING_FORMAT=MLN","FA_ADJUSTED=Adjusted","Sort=A","Dates=H","DateFormat=P","Fill=—","Direction=H","UseDPDF=Y")</f>
        <v>6074</v>
      </c>
      <c r="K14" s="32">
        <v>7126.7028219900003</v>
      </c>
      <c r="L14" s="32">
        <v>7480.0932703500002</v>
      </c>
    </row>
    <row r="15" spans="1:12" x14ac:dyDescent="0.35">
      <c r="A15" s="29" t="s">
        <v>43</v>
      </c>
      <c r="B15" s="29" t="s">
        <v>42</v>
      </c>
      <c r="C15" s="34">
        <v>51.597502754315101</v>
      </c>
      <c r="D15" s="34">
        <v>51.8475647760662</v>
      </c>
      <c r="E15" s="34">
        <v>50.8477601285026</v>
      </c>
      <c r="F15" s="34">
        <v>51.811051379219201</v>
      </c>
      <c r="G15" s="34">
        <v>50.803493449781698</v>
      </c>
      <c r="H15" s="34">
        <v>52.640081625712099</v>
      </c>
      <c r="I15" s="34">
        <v>51.737945135457501</v>
      </c>
      <c r="J15" s="34">
        <v>51.932284541723703</v>
      </c>
      <c r="K15" s="34">
        <v>59.063000000000002</v>
      </c>
      <c r="L15" s="34">
        <v>60.023000000000003</v>
      </c>
    </row>
    <row r="16" spans="1:12" x14ac:dyDescent="0.35">
      <c r="A16" s="24" t="s">
        <v>44</v>
      </c>
      <c r="B16" s="24" t="s">
        <v>45</v>
      </c>
      <c r="C16" s="32">
        <f>_xll.BDH("CHTR US Equity","EBITDA","FQ3 2018","FQ3 2018","Currency=USD","Period=FQ","BEST_FPERIOD_OVERRIDE=FQ","FILING_STATUS=MR","SCALING_FORMAT=MLN","FA_ADJUSTED=Adjusted","Sort=A","Dates=H","DateFormat=P","Fill=—","Direction=H","UseDPDF=Y")</f>
        <v>3880</v>
      </c>
      <c r="D16" s="32">
        <f>_xll.BDH("CHTR US Equity","EBITDA","FQ4 2018","FQ4 2018","Currency=USD","Period=FQ","BEST_FPERIOD_OVERRIDE=FQ","FILING_STATUS=MR","SCALING_FORMAT=MLN","FA_ADJUSTED=Adjusted","Sort=A","Dates=H","DateFormat=P","Fill=—","Direction=H","UseDPDF=Y")</f>
        <v>4080</v>
      </c>
      <c r="E16" s="32">
        <f>_xll.BDH("CHTR US Equity","EBITDA","FQ1 2019","FQ1 2019","Currency=USD","Period=FQ","BEST_FPERIOD_OVERRIDE=FQ","FILING_STATUS=MR","SCALING_FORMAT=MLN","FA_ADJUSTED=Adjusted","Sort=A","Dates=H","DateFormat=P","Fill=—","Direction=H","UseDPDF=Y")</f>
        <v>4034</v>
      </c>
      <c r="F16" s="32">
        <f>_xll.BDH("CHTR US Equity","EBITDA","FQ2 2019","FQ2 2019","Currency=USD","Period=FQ","BEST_FPERIOD_OVERRIDE=FQ","FILING_STATUS=MR","SCALING_FORMAT=MLN","FA_ADJUSTED=Adjusted","Sort=A","Dates=H","DateFormat=P","Fill=—","Direction=H","UseDPDF=Y")</f>
        <v>4175</v>
      </c>
      <c r="G16" s="32">
        <f>_xll.BDH("CHTR US Equity","EBITDA","FQ3 2019","FQ3 2019","Currency=USD","Period=FQ","BEST_FPERIOD_OVERRIDE=FQ","FILING_STATUS=MR","SCALING_FORMAT=MLN","FA_ADJUSTED=Adjusted","Sort=A","Dates=H","DateFormat=P","Fill=—","Direction=H","UseDPDF=Y")</f>
        <v>4083</v>
      </c>
      <c r="H16" s="32">
        <f>_xll.BDH("CHTR US Equity","EBITDA","FQ4 2019","FQ4 2019","Currency=USD","Period=FQ","BEST_FPERIOD_OVERRIDE=FQ","FILING_STATUS=MR","SCALING_FORMAT=MLN","FA_ADJUSTED=Adjusted","Sort=A","Dates=H","DateFormat=P","Fill=—","Direction=H","UseDPDF=Y")</f>
        <v>4550</v>
      </c>
      <c r="I16" s="32">
        <f>_xll.BDH("CHTR US Equity","EBITDA","FQ1 2020","FQ1 2020","Currency=USD","Period=FQ","BEST_FPERIOD_OVERRIDE=FQ","FILING_STATUS=MR","SCALING_FORMAT=MLN","FA_ADJUSTED=Adjusted","Sort=A","Dates=H","DateFormat=P","Fill=—","Direction=H","UseDPDF=Y")</f>
        <v>4379</v>
      </c>
      <c r="J16" s="32">
        <f>_xll.BDH("CHTR US Equity","EBITDA","FQ2 2020","FQ2 2020","Currency=USD","Period=FQ","BEST_FPERIOD_OVERRIDE=FQ","FILING_STATUS=MR","SCALING_FORMAT=MLN","FA_ADJUSTED=Adjusted","Sort=A","Dates=H","DateFormat=P","Fill=—","Direction=H","UseDPDF=Y")</f>
        <v>4475</v>
      </c>
      <c r="K16" s="32">
        <v>4438.8100000000004</v>
      </c>
      <c r="L16" s="32">
        <v>4838.3329999999996</v>
      </c>
    </row>
    <row r="17" spans="1:12" x14ac:dyDescent="0.35">
      <c r="A17" s="29" t="s">
        <v>43</v>
      </c>
      <c r="B17" s="29" t="s">
        <v>45</v>
      </c>
      <c r="C17" s="34">
        <v>35.6224752111642</v>
      </c>
      <c r="D17" s="34">
        <v>36.328020657109803</v>
      </c>
      <c r="E17" s="34">
        <v>35.998572193467801</v>
      </c>
      <c r="F17" s="34">
        <v>36.793866220146299</v>
      </c>
      <c r="G17" s="34">
        <v>35.6593886462882</v>
      </c>
      <c r="H17" s="34">
        <v>38.687186463736097</v>
      </c>
      <c r="I17" s="34">
        <v>37.306185040040901</v>
      </c>
      <c r="J17" s="34">
        <v>38.260943912448703</v>
      </c>
      <c r="K17" s="34">
        <v>36.786918379851002</v>
      </c>
      <c r="L17" s="34">
        <v>38.824550866250298</v>
      </c>
    </row>
    <row r="18" spans="1:12" x14ac:dyDescent="0.35">
      <c r="A18" s="24" t="s">
        <v>46</v>
      </c>
      <c r="B18" s="24" t="s">
        <v>47</v>
      </c>
      <c r="C18" s="32">
        <f>_xll.BDH("CHTR US Equity","EARN_FOR_COMMON","FQ3 2018","FQ3 2018","Currency=USD","Period=FQ","BEST_FPERIOD_OVERRIDE=FQ","FILING_STATUS=MR","SCALING_FORMAT=MLN","FA_ADJUSTED=Adjusted","Sort=A","Dates=H","DateFormat=P","Fill=—","Direction=H","UseDPDF=Y")</f>
        <v>497.74</v>
      </c>
      <c r="D18" s="32">
        <f>_xll.BDH("CHTR US Equity","EARN_FOR_COMMON","FQ4 2018","FQ4 2018","Currency=USD","Period=FQ","BEST_FPERIOD_OVERRIDE=FQ","FILING_STATUS=MR","SCALING_FORMAT=MLN","FA_ADJUSTED=Adjusted","Sort=A","Dates=H","DateFormat=P","Fill=—","Direction=H","UseDPDF=Y")</f>
        <v>467.43</v>
      </c>
      <c r="E18" s="32">
        <f>_xll.BDH("CHTR US Equity","EARN_FOR_COMMON","FQ1 2019","FQ1 2019","Currency=USD","Period=FQ","BEST_FPERIOD_OVERRIDE=FQ","FILING_STATUS=MR","SCALING_FORMAT=MLN","FA_ADJUSTED=Adjusted","Sort=A","Dates=H","DateFormat=P","Fill=—","Direction=H","UseDPDF=Y")</f>
        <v>278.27999999999997</v>
      </c>
      <c r="F18" s="32">
        <f>_xll.BDH("CHTR US Equity","EARN_FOR_COMMON","FQ2 2019","FQ2 2019","Currency=USD","Period=FQ","BEST_FPERIOD_OVERRIDE=FQ","FILING_STATUS=MR","SCALING_FORMAT=MLN","FA_ADJUSTED=Adjusted","Sort=A","Dates=H","DateFormat=P","Fill=—","Direction=H","UseDPDF=Y")</f>
        <v>456.99</v>
      </c>
      <c r="G18" s="32">
        <f>_xll.BDH("CHTR US Equity","EARN_FOR_COMMON","FQ3 2019","FQ3 2019","Currency=USD","Period=FQ","BEST_FPERIOD_OVERRIDE=FQ","FILING_STATUS=MR","SCALING_FORMAT=MLN","FA_ADJUSTED=Adjusted","Sort=A","Dates=H","DateFormat=P","Fill=—","Direction=H","UseDPDF=Y")</f>
        <v>371.2</v>
      </c>
      <c r="H18" s="32">
        <f>_xll.BDH("CHTR US Equity","EARN_FOR_COMMON","FQ4 2019","FQ4 2019","Currency=USD","Period=FQ","BEST_FPERIOD_OVERRIDE=FQ","FILING_STATUS=MR","SCALING_FORMAT=MLN","FA_ADJUSTED=Adjusted","Sort=A","Dates=H","DateFormat=P","Fill=—","Direction=H","UseDPDF=Y")</f>
        <v>735.33</v>
      </c>
      <c r="I18" s="32">
        <f>_xll.BDH("CHTR US Equity","EARN_FOR_COMMON","FQ1 2020","FQ1 2020","Currency=USD","Period=FQ","BEST_FPERIOD_OVERRIDE=FQ","FILING_STATUS=MR","SCALING_FORMAT=MLN","FA_ADJUSTED=Adjusted","Sort=A","Dates=H","DateFormat=P","Fill=—","Direction=H","UseDPDF=Y")</f>
        <v>674.08</v>
      </c>
      <c r="J18" s="32">
        <f>_xll.BDH("CHTR US Equity","EARN_FOR_COMMON","FQ2 2020","FQ2 2020","Currency=USD","Period=FQ","BEST_FPERIOD_OVERRIDE=FQ","FILING_STATUS=MR","SCALING_FORMAT=MLN","FA_ADJUSTED=Adjusted","Sort=A","Dates=H","DateFormat=P","Fill=—","Direction=H","UseDPDF=Y")</f>
        <v>717.02</v>
      </c>
      <c r="K18" s="32">
        <v>689.05</v>
      </c>
      <c r="L18" s="32">
        <v>969.45</v>
      </c>
    </row>
    <row r="19" spans="1:12" x14ac:dyDescent="0.35">
      <c r="A19" s="29" t="s">
        <v>43</v>
      </c>
      <c r="B19" s="29" t="s">
        <v>47</v>
      </c>
      <c r="C19" s="34">
        <v>4.5697759823723798</v>
      </c>
      <c r="D19" s="34">
        <v>4.1619624254296204</v>
      </c>
      <c r="E19" s="34">
        <v>2.4833125111547401</v>
      </c>
      <c r="F19" s="34">
        <v>4.0274081254957297</v>
      </c>
      <c r="G19" s="34">
        <v>3.2419213973799099</v>
      </c>
      <c r="H19" s="34">
        <v>6.2522744664569396</v>
      </c>
      <c r="I19" s="34">
        <v>5.7427159652411</v>
      </c>
      <c r="J19" s="34">
        <v>6.1304721956224304</v>
      </c>
      <c r="K19" s="34">
        <v>5.7105454186226297</v>
      </c>
      <c r="L19" s="34">
        <v>7.7792208261164202</v>
      </c>
    </row>
    <row r="20" spans="1:12" x14ac:dyDescent="0.35">
      <c r="A20" s="24" t="s">
        <v>48</v>
      </c>
      <c r="B20" s="24" t="s">
        <v>49</v>
      </c>
      <c r="C20" s="33">
        <f>_xll.BDH("CHTR US Equity","IS_DIL_EPS_CONT_OPS","FQ3 2018","FQ3 2018","Currency=USD","Period=FQ","BEST_FPERIOD_OVERRIDE=FQ","FILING_STATUS=MR","Sort=A","Dates=H","DateFormat=P","Fill=—","Direction=H","UseDPDF=Y")</f>
        <v>2.1303000000000001</v>
      </c>
      <c r="D20" s="33">
        <f>_xll.BDH("CHTR US Equity","IS_DIL_EPS_CONT_OPS","FQ4 2018","FQ4 2018","Currency=USD","Period=FQ","BEST_FPERIOD_OVERRIDE=FQ","FILING_STATUS=MR","Sort=A","Dates=H","DateFormat=P","Fill=—","Direction=H","UseDPDF=Y")</f>
        <v>2.0348999999999999</v>
      </c>
      <c r="E20" s="33">
        <f>_xll.BDH("CHTR US Equity","IS_DIL_EPS_CONT_OPS","FQ1 2019","FQ1 2019","Currency=USD","Period=FQ","BEST_FPERIOD_OVERRIDE=FQ","FILING_STATUS=MR","Sort=A","Dates=H","DateFormat=P","Fill=—","Direction=H","UseDPDF=Y")</f>
        <v>1.2211000000000001</v>
      </c>
      <c r="F20" s="33">
        <f>_xll.BDH("CHTR US Equity","IS_DIL_EPS_CONT_OPS","FQ2 2019","FQ2 2019","Currency=USD","Period=FQ","BEST_FPERIOD_OVERRIDE=FQ","FILING_STATUS=MR","Sort=A","Dates=H","DateFormat=P","Fill=—","Direction=H","UseDPDF=Y")</f>
        <v>2.0228999999999999</v>
      </c>
      <c r="G20" s="33">
        <f>_xll.BDH("CHTR US Equity","IS_DIL_EPS_CONT_OPS","FQ3 2019","FQ3 2019","Currency=USD","Period=FQ","BEST_FPERIOD_OVERRIDE=FQ","FILING_STATUS=MR","Sort=A","Dates=H","DateFormat=P","Fill=—","Direction=H","UseDPDF=Y")</f>
        <v>1.6689000000000001</v>
      </c>
      <c r="H20" s="33">
        <f>_xll.BDH("CHTR US Equity","IS_DIL_EPS_CONT_OPS","FQ4 2019","FQ4 2019","Currency=USD","Period=FQ","BEST_FPERIOD_OVERRIDE=FQ","FILING_STATUS=MR","Sort=A","Dates=H","DateFormat=P","Fill=—","Direction=H","UseDPDF=Y")</f>
        <v>3.3778999999999999</v>
      </c>
      <c r="I20" s="33">
        <f>_xll.BDH("CHTR US Equity","IS_DIL_EPS_CONT_OPS","FQ1 2020","FQ1 2020","Currency=USD","Period=FQ","BEST_FPERIOD_OVERRIDE=FQ","FILING_STATUS=MR","Sort=A","Dates=H","DateFormat=P","Fill=—","Direction=H","UseDPDF=Y")</f>
        <v>3.1667000000000001</v>
      </c>
      <c r="J20" s="33">
        <f>_xll.BDH("CHTR US Equity","IS_DIL_EPS_CONT_OPS","FQ2 2020","FQ2 2020","Currency=USD","Period=FQ","BEST_FPERIOD_OVERRIDE=FQ","FILING_STATUS=MR","Sort=A","Dates=H","DateFormat=P","Fill=—","Direction=H","UseDPDF=Y")</f>
        <v>3.3978000000000002</v>
      </c>
      <c r="K20" s="33">
        <v>3.0779999999999998</v>
      </c>
      <c r="L20" s="33">
        <v>4.4489999999999998</v>
      </c>
    </row>
    <row r="21" spans="1:12" x14ac:dyDescent="0.35">
      <c r="A21" s="29" t="s">
        <v>39</v>
      </c>
      <c r="B21" s="29" t="s">
        <v>49</v>
      </c>
      <c r="C21" s="34">
        <v>273.78558156101798</v>
      </c>
      <c r="D21" s="34">
        <v>-91.462189351657102</v>
      </c>
      <c r="E21" s="34">
        <v>69.6798650425077</v>
      </c>
      <c r="F21" s="34">
        <v>35.167474185782197</v>
      </c>
      <c r="G21" s="34">
        <v>-21.656535025747701</v>
      </c>
      <c r="H21" s="34">
        <v>65.998778330952405</v>
      </c>
      <c r="I21" s="34">
        <v>159.337435732806</v>
      </c>
      <c r="J21" s="34">
        <v>67.968288478546</v>
      </c>
      <c r="K21" s="34">
        <v>84.428108089970706</v>
      </c>
      <c r="L21" s="34">
        <v>31.707334402228099</v>
      </c>
    </row>
    <row r="22" spans="1:12" x14ac:dyDescent="0.35">
      <c r="A22" s="24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</row>
    <row r="23" spans="1:12" x14ac:dyDescent="0.35">
      <c r="A23" s="24" t="s">
        <v>50</v>
      </c>
      <c r="B23" s="24" t="s">
        <v>51</v>
      </c>
      <c r="C23" s="32">
        <f>_xll.BDH("CHTR US Equity","CF_CASH_FROM_OPER","FQ3 2018","FQ3 2018","Currency=USD","Period=FQ","BEST_FPERIOD_OVERRIDE=FQ","FILING_STATUS=MR","SCALING_FORMAT=MLN","Sort=A","Dates=H","DateFormat=P","Fill=—","Direction=H","UseDPDF=Y")</f>
        <v>2804</v>
      </c>
      <c r="D23" s="32">
        <f>_xll.BDH("CHTR US Equity","CF_CASH_FROM_OPER","FQ4 2018","FQ4 2018","Currency=USD","Period=FQ","BEST_FPERIOD_OVERRIDE=FQ","FILING_STATUS=MR","SCALING_FORMAT=MLN","Sort=A","Dates=H","DateFormat=P","Fill=—","Direction=H","UseDPDF=Y")</f>
        <v>3168</v>
      </c>
      <c r="E23" s="32">
        <f>_xll.BDH("CHTR US Equity","CF_CASH_FROM_OPER","FQ1 2019","FQ1 2019","Currency=USD","Period=FQ","BEST_FPERIOD_OVERRIDE=FQ","FILING_STATUS=MR","SCALING_FORMAT=MLN","Sort=A","Dates=H","DateFormat=P","Fill=—","Direction=H","UseDPDF=Y")</f>
        <v>2686</v>
      </c>
      <c r="F23" s="32">
        <f>_xll.BDH("CHTR US Equity","CF_CASH_FROM_OPER","FQ2 2019","FQ2 2019","Currency=USD","Period=FQ","BEST_FPERIOD_OVERRIDE=FQ","FILING_STATUS=MR","SCALING_FORMAT=MLN","Sort=A","Dates=H","DateFormat=P","Fill=—","Direction=H","UseDPDF=Y")</f>
        <v>2761</v>
      </c>
      <c r="G23" s="32">
        <f>_xll.BDH("CHTR US Equity","CF_CASH_FROM_OPER","FQ3 2019","FQ3 2019","Currency=USD","Period=FQ","BEST_FPERIOD_OVERRIDE=FQ","FILING_STATUS=MR","SCALING_FORMAT=MLN","Sort=A","Dates=H","DateFormat=P","Fill=—","Direction=H","UseDPDF=Y")</f>
        <v>2943</v>
      </c>
      <c r="H23" s="32">
        <f>_xll.BDH("CHTR US Equity","CF_CASH_FROM_OPER","FQ4 2019","FQ4 2019","Currency=USD","Period=FQ","BEST_FPERIOD_OVERRIDE=FQ","FILING_STATUS=MR","SCALING_FORMAT=MLN","Sort=A","Dates=H","DateFormat=P","Fill=—","Direction=H","UseDPDF=Y")</f>
        <v>3358</v>
      </c>
      <c r="I23" s="32">
        <f>_xll.BDH("CHTR US Equity","CF_CASH_FROM_OPER","FQ1 2020","FQ1 2020","Currency=USD","Period=FQ","BEST_FPERIOD_OVERRIDE=FQ","FILING_STATUS=MR","SCALING_FORMAT=MLN","Sort=A","Dates=H","DateFormat=P","Fill=—","Direction=H","UseDPDF=Y")</f>
        <v>3220</v>
      </c>
      <c r="J23" s="32">
        <f>_xll.BDH("CHTR US Equity","CF_CASH_FROM_OPER","FQ2 2020","FQ2 2020","Currency=USD","Period=FQ","BEST_FPERIOD_OVERRIDE=FQ","FILING_STATUS=MR","SCALING_FORMAT=MLN","Sort=A","Dates=H","DateFormat=P","Fill=—","Direction=H","UseDPDF=Y")</f>
        <v>3529</v>
      </c>
      <c r="K23" s="32"/>
      <c r="L23" s="32"/>
    </row>
    <row r="24" spans="1:12" x14ac:dyDescent="0.35">
      <c r="A24" s="24" t="s">
        <v>52</v>
      </c>
      <c r="B24" s="24" t="s">
        <v>53</v>
      </c>
      <c r="C24" s="32">
        <f>_xll.BDH("CHTR US Equity","CAPITAL_EXPEND","FQ3 2018","FQ3 2018","Currency=USD","Period=FQ","BEST_FPERIOD_OVERRIDE=FQ","FILING_STATUS=MR","SCALING_FORMAT=MLN","Sort=A","Dates=H","DateFormat=P","Fill=—","Direction=H","UseDPDF=Y")</f>
        <v>-2118</v>
      </c>
      <c r="D24" s="32">
        <f>_xll.BDH("CHTR US Equity","CAPITAL_EXPEND","FQ4 2018","FQ4 2018","Currency=USD","Period=FQ","BEST_FPERIOD_OVERRIDE=FQ","FILING_STATUS=MR","SCALING_FORMAT=MLN","Sort=A","Dates=H","DateFormat=P","Fill=—","Direction=H","UseDPDF=Y")</f>
        <v>-2433</v>
      </c>
      <c r="E24" s="32">
        <f>_xll.BDH("CHTR US Equity","CAPITAL_EXPEND","FQ1 2019","FQ1 2019","Currency=USD","Period=FQ","BEST_FPERIOD_OVERRIDE=FQ","FILING_STATUS=MR","SCALING_FORMAT=MLN","Sort=A","Dates=H","DateFormat=P","Fill=—","Direction=H","UseDPDF=Y")</f>
        <v>-1665</v>
      </c>
      <c r="F24" s="32">
        <f>_xll.BDH("CHTR US Equity","CAPITAL_EXPEND","FQ2 2019","FQ2 2019","Currency=USD","Period=FQ","BEST_FPERIOD_OVERRIDE=FQ","FILING_STATUS=MR","SCALING_FORMAT=MLN","Sort=A","Dates=H","DateFormat=P","Fill=—","Direction=H","UseDPDF=Y")</f>
        <v>-1597</v>
      </c>
      <c r="G24" s="32">
        <f>_xll.BDH("CHTR US Equity","CAPITAL_EXPEND","FQ3 2019","FQ3 2019","Currency=USD","Period=FQ","BEST_FPERIOD_OVERRIDE=FQ","FILING_STATUS=MR","SCALING_FORMAT=MLN","Sort=A","Dates=H","DateFormat=P","Fill=—","Direction=H","UseDPDF=Y")</f>
        <v>-1651</v>
      </c>
      <c r="H24" s="32">
        <f>_xll.BDH("CHTR US Equity","CAPITAL_EXPEND","FQ4 2019","FQ4 2019","Currency=USD","Period=FQ","BEST_FPERIOD_OVERRIDE=FQ","FILING_STATUS=MR","SCALING_FORMAT=MLN","Sort=A","Dates=H","DateFormat=P","Fill=—","Direction=H","UseDPDF=Y")</f>
        <v>-2282</v>
      </c>
      <c r="I24" s="32">
        <f>_xll.BDH("CHTR US Equity","CAPITAL_EXPEND","FQ1 2020","FQ1 2020","Currency=USD","Period=FQ","BEST_FPERIOD_OVERRIDE=FQ","FILING_STATUS=MR","SCALING_FORMAT=MLN","Sort=A","Dates=H","DateFormat=P","Fill=—","Direction=H","UseDPDF=Y")</f>
        <v>-1461</v>
      </c>
      <c r="J24" s="32">
        <f>_xll.BDH("CHTR US Equity","CAPITAL_EXPEND","FQ2 2020","FQ2 2020","Currency=USD","Period=FQ","BEST_FPERIOD_OVERRIDE=FQ","FILING_STATUS=MR","SCALING_FORMAT=MLN","Sort=A","Dates=H","DateFormat=P","Fill=—","Direction=H","UseDPDF=Y")</f>
        <v>-1877</v>
      </c>
      <c r="K24" s="32">
        <v>-1713.0530000000001</v>
      </c>
      <c r="L24" s="32">
        <v>-1997.7370000000001</v>
      </c>
    </row>
    <row r="25" spans="1:12" x14ac:dyDescent="0.35">
      <c r="A25" s="24" t="s">
        <v>54</v>
      </c>
      <c r="B25" s="24" t="s">
        <v>55</v>
      </c>
      <c r="C25" s="32">
        <f>_xll.BDH("CHTR US Equity","CF_FREE_CASH_FLOW","FQ3 2018","FQ3 2018","Currency=USD","Period=FQ","BEST_FPERIOD_OVERRIDE=FQ","FILING_STATUS=MR","SCALING_FORMAT=MLN","Sort=A","Dates=H","DateFormat=P","Fill=—","Direction=H","UseDPDF=Y")</f>
        <v>686</v>
      </c>
      <c r="D25" s="32">
        <f>_xll.BDH("CHTR US Equity","CF_FREE_CASH_FLOW","FQ4 2018","FQ4 2018","Currency=USD","Period=FQ","BEST_FPERIOD_OVERRIDE=FQ","FILING_STATUS=MR","SCALING_FORMAT=MLN","Sort=A","Dates=H","DateFormat=P","Fill=—","Direction=H","UseDPDF=Y")</f>
        <v>735</v>
      </c>
      <c r="E25" s="32">
        <f>_xll.BDH("CHTR US Equity","CF_FREE_CASH_FLOW","FQ1 2019","FQ1 2019","Currency=USD","Period=FQ","BEST_FPERIOD_OVERRIDE=FQ","FILING_STATUS=MR","SCALING_FORMAT=MLN","Sort=A","Dates=H","DateFormat=P","Fill=—","Direction=H","UseDPDF=Y")</f>
        <v>1021</v>
      </c>
      <c r="F25" s="32">
        <f>_xll.BDH("CHTR US Equity","CF_FREE_CASH_FLOW","FQ2 2019","FQ2 2019","Currency=USD","Period=FQ","BEST_FPERIOD_OVERRIDE=FQ","FILING_STATUS=MR","SCALING_FORMAT=MLN","Sort=A","Dates=H","DateFormat=P","Fill=—","Direction=H","UseDPDF=Y")</f>
        <v>1164</v>
      </c>
      <c r="G25" s="32">
        <f>_xll.BDH("CHTR US Equity","CF_FREE_CASH_FLOW","FQ3 2019","FQ3 2019","Currency=USD","Period=FQ","BEST_FPERIOD_OVERRIDE=FQ","FILING_STATUS=MR","SCALING_FORMAT=MLN","Sort=A","Dates=H","DateFormat=P","Fill=—","Direction=H","UseDPDF=Y")</f>
        <v>1292</v>
      </c>
      <c r="H25" s="32">
        <f>_xll.BDH("CHTR US Equity","CF_FREE_CASH_FLOW","FQ4 2019","FQ4 2019","Currency=USD","Period=FQ","BEST_FPERIOD_OVERRIDE=FQ","FILING_STATUS=MR","SCALING_FORMAT=MLN","Sort=A","Dates=H","DateFormat=P","Fill=—","Direction=H","UseDPDF=Y")</f>
        <v>1076</v>
      </c>
      <c r="I25" s="32">
        <f>_xll.BDH("CHTR US Equity","CF_FREE_CASH_FLOW","FQ1 2020","FQ1 2020","Currency=USD","Period=FQ","BEST_FPERIOD_OVERRIDE=FQ","FILING_STATUS=MR","SCALING_FORMAT=MLN","Sort=A","Dates=H","DateFormat=P","Fill=—","Direction=H","UseDPDF=Y")</f>
        <v>1759</v>
      </c>
      <c r="J25" s="32">
        <f>_xll.BDH("CHTR US Equity","CF_FREE_CASH_FLOW","FQ2 2020","FQ2 2020","Currency=USD","Period=FQ","BEST_FPERIOD_OVERRIDE=FQ","FILING_STATUS=MR","SCALING_FORMAT=MLN","Sort=A","Dates=H","DateFormat=P","Fill=—","Direction=H","UseDPDF=Y")</f>
        <v>1652</v>
      </c>
      <c r="K25" s="32">
        <v>1588.2</v>
      </c>
      <c r="L25" s="32">
        <v>1918.97</v>
      </c>
    </row>
    <row r="26" spans="1:12" x14ac:dyDescent="0.35">
      <c r="A26" s="25" t="s">
        <v>56</v>
      </c>
      <c r="B26" s="25"/>
      <c r="C26" s="25" t="s">
        <v>3</v>
      </c>
      <c r="D26" s="25"/>
      <c r="E26" s="25"/>
      <c r="F26" s="25"/>
      <c r="G26" s="25"/>
      <c r="H26" s="25"/>
      <c r="I26" s="25"/>
      <c r="J26" s="25"/>
      <c r="K26" s="25"/>
      <c r="L26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292B-9817-450D-90D4-331C05B1F4BD}">
  <dimension ref="A1:L73"/>
  <sheetViews>
    <sheetView workbookViewId="0"/>
  </sheetViews>
  <sheetFormatPr defaultRowHeight="14.5" x14ac:dyDescent="0.35"/>
  <cols>
    <col min="1" max="1" width="35.1796875" customWidth="1"/>
    <col min="2" max="2" width="0" hidden="1" customWidth="1"/>
    <col min="3" max="12" width="11.81640625" customWidth="1"/>
  </cols>
  <sheetData>
    <row r="1" spans="1:12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" x14ac:dyDescent="0.35">
      <c r="A2" s="2" t="s">
        <v>170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35">
      <c r="A4" s="4" t="s">
        <v>169</v>
      </c>
      <c r="B4" s="4"/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</row>
    <row r="5" spans="1:12" x14ac:dyDescent="0.35">
      <c r="A5" s="6" t="s">
        <v>16</v>
      </c>
      <c r="B5" s="6"/>
      <c r="C5" s="7" t="s">
        <v>17</v>
      </c>
      <c r="D5" s="7" t="s">
        <v>18</v>
      </c>
      <c r="E5" s="7" t="s">
        <v>19</v>
      </c>
      <c r="F5" s="7" t="s">
        <v>20</v>
      </c>
      <c r="G5" s="7" t="s">
        <v>21</v>
      </c>
      <c r="H5" s="7" t="s">
        <v>22</v>
      </c>
      <c r="I5" s="7" t="s">
        <v>23</v>
      </c>
      <c r="J5" s="7" t="s">
        <v>24</v>
      </c>
      <c r="K5" s="7" t="s">
        <v>25</v>
      </c>
      <c r="L5" s="7" t="s">
        <v>26</v>
      </c>
    </row>
    <row r="6" spans="1:12" x14ac:dyDescent="0.35">
      <c r="A6" s="12" t="s">
        <v>0</v>
      </c>
      <c r="B6" s="12" t="s">
        <v>38</v>
      </c>
      <c r="C6" s="10">
        <f>_xll.BDH("CHTR US Equity","SALES_REV_TURN","FQ3 2018","FQ3 2018","Currency=USD","Period=FQ","BEST_FPERIOD_OVERRIDE=FQ","FILING_STATUS=MR","SCALING_FORMAT=MLN","FA_ADJUSTED=Adjusted","Sort=A","Dates=H","DateFormat=P","Fill=—","Direction=H","UseDPDF=Y")</f>
        <v>10892</v>
      </c>
      <c r="D6" s="10">
        <f>_xll.BDH("CHTR US Equity","SALES_REV_TURN","FQ4 2018","FQ4 2018","Currency=USD","Period=FQ","BEST_FPERIOD_OVERRIDE=FQ","FILING_STATUS=MR","SCALING_FORMAT=MLN","FA_ADJUSTED=Adjusted","Sort=A","Dates=H","DateFormat=P","Fill=—","Direction=H","UseDPDF=Y")</f>
        <v>11231</v>
      </c>
      <c r="E6" s="10">
        <f>_xll.BDH("CHTR US Equity","SALES_REV_TURN","FQ1 2019","FQ1 2019","Currency=USD","Period=FQ","BEST_FPERIOD_OVERRIDE=FQ","FILING_STATUS=MR","SCALING_FORMAT=MLN","FA_ADJUSTED=Adjusted","Sort=A","Dates=H","DateFormat=P","Fill=—","Direction=H","UseDPDF=Y")</f>
        <v>11206</v>
      </c>
      <c r="F6" s="10">
        <f>_xll.BDH("CHTR US Equity","SALES_REV_TURN","FQ2 2019","FQ2 2019","Currency=USD","Period=FQ","BEST_FPERIOD_OVERRIDE=FQ","FILING_STATUS=MR","SCALING_FORMAT=MLN","FA_ADJUSTED=Adjusted","Sort=A","Dates=H","DateFormat=P","Fill=—","Direction=H","UseDPDF=Y")</f>
        <v>11347</v>
      </c>
      <c r="G6" s="10">
        <f>_xll.BDH("CHTR US Equity","SALES_REV_TURN","FQ3 2019","FQ3 2019","Currency=USD","Period=FQ","BEST_FPERIOD_OVERRIDE=FQ","FILING_STATUS=MR","SCALING_FORMAT=MLN","FA_ADJUSTED=Adjusted","Sort=A","Dates=H","DateFormat=P","Fill=—","Direction=H","UseDPDF=Y")</f>
        <v>11450</v>
      </c>
      <c r="H6" s="10">
        <f>_xll.BDH("CHTR US Equity","SALES_REV_TURN","FQ4 2019","FQ4 2019","Currency=USD","Period=FQ","BEST_FPERIOD_OVERRIDE=FQ","FILING_STATUS=MR","SCALING_FORMAT=MLN","FA_ADJUSTED=Adjusted","Sort=A","Dates=H","DateFormat=P","Fill=—","Direction=H","UseDPDF=Y")</f>
        <v>11761</v>
      </c>
      <c r="I6" s="10">
        <f>_xll.BDH("CHTR US Equity","SALES_REV_TURN","FQ1 2020","FQ1 2020","Currency=USD","Period=FQ","BEST_FPERIOD_OVERRIDE=FQ","FILING_STATUS=MR","SCALING_FORMAT=MLN","FA_ADJUSTED=Adjusted","Sort=A","Dates=H","DateFormat=P","Fill=—","Direction=H","UseDPDF=Y")</f>
        <v>11738</v>
      </c>
      <c r="J6" s="10">
        <f>_xll.BDH("CHTR US Equity","SALES_REV_TURN","FQ2 2020","FQ2 2020","Currency=USD","Period=FQ","BEST_FPERIOD_OVERRIDE=FQ","FILING_STATUS=MR","SCALING_FORMAT=MLN","FA_ADJUSTED=Adjusted","Sort=A","Dates=H","DateFormat=P","Fill=—","Direction=H","UseDPDF=Y")</f>
        <v>11696</v>
      </c>
      <c r="K6" s="10">
        <v>12066.272999999999</v>
      </c>
      <c r="L6" s="10">
        <v>12462.045</v>
      </c>
    </row>
    <row r="7" spans="1:12" x14ac:dyDescent="0.35">
      <c r="A7" s="16" t="s">
        <v>168</v>
      </c>
      <c r="B7" s="16" t="s">
        <v>167</v>
      </c>
      <c r="C7" s="17">
        <f>_xll.BDH("CHTR US Equity","IS_SALES_AND_SERVICES_REVENUES","FQ3 2018","FQ3 2018","Currency=USD","Period=FQ","BEST_FPERIOD_OVERRIDE=FQ","FILING_STATUS=MR","SCALING_FORMAT=MLN","FA_ADJUSTED=Adjusted","Sort=A","Dates=H","DateFormat=P","Fill=—","Direction=H","UseDPDF=Y")</f>
        <v>9093</v>
      </c>
      <c r="D7" s="17">
        <f>_xll.BDH("CHTR US Equity","IS_SALES_AND_SERVICES_REVENUES","FQ4 2018","FQ4 2018","Currency=USD","Period=FQ","BEST_FPERIOD_OVERRIDE=FQ","FILING_STATUS=MR","SCALING_FORMAT=MLN","FA_ADJUSTED=Adjusted","Sort=A","Dates=H","DateFormat=P","Fill=—","Direction=H","UseDPDF=Y")</f>
        <v>10908</v>
      </c>
      <c r="E7" s="17">
        <f>_xll.BDH("CHTR US Equity","IS_SALES_AND_SERVICES_REVENUES","FQ1 2019","FQ1 2019","Currency=USD","Period=FQ","BEST_FPERIOD_OVERRIDE=FQ","FILING_STATUS=MR","SCALING_FORMAT=MLN","FA_ADJUSTED=Adjusted","Sort=A","Dates=H","DateFormat=P","Fill=—","Direction=H","UseDPDF=Y")</f>
        <v>9257</v>
      </c>
      <c r="F7" s="17">
        <f>_xll.BDH("CHTR US Equity","IS_SALES_AND_SERVICES_REVENUES","FQ2 2019","FQ2 2019","Currency=USD","Period=FQ","BEST_FPERIOD_OVERRIDE=FQ","FILING_STATUS=MR","SCALING_FORMAT=MLN","FA_ADJUSTED=Adjusted","Sort=A","Dates=H","DateFormat=P","Fill=—","Direction=H","UseDPDF=Y")</f>
        <v>9378</v>
      </c>
      <c r="G7" s="17">
        <f>_xll.BDH("CHTR US Equity","IS_SALES_AND_SERVICES_REVENUES","FQ3 2019","FQ3 2019","Currency=USD","Period=FQ","BEST_FPERIOD_OVERRIDE=FQ","FILING_STATUS=MR","SCALING_FORMAT=MLN","FA_ADJUSTED=Adjusted","Sort=A","Dates=H","DateFormat=P","Fill=—","Direction=H","UseDPDF=Y")</f>
        <v>9425</v>
      </c>
      <c r="H7" s="17">
        <f>_xll.BDH("CHTR US Equity","IS_SALES_AND_SERVICES_REVENUES","FQ4 2019","FQ4 2019","Currency=USD","Period=FQ","BEST_FPERIOD_OVERRIDE=FQ","FILING_STATUS=MR","SCALING_FORMAT=MLN","FA_ADJUSTED=Adjusted","Sort=A","Dates=H","DateFormat=P","Fill=—","Direction=H","UseDPDF=Y")</f>
        <v>11305</v>
      </c>
      <c r="I7" s="17">
        <f>_xll.BDH("CHTR US Equity","IS_SALES_AND_SERVICES_REVENUES","FQ1 2020","FQ1 2020","Currency=USD","Period=FQ","BEST_FPERIOD_OVERRIDE=FQ","FILING_STATUS=MR","SCALING_FORMAT=MLN","FA_ADJUSTED=Adjusted","Sort=A","Dates=H","DateFormat=P","Fill=—","Direction=H","UseDPDF=Y")</f>
        <v>9651</v>
      </c>
      <c r="J7" s="17">
        <f>_xll.BDH("CHTR US Equity","IS_SALES_AND_SERVICES_REVENUES","FQ2 2020","FQ2 2020","Currency=USD","Period=FQ","BEST_FPERIOD_OVERRIDE=FQ","FILING_STATUS=MR","SCALING_FORMAT=MLN","FA_ADJUSTED=Adjusted","Sort=A","Dates=H","DateFormat=P","Fill=—","Direction=H","UseDPDF=Y")</f>
        <v>9601</v>
      </c>
      <c r="K7" s="17"/>
      <c r="L7" s="17"/>
    </row>
    <row r="8" spans="1:12" x14ac:dyDescent="0.35">
      <c r="A8" s="16" t="s">
        <v>166</v>
      </c>
      <c r="B8" s="16" t="s">
        <v>165</v>
      </c>
      <c r="C8" s="17">
        <f>_xll.BDH("CHTR US Equity","IS_OTHER_REVENUE","FQ3 2018","FQ3 2018","Currency=USD","Period=FQ","BEST_FPERIOD_OVERRIDE=FQ","FILING_STATUS=MR","SCALING_FORMAT=MLN","FA_ADJUSTED=Adjusted","Sort=A","Dates=H","DateFormat=P","Fill=—","Direction=H","UseDPDF=Y")</f>
        <v>1799</v>
      </c>
      <c r="D8" s="17">
        <f>_xll.BDH("CHTR US Equity","IS_OTHER_REVENUE","FQ4 2018","FQ4 2018","Currency=USD","Period=FQ","BEST_FPERIOD_OVERRIDE=FQ","FILING_STATUS=MR","SCALING_FORMAT=MLN","FA_ADJUSTED=Adjusted","Sort=A","Dates=H","DateFormat=P","Fill=—","Direction=H","UseDPDF=Y")</f>
        <v>323</v>
      </c>
      <c r="E8" s="17">
        <f>_xll.BDH("CHTR US Equity","IS_OTHER_REVENUE","FQ1 2019","FQ1 2019","Currency=USD","Period=FQ","BEST_FPERIOD_OVERRIDE=FQ","FILING_STATUS=MR","SCALING_FORMAT=MLN","FA_ADJUSTED=Adjusted","Sort=A","Dates=H","DateFormat=P","Fill=—","Direction=H","UseDPDF=Y")</f>
        <v>1949</v>
      </c>
      <c r="F8" s="17">
        <f>_xll.BDH("CHTR US Equity","IS_OTHER_REVENUE","FQ2 2019","FQ2 2019","Currency=USD","Period=FQ","BEST_FPERIOD_OVERRIDE=FQ","FILING_STATUS=MR","SCALING_FORMAT=MLN","FA_ADJUSTED=Adjusted","Sort=A","Dates=H","DateFormat=P","Fill=—","Direction=H","UseDPDF=Y")</f>
        <v>1969</v>
      </c>
      <c r="G8" s="17">
        <f>_xll.BDH("CHTR US Equity","IS_OTHER_REVENUE","FQ3 2019","FQ3 2019","Currency=USD","Period=FQ","BEST_FPERIOD_OVERRIDE=FQ","FILING_STATUS=MR","SCALING_FORMAT=MLN","FA_ADJUSTED=Adjusted","Sort=A","Dates=H","DateFormat=P","Fill=—","Direction=H","UseDPDF=Y")</f>
        <v>2025</v>
      </c>
      <c r="H8" s="17">
        <f>_xll.BDH("CHTR US Equity","IS_OTHER_REVENUE","FQ4 2019","FQ4 2019","Currency=USD","Period=FQ","BEST_FPERIOD_OVERRIDE=FQ","FILING_STATUS=MR","SCALING_FORMAT=MLN","FA_ADJUSTED=Adjusted","Sort=A","Dates=H","DateFormat=P","Fill=—","Direction=H","UseDPDF=Y")</f>
        <v>456</v>
      </c>
      <c r="I8" s="17">
        <f>_xll.BDH("CHTR US Equity","IS_OTHER_REVENUE","FQ1 2020","FQ1 2020","Currency=USD","Period=FQ","BEST_FPERIOD_OVERRIDE=FQ","FILING_STATUS=MR","SCALING_FORMAT=MLN","FA_ADJUSTED=Adjusted","Sort=A","Dates=H","DateFormat=P","Fill=—","Direction=H","UseDPDF=Y")</f>
        <v>2087</v>
      </c>
      <c r="J8" s="17">
        <f>_xll.BDH("CHTR US Equity","IS_OTHER_REVENUE","FQ2 2020","FQ2 2020","Currency=USD","Period=FQ","BEST_FPERIOD_OVERRIDE=FQ","FILING_STATUS=MR","SCALING_FORMAT=MLN","FA_ADJUSTED=Adjusted","Sort=A","Dates=H","DateFormat=P","Fill=—","Direction=H","UseDPDF=Y")</f>
        <v>2095</v>
      </c>
      <c r="K8" s="17"/>
      <c r="L8" s="17"/>
    </row>
    <row r="9" spans="1:12" x14ac:dyDescent="0.35">
      <c r="A9" s="16" t="s">
        <v>164</v>
      </c>
      <c r="B9" s="16" t="s">
        <v>163</v>
      </c>
      <c r="C9" s="17">
        <f>_xll.BDH("CHTR US Equity","IS_COGS_TO_FE_AND_PP_AND_G","FQ3 2018","FQ3 2018","Currency=USD","Period=FQ","BEST_FPERIOD_OVERRIDE=FQ","FILING_STATUS=MR","SCALING_FORMAT=MLN","FA_ADJUSTED=Adjusted","Sort=A","Dates=H","DateFormat=P","Fill=—","Direction=H","UseDPDF=Y")</f>
        <v>5272</v>
      </c>
      <c r="D9" s="17">
        <f>_xll.BDH("CHTR US Equity","IS_COGS_TO_FE_AND_PP_AND_G","FQ4 2018","FQ4 2018","Currency=USD","Period=FQ","BEST_FPERIOD_OVERRIDE=FQ","FILING_STATUS=MR","SCALING_FORMAT=MLN","FA_ADJUSTED=Adjusted","Sort=A","Dates=H","DateFormat=P","Fill=—","Direction=H","UseDPDF=Y")</f>
        <v>5408</v>
      </c>
      <c r="E9" s="17">
        <f>_xll.BDH("CHTR US Equity","IS_COGS_TO_FE_AND_PP_AND_G","FQ1 2019","FQ1 2019","Currency=USD","Period=FQ","BEST_FPERIOD_OVERRIDE=FQ","FILING_STATUS=MR","SCALING_FORMAT=MLN","FA_ADJUSTED=Adjusted","Sort=A","Dates=H","DateFormat=P","Fill=—","Direction=H","UseDPDF=Y")</f>
        <v>5508</v>
      </c>
      <c r="F9" s="17">
        <f>_xll.BDH("CHTR US Equity","IS_COGS_TO_FE_AND_PP_AND_G","FQ2 2019","FQ2 2019","Currency=USD","Period=FQ","BEST_FPERIOD_OVERRIDE=FQ","FILING_STATUS=MR","SCALING_FORMAT=MLN","FA_ADJUSTED=Adjusted","Sort=A","Dates=H","DateFormat=P","Fill=—","Direction=H","UseDPDF=Y")</f>
        <v>5468</v>
      </c>
      <c r="G9" s="17">
        <f>_xll.BDH("CHTR US Equity","IS_COGS_TO_FE_AND_PP_AND_G","FQ3 2019","FQ3 2019","Currency=USD","Period=FQ","BEST_FPERIOD_OVERRIDE=FQ","FILING_STATUS=MR","SCALING_FORMAT=MLN","FA_ADJUSTED=Adjusted","Sort=A","Dates=H","DateFormat=P","Fill=—","Direction=H","UseDPDF=Y")</f>
        <v>5633</v>
      </c>
      <c r="H9" s="17">
        <f>_xll.BDH("CHTR US Equity","IS_COGS_TO_FE_AND_PP_AND_G","FQ4 2019","FQ4 2019","Currency=USD","Period=FQ","BEST_FPERIOD_OVERRIDE=FQ","FILING_STATUS=MR","SCALING_FORMAT=MLN","FA_ADJUSTED=Adjusted","Sort=A","Dates=H","DateFormat=P","Fill=—","Direction=H","UseDPDF=Y")</f>
        <v>5570</v>
      </c>
      <c r="I9" s="17">
        <f>_xll.BDH("CHTR US Equity","IS_COGS_TO_FE_AND_PP_AND_G","FQ1 2020","FQ1 2020","Currency=USD","Period=FQ","BEST_FPERIOD_OVERRIDE=FQ","FILING_STATUS=MR","SCALING_FORMAT=MLN","FA_ADJUSTED=Adjusted","Sort=A","Dates=H","DateFormat=P","Fill=—","Direction=H","UseDPDF=Y")</f>
        <v>5665</v>
      </c>
      <c r="J9" s="17">
        <f>_xll.BDH("CHTR US Equity","IS_COGS_TO_FE_AND_PP_AND_G","FQ2 2020","FQ2 2020","Currency=USD","Period=FQ","BEST_FPERIOD_OVERRIDE=FQ","FILING_STATUS=MR","SCALING_FORMAT=MLN","FA_ADJUSTED=Adjusted","Sort=A","Dates=H","DateFormat=P","Fill=—","Direction=H","UseDPDF=Y")</f>
        <v>5622</v>
      </c>
      <c r="K9" s="17"/>
      <c r="L9" s="17"/>
    </row>
    <row r="10" spans="1:12" x14ac:dyDescent="0.35">
      <c r="A10" s="16" t="s">
        <v>162</v>
      </c>
      <c r="B10" s="16" t="s">
        <v>161</v>
      </c>
      <c r="C10" s="17">
        <f>_xll.BDH("CHTR US Equity","IS_COG_AND_SERVICES_SOLD","FQ3 2018","FQ3 2018","Currency=USD","Period=FQ","BEST_FPERIOD_OVERRIDE=FQ","FILING_STATUS=MR","SCALING_FORMAT=MLN","FA_ADJUSTED=Adjusted","Sort=A","Dates=H","DateFormat=P","Fill=—","Direction=H","UseDPDF=Y")</f>
        <v>5272</v>
      </c>
      <c r="D10" s="17">
        <f>_xll.BDH("CHTR US Equity","IS_COG_AND_SERVICES_SOLD","FQ4 2018","FQ4 2018","Currency=USD","Period=FQ","BEST_FPERIOD_OVERRIDE=FQ","FILING_STATUS=MR","SCALING_FORMAT=MLN","FA_ADJUSTED=Adjusted","Sort=A","Dates=H","DateFormat=P","Fill=—","Direction=H","UseDPDF=Y")</f>
        <v>5408</v>
      </c>
      <c r="E10" s="17">
        <f>_xll.BDH("CHTR US Equity","IS_COG_AND_SERVICES_SOLD","FQ1 2019","FQ1 2019","Currency=USD","Period=FQ","BEST_FPERIOD_OVERRIDE=FQ","FILING_STATUS=MR","SCALING_FORMAT=MLN","FA_ADJUSTED=Adjusted","Sort=A","Dates=H","DateFormat=P","Fill=—","Direction=H","UseDPDF=Y")</f>
        <v>5508</v>
      </c>
      <c r="F10" s="17">
        <f>_xll.BDH("CHTR US Equity","IS_COG_AND_SERVICES_SOLD","FQ2 2019","FQ2 2019","Currency=USD","Period=FQ","BEST_FPERIOD_OVERRIDE=FQ","FILING_STATUS=MR","SCALING_FORMAT=MLN","FA_ADJUSTED=Adjusted","Sort=A","Dates=H","DateFormat=P","Fill=—","Direction=H","UseDPDF=Y")</f>
        <v>5468</v>
      </c>
      <c r="G10" s="17">
        <f>_xll.BDH("CHTR US Equity","IS_COG_AND_SERVICES_SOLD","FQ3 2019","FQ3 2019","Currency=USD","Period=FQ","BEST_FPERIOD_OVERRIDE=FQ","FILING_STATUS=MR","SCALING_FORMAT=MLN","FA_ADJUSTED=Adjusted","Sort=A","Dates=H","DateFormat=P","Fill=—","Direction=H","UseDPDF=Y")</f>
        <v>5633</v>
      </c>
      <c r="H10" s="17">
        <f>_xll.BDH("CHTR US Equity","IS_COG_AND_SERVICES_SOLD","FQ4 2019","FQ4 2019","Currency=USD","Period=FQ","BEST_FPERIOD_OVERRIDE=FQ","FILING_STATUS=MR","SCALING_FORMAT=MLN","FA_ADJUSTED=Adjusted","Sort=A","Dates=H","DateFormat=P","Fill=—","Direction=H","UseDPDF=Y")</f>
        <v>5570</v>
      </c>
      <c r="I10" s="17">
        <f>_xll.BDH("CHTR US Equity","IS_COG_AND_SERVICES_SOLD","FQ1 2020","FQ1 2020","Currency=USD","Period=FQ","BEST_FPERIOD_OVERRIDE=FQ","FILING_STATUS=MR","SCALING_FORMAT=MLN","FA_ADJUSTED=Adjusted","Sort=A","Dates=H","DateFormat=P","Fill=—","Direction=H","UseDPDF=Y")</f>
        <v>5665</v>
      </c>
      <c r="J10" s="17">
        <f>_xll.BDH("CHTR US Equity","IS_COG_AND_SERVICES_SOLD","FQ2 2020","FQ2 2020","Currency=USD","Period=FQ","BEST_FPERIOD_OVERRIDE=FQ","FILING_STATUS=MR","SCALING_FORMAT=MLN","FA_ADJUSTED=Adjusted","Sort=A","Dates=H","DateFormat=P","Fill=—","Direction=H","UseDPDF=Y")</f>
        <v>5622</v>
      </c>
      <c r="K10" s="17"/>
      <c r="L10" s="17"/>
    </row>
    <row r="11" spans="1:12" x14ac:dyDescent="0.35">
      <c r="A11" s="12" t="s">
        <v>1</v>
      </c>
      <c r="B11" s="12" t="s">
        <v>42</v>
      </c>
      <c r="C11" s="10">
        <f>_xll.BDH("CHTR US Equity","GROSS_PROFIT","FQ3 2018","FQ3 2018","Currency=USD","Period=FQ","BEST_FPERIOD_OVERRIDE=FQ","FILING_STATUS=MR","SCALING_FORMAT=MLN","FA_ADJUSTED=Adjusted","Sort=A","Dates=H","DateFormat=P","Fill=—","Direction=H","UseDPDF=Y")</f>
        <v>5620</v>
      </c>
      <c r="D11" s="10">
        <f>_xll.BDH("CHTR US Equity","GROSS_PROFIT","FQ4 2018","FQ4 2018","Currency=USD","Period=FQ","BEST_FPERIOD_OVERRIDE=FQ","FILING_STATUS=MR","SCALING_FORMAT=MLN","FA_ADJUSTED=Adjusted","Sort=A","Dates=H","DateFormat=P","Fill=—","Direction=H","UseDPDF=Y")</f>
        <v>5823</v>
      </c>
      <c r="E11" s="10">
        <f>_xll.BDH("CHTR US Equity","GROSS_PROFIT","FQ1 2019","FQ1 2019","Currency=USD","Period=FQ","BEST_FPERIOD_OVERRIDE=FQ","FILING_STATUS=MR","SCALING_FORMAT=MLN","FA_ADJUSTED=Adjusted","Sort=A","Dates=H","DateFormat=P","Fill=—","Direction=H","UseDPDF=Y")</f>
        <v>5698</v>
      </c>
      <c r="F11" s="10">
        <f>_xll.BDH("CHTR US Equity","GROSS_PROFIT","FQ2 2019","FQ2 2019","Currency=USD","Period=FQ","BEST_FPERIOD_OVERRIDE=FQ","FILING_STATUS=MR","SCALING_FORMAT=MLN","FA_ADJUSTED=Adjusted","Sort=A","Dates=H","DateFormat=P","Fill=—","Direction=H","UseDPDF=Y")</f>
        <v>5879</v>
      </c>
      <c r="G11" s="10">
        <f>_xll.BDH("CHTR US Equity","GROSS_PROFIT","FQ3 2019","FQ3 2019","Currency=USD","Period=FQ","BEST_FPERIOD_OVERRIDE=FQ","FILING_STATUS=MR","SCALING_FORMAT=MLN","FA_ADJUSTED=Adjusted","Sort=A","Dates=H","DateFormat=P","Fill=—","Direction=H","UseDPDF=Y")</f>
        <v>5817</v>
      </c>
      <c r="H11" s="10">
        <f>_xll.BDH("CHTR US Equity","GROSS_PROFIT","FQ4 2019","FQ4 2019","Currency=USD","Period=FQ","BEST_FPERIOD_OVERRIDE=FQ","FILING_STATUS=MR","SCALING_FORMAT=MLN","FA_ADJUSTED=Adjusted","Sort=A","Dates=H","DateFormat=P","Fill=—","Direction=H","UseDPDF=Y")</f>
        <v>6191</v>
      </c>
      <c r="I11" s="10">
        <f>_xll.BDH("CHTR US Equity","GROSS_PROFIT","FQ1 2020","FQ1 2020","Currency=USD","Period=FQ","BEST_FPERIOD_OVERRIDE=FQ","FILING_STATUS=MR","SCALING_FORMAT=MLN","FA_ADJUSTED=Adjusted","Sort=A","Dates=H","DateFormat=P","Fill=—","Direction=H","UseDPDF=Y")</f>
        <v>6073</v>
      </c>
      <c r="J11" s="10">
        <f>_xll.BDH("CHTR US Equity","GROSS_PROFIT","FQ2 2020","FQ2 2020","Currency=USD","Period=FQ","BEST_FPERIOD_OVERRIDE=FQ","FILING_STATUS=MR","SCALING_FORMAT=MLN","FA_ADJUSTED=Adjusted","Sort=A","Dates=H","DateFormat=P","Fill=—","Direction=H","UseDPDF=Y")</f>
        <v>6074</v>
      </c>
      <c r="K11" s="10">
        <v>7126.7028219900003</v>
      </c>
      <c r="L11" s="10">
        <v>7480.0932703500002</v>
      </c>
    </row>
    <row r="12" spans="1:12" x14ac:dyDescent="0.35">
      <c r="A12" s="16" t="s">
        <v>160</v>
      </c>
      <c r="B12" s="16" t="s">
        <v>159</v>
      </c>
      <c r="C12" s="17">
        <f>_xll.BDH("CHTR US Equity","IS_OTHER_OPER_INC","FQ3 2018","FQ3 2018","Currency=USD","Period=FQ","BEST_FPERIOD_OVERRIDE=FQ","FILING_STATUS=MR","SCALING_FORMAT=MLN","FA_ADJUSTED=Adjusted","Sort=A","Dates=H","DateFormat=P","Fill=—","Direction=H","UseDPDF=Y")</f>
        <v>0</v>
      </c>
      <c r="D12" s="17">
        <f>_xll.BDH("CHTR US Equity","IS_OTHER_OPER_INC","FQ4 2018","FQ4 2018","Currency=USD","Period=FQ","BEST_FPERIOD_OVERRIDE=FQ","FILING_STATUS=MR","SCALING_FORMAT=MLN","FA_ADJUSTED=Adjusted","Sort=A","Dates=H","DateFormat=P","Fill=—","Direction=H","UseDPDF=Y")</f>
        <v>0</v>
      </c>
      <c r="E12" s="17">
        <f>_xll.BDH("CHTR US Equity","IS_OTHER_OPER_INC","FQ1 2019","FQ1 2019","Currency=USD","Period=FQ","BEST_FPERIOD_OVERRIDE=FQ","FILING_STATUS=MR","SCALING_FORMAT=MLN","FA_ADJUSTED=Adjusted","Sort=A","Dates=H","DateFormat=P","Fill=—","Direction=H","UseDPDF=Y")</f>
        <v>0</v>
      </c>
      <c r="F12" s="17">
        <f>_xll.BDH("CHTR US Equity","IS_OTHER_OPER_INC","FQ2 2019","FQ2 2019","Currency=USD","Period=FQ","BEST_FPERIOD_OVERRIDE=FQ","FILING_STATUS=MR","SCALING_FORMAT=MLN","FA_ADJUSTED=Adjusted","Sort=A","Dates=H","DateFormat=P","Fill=—","Direction=H","UseDPDF=Y")</f>
        <v>0</v>
      </c>
      <c r="G12" s="17">
        <f>_xll.BDH("CHTR US Equity","IS_OTHER_OPER_INC","FQ3 2019","FQ3 2019","Currency=USD","Period=FQ","BEST_FPERIOD_OVERRIDE=FQ","FILING_STATUS=MR","SCALING_FORMAT=MLN","FA_ADJUSTED=Adjusted","Sort=A","Dates=H","DateFormat=P","Fill=—","Direction=H","UseDPDF=Y")</f>
        <v>0</v>
      </c>
      <c r="H12" s="17">
        <f>_xll.BDH("CHTR US Equity","IS_OTHER_OPER_INC","FQ4 2019","FQ4 2019","Currency=USD","Period=FQ","BEST_FPERIOD_OVERRIDE=FQ","FILING_STATUS=MR","SCALING_FORMAT=MLN","FA_ADJUSTED=Adjusted","Sort=A","Dates=H","DateFormat=P","Fill=—","Direction=H","UseDPDF=Y")</f>
        <v>0</v>
      </c>
      <c r="I12" s="17">
        <f>_xll.BDH("CHTR US Equity","IS_OTHER_OPER_INC","FQ1 2020","FQ1 2020","Currency=USD","Period=FQ","BEST_FPERIOD_OVERRIDE=FQ","FILING_STATUS=MR","SCALING_FORMAT=MLN","FA_ADJUSTED=Adjusted","Sort=A","Dates=H","DateFormat=P","Fill=—","Direction=H","UseDPDF=Y")</f>
        <v>0</v>
      </c>
      <c r="J12" s="17">
        <f>_xll.BDH("CHTR US Equity","IS_OTHER_OPER_INC","FQ2 2020","FQ2 2020","Currency=USD","Period=FQ","BEST_FPERIOD_OVERRIDE=FQ","FILING_STATUS=MR","SCALING_FORMAT=MLN","FA_ADJUSTED=Adjusted","Sort=A","Dates=H","DateFormat=P","Fill=—","Direction=H","UseDPDF=Y")</f>
        <v>0</v>
      </c>
      <c r="K12" s="17"/>
      <c r="L12" s="17"/>
    </row>
    <row r="13" spans="1:12" x14ac:dyDescent="0.35">
      <c r="A13" s="16" t="s">
        <v>158</v>
      </c>
      <c r="B13" s="16" t="s">
        <v>157</v>
      </c>
      <c r="C13" s="17">
        <f>_xll.BDH("CHTR US Equity","IS_OPERATING_EXPN","FQ3 2018","FQ3 2018","Currency=USD","Period=FQ","BEST_FPERIOD_OVERRIDE=FQ","FILING_STATUS=MR","SCALING_FORMAT=MLN","FA_ADJUSTED=Adjusted","Sort=A","Dates=H","DateFormat=P","Fill=—","Direction=H","UseDPDF=Y")</f>
        <v>4222</v>
      </c>
      <c r="D13" s="17">
        <f>_xll.BDH("CHTR US Equity","IS_OPERATING_EXPN","FQ4 2018","FQ4 2018","Currency=USD","Period=FQ","BEST_FPERIOD_OVERRIDE=FQ","FILING_STATUS=MR","SCALING_FORMAT=MLN","FA_ADJUSTED=Adjusted","Sort=A","Dates=H","DateFormat=P","Fill=—","Direction=H","UseDPDF=Y")</f>
        <v>4277</v>
      </c>
      <c r="E13" s="17">
        <f>_xll.BDH("CHTR US Equity","IS_OPERATING_EXPN","FQ1 2019","FQ1 2019","Currency=USD","Period=FQ","BEST_FPERIOD_OVERRIDE=FQ","FILING_STATUS=MR","SCALING_FORMAT=MLN","FA_ADJUSTED=Adjusted","Sort=A","Dates=H","DateFormat=P","Fill=—","Direction=H","UseDPDF=Y")</f>
        <v>4278</v>
      </c>
      <c r="F13" s="17">
        <f>_xll.BDH("CHTR US Equity","IS_OPERATING_EXPN","FQ2 2019","FQ2 2019","Currency=USD","Period=FQ","BEST_FPERIOD_OVERRIDE=FQ","FILING_STATUS=MR","SCALING_FORMAT=MLN","FA_ADJUSTED=Adjusted","Sort=A","Dates=H","DateFormat=P","Fill=—","Direction=H","UseDPDF=Y")</f>
        <v>4276</v>
      </c>
      <c r="G13" s="17">
        <f>_xll.BDH("CHTR US Equity","IS_OPERATING_EXPN","FQ3 2019","FQ3 2019","Currency=USD","Period=FQ","BEST_FPERIOD_OVERRIDE=FQ","FILING_STATUS=MR","SCALING_FORMAT=MLN","FA_ADJUSTED=Adjusted","Sort=A","Dates=H","DateFormat=P","Fill=—","Direction=H","UseDPDF=Y")</f>
        <v>4217</v>
      </c>
      <c r="H13" s="17">
        <f>_xll.BDH("CHTR US Equity","IS_OPERATING_EXPN","FQ4 2019","FQ4 2019","Currency=USD","Period=FQ","BEST_FPERIOD_OVERRIDE=FQ","FILING_STATUS=MR","SCALING_FORMAT=MLN","FA_ADJUSTED=Adjusted","Sort=A","Dates=H","DateFormat=P","Fill=—","Direction=H","UseDPDF=Y")</f>
        <v>4168</v>
      </c>
      <c r="I13" s="17">
        <f>_xll.BDH("CHTR US Equity","IS_OPERATING_EXPN","FQ1 2020","FQ1 2020","Currency=USD","Period=FQ","BEST_FPERIOD_OVERRIDE=FQ","FILING_STATUS=MR","SCALING_FORMAT=MLN","FA_ADJUSTED=Adjusted","Sort=A","Dates=H","DateFormat=P","Fill=—","Direction=H","UseDPDF=Y")</f>
        <v>4264</v>
      </c>
      <c r="J13" s="17">
        <f>_xll.BDH("CHTR US Equity","IS_OPERATING_EXPN","FQ2 2020","FQ2 2020","Currency=USD","Period=FQ","BEST_FPERIOD_OVERRIDE=FQ","FILING_STATUS=MR","SCALING_FORMAT=MLN","FA_ADJUSTED=Adjusted","Sort=A","Dates=H","DateFormat=P","Fill=—","Direction=H","UseDPDF=Y")</f>
        <v>4103</v>
      </c>
      <c r="K13" s="17"/>
      <c r="L13" s="17"/>
    </row>
    <row r="14" spans="1:12" x14ac:dyDescent="0.35">
      <c r="A14" s="8" t="s">
        <v>156</v>
      </c>
      <c r="B14" s="8" t="s">
        <v>155</v>
      </c>
      <c r="C14" s="9">
        <f>_xll.BDH("CHTR US Equity","IS_SELLING_EXPENSES","FQ3 2018","FQ3 2018","Currency=USD","Period=FQ","BEST_FPERIOD_OVERRIDE=FQ","FILING_STATUS=MR","SCALING_FORMAT=MLN","FA_ADJUSTED=Adjusted","Sort=A","Dates=H","DateFormat=P","Fill=—","Direction=H","UseDPDF=Y")</f>
        <v>790</v>
      </c>
      <c r="D14" s="9">
        <f>_xll.BDH("CHTR US Equity","IS_SELLING_EXPENSES","FQ4 2018","FQ4 2018","Currency=USD","Period=FQ","BEST_FPERIOD_OVERRIDE=FQ","FILING_STATUS=MR","SCALING_FORMAT=MLN","FA_ADJUSTED=Adjusted","Sort=A","Dates=H","DateFormat=P","Fill=—","Direction=H","UseDPDF=Y")</f>
        <v>732</v>
      </c>
      <c r="E14" s="9">
        <f>_xll.BDH("CHTR US Equity","IS_SELLING_EXPENSES","FQ1 2019","FQ1 2019","Currency=USD","Period=FQ","BEST_FPERIOD_OVERRIDE=FQ","FILING_STATUS=MR","SCALING_FORMAT=MLN","FA_ADJUSTED=Adjusted","Sort=A","Dates=H","DateFormat=P","Fill=—","Direction=H","UseDPDF=Y")</f>
        <v>735</v>
      </c>
      <c r="F14" s="9">
        <f>_xll.BDH("CHTR US Equity","IS_SELLING_EXPENSES","FQ2 2019","FQ2 2019","Currency=USD","Period=FQ","BEST_FPERIOD_OVERRIDE=FQ","FILING_STATUS=MR","SCALING_FORMAT=MLN","FA_ADJUSTED=Adjusted","Sort=A","Dates=H","DateFormat=P","Fill=—","Direction=H","UseDPDF=Y")</f>
        <v>768</v>
      </c>
      <c r="G14" s="9">
        <f>_xll.BDH("CHTR US Equity","IS_SELLING_EXPENSES","FQ3 2019","FQ3 2019","Currency=USD","Period=FQ","BEST_FPERIOD_OVERRIDE=FQ","FILING_STATUS=MR","SCALING_FORMAT=MLN","FA_ADJUSTED=Adjusted","Sort=A","Dates=H","DateFormat=P","Fill=—","Direction=H","UseDPDF=Y")</f>
        <v>793</v>
      </c>
      <c r="H14" s="9">
        <f>_xll.BDH("CHTR US Equity","IS_SELLING_EXPENSES","FQ4 2019","FQ4 2019","Currency=USD","Period=FQ","BEST_FPERIOD_OVERRIDE=FQ","FILING_STATUS=MR","SCALING_FORMAT=MLN","FA_ADJUSTED=Adjusted","Sort=A","Dates=H","DateFormat=P","Fill=—","Direction=H","UseDPDF=Y")</f>
        <v>748</v>
      </c>
      <c r="I14" s="9">
        <f>_xll.BDH("CHTR US Equity","IS_SELLING_EXPENSES","FQ1 2020","FQ1 2020","Currency=USD","Period=FQ","BEST_FPERIOD_OVERRIDE=FQ","FILING_STATUS=MR","SCALING_FORMAT=MLN","FA_ADJUSTED=Adjusted","Sort=A","Dates=H","DateFormat=P","Fill=—","Direction=H","UseDPDF=Y")</f>
        <v>766</v>
      </c>
      <c r="J14" s="9">
        <f>_xll.BDH("CHTR US Equity","IS_SELLING_EXPENSES","FQ2 2020","FQ2 2020","Currency=USD","Period=FQ","BEST_FPERIOD_OVERRIDE=FQ","FILING_STATUS=MR","SCALING_FORMAT=MLN","FA_ADJUSTED=Adjusted","Sort=A","Dates=H","DateFormat=P","Fill=—","Direction=H","UseDPDF=Y")</f>
        <v>719</v>
      </c>
      <c r="K14" s="9"/>
      <c r="L14" s="9"/>
    </row>
    <row r="15" spans="1:12" x14ac:dyDescent="0.35">
      <c r="A15" s="16" t="s">
        <v>154</v>
      </c>
      <c r="B15" s="16" t="s">
        <v>153</v>
      </c>
      <c r="C15" s="17" t="str">
        <f>_xll.BDH("CHTR US Equity","IS_OPEX_R&amp;D","FQ3 2018","FQ3 2018","Currency=USD","Period=FQ","BEST_FPERIOD_OVERRIDE=FQ","FILING_STATUS=MR","SCALING_FORMAT=MLN","Sort=A","Dates=H","DateFormat=P","Fill=—","Direction=H","UseDPDF=Y")</f>
        <v>—</v>
      </c>
      <c r="D15" s="17">
        <f>_xll.BDH("CHTR US Equity","IS_OPEX_R&amp;D","FQ4 2018","FQ4 2018","Currency=USD","Period=FQ","BEST_FPERIOD_OVERRIDE=FQ","FILING_STATUS=MR","SCALING_FORMAT=MLN","Sort=A","Dates=H","DateFormat=P","Fill=—","Direction=H","UseDPDF=Y")</f>
        <v>0</v>
      </c>
      <c r="E15" s="17" t="str">
        <f>_xll.BDH("CHTR US Equity","IS_OPEX_R&amp;D","FQ1 2019","FQ1 2019","Currency=USD","Period=FQ","BEST_FPERIOD_OVERRIDE=FQ","FILING_STATUS=MR","SCALING_FORMAT=MLN","Sort=A","Dates=H","DateFormat=P","Fill=—","Direction=H","UseDPDF=Y")</f>
        <v>—</v>
      </c>
      <c r="F15" s="17" t="str">
        <f>_xll.BDH("CHTR US Equity","IS_OPEX_R&amp;D","FQ2 2019","FQ2 2019","Currency=USD","Period=FQ","BEST_FPERIOD_OVERRIDE=FQ","FILING_STATUS=MR","SCALING_FORMAT=MLN","Sort=A","Dates=H","DateFormat=P","Fill=—","Direction=H","UseDPDF=Y")</f>
        <v>—</v>
      </c>
      <c r="G15" s="17" t="str">
        <f>_xll.BDH("CHTR US Equity","IS_OPEX_R&amp;D","FQ3 2019","FQ3 2019","Currency=USD","Period=FQ","BEST_FPERIOD_OVERRIDE=FQ","FILING_STATUS=MR","SCALING_FORMAT=MLN","Sort=A","Dates=H","DateFormat=P","Fill=—","Direction=H","UseDPDF=Y")</f>
        <v>—</v>
      </c>
      <c r="H15" s="17">
        <f>_xll.BDH("CHTR US Equity","IS_OPEX_R&amp;D","FQ4 2019","FQ4 2019","Currency=USD","Period=FQ","BEST_FPERIOD_OVERRIDE=FQ","FILING_STATUS=MR","SCALING_FORMAT=MLN","Sort=A","Dates=H","DateFormat=P","Fill=—","Direction=H","UseDPDF=Y")</f>
        <v>0</v>
      </c>
      <c r="I15" s="17" t="str">
        <f>_xll.BDH("CHTR US Equity","IS_OPEX_R&amp;D","FQ1 2020","FQ1 2020","Currency=USD","Period=FQ","BEST_FPERIOD_OVERRIDE=FQ","FILING_STATUS=MR","SCALING_FORMAT=MLN","Sort=A","Dates=H","DateFormat=P","Fill=—","Direction=H","UseDPDF=Y")</f>
        <v>—</v>
      </c>
      <c r="J15" s="17" t="str">
        <f>_xll.BDH("CHTR US Equity","IS_OPEX_R&amp;D","FQ2 2020","FQ2 2020","Currency=USD","Period=FQ","BEST_FPERIOD_OVERRIDE=FQ","FILING_STATUS=MR","SCALING_FORMAT=MLN","Sort=A","Dates=H","DateFormat=P","Fill=—","Direction=H","UseDPDF=Y")</f>
        <v>—</v>
      </c>
      <c r="K15" s="17"/>
      <c r="L15" s="17"/>
    </row>
    <row r="16" spans="1:12" x14ac:dyDescent="0.35">
      <c r="A16" s="16" t="s">
        <v>152</v>
      </c>
      <c r="B16" s="16" t="s">
        <v>151</v>
      </c>
      <c r="C16" s="17">
        <f>_xll.BDH("CHTR US Equity","IS_DEPRECIATION_AND_AMORTIZATION","FQ3 2018","FQ3 2018","Currency=USD","Period=FQ","BEST_FPERIOD_OVERRIDE=FQ","FILING_STATUS=MR","SCALING_FORMAT=MLN","FA_ADJUSTED=Adjusted","Sort=A","Dates=H","DateFormat=P","Fill=—","Direction=H","UseDPDF=Y")</f>
        <v>2482</v>
      </c>
      <c r="D16" s="17">
        <f>_xll.BDH("CHTR US Equity","IS_DEPRECIATION_AND_AMORTIZATION","FQ4 2018","FQ4 2018","Currency=USD","Period=FQ","BEST_FPERIOD_OVERRIDE=FQ","FILING_STATUS=MR","SCALING_FORMAT=MLN","FA_ADJUSTED=Adjusted","Sort=A","Dates=H","DateFormat=P","Fill=—","Direction=H","UseDPDF=Y")</f>
        <v>2534</v>
      </c>
      <c r="E16" s="17">
        <f>_xll.BDH("CHTR US Equity","IS_DEPRECIATION_AND_AMORTIZATION","FQ1 2019","FQ1 2019","Currency=USD","Period=FQ","BEST_FPERIOD_OVERRIDE=FQ","FILING_STATUS=MR","SCALING_FORMAT=MLN","FA_ADJUSTED=Adjusted","Sort=A","Dates=H","DateFormat=P","Fill=—","Direction=H","UseDPDF=Y")</f>
        <v>2550</v>
      </c>
      <c r="F16" s="17">
        <f>_xll.BDH("CHTR US Equity","IS_DEPRECIATION_AND_AMORTIZATION","FQ2 2019","FQ2 2019","Currency=USD","Period=FQ","BEST_FPERIOD_OVERRIDE=FQ","FILING_STATUS=MR","SCALING_FORMAT=MLN","FA_ADJUSTED=Adjusted","Sort=A","Dates=H","DateFormat=P","Fill=—","Direction=H","UseDPDF=Y")</f>
        <v>2500</v>
      </c>
      <c r="G16" s="17">
        <f>_xll.BDH("CHTR US Equity","IS_DEPRECIATION_AND_AMORTIZATION","FQ3 2019","FQ3 2019","Currency=USD","Period=FQ","BEST_FPERIOD_OVERRIDE=FQ","FILING_STATUS=MR","SCALING_FORMAT=MLN","FA_ADJUSTED=Adjusted","Sort=A","Dates=H","DateFormat=P","Fill=—","Direction=H","UseDPDF=Y")</f>
        <v>2415</v>
      </c>
      <c r="H16" s="17">
        <f>_xll.BDH("CHTR US Equity","IS_DEPRECIATION_AND_AMORTIZATION","FQ4 2019","FQ4 2019","Currency=USD","Period=FQ","BEST_FPERIOD_OVERRIDE=FQ","FILING_STATUS=MR","SCALING_FORMAT=MLN","FA_ADJUSTED=Adjusted","Sort=A","Dates=H","DateFormat=P","Fill=—","Direction=H","UseDPDF=Y")</f>
        <v>2461</v>
      </c>
      <c r="I16" s="17">
        <f>_xll.BDH("CHTR US Equity","IS_DEPRECIATION_AND_AMORTIZATION","FQ1 2020","FQ1 2020","Currency=USD","Period=FQ","BEST_FPERIOD_OVERRIDE=FQ","FILING_STATUS=MR","SCALING_FORMAT=MLN","FA_ADJUSTED=Adjusted","Sort=A","Dates=H","DateFormat=P","Fill=—","Direction=H","UseDPDF=Y")</f>
        <v>2497</v>
      </c>
      <c r="J16" s="17">
        <f>_xll.BDH("CHTR US Equity","IS_DEPRECIATION_AND_AMORTIZATION","FQ2 2020","FQ2 2020","Currency=USD","Period=FQ","BEST_FPERIOD_OVERRIDE=FQ","FILING_STATUS=MR","SCALING_FORMAT=MLN","FA_ADJUSTED=Adjusted","Sort=A","Dates=H","DateFormat=P","Fill=—","Direction=H","UseDPDF=Y")</f>
        <v>2428</v>
      </c>
      <c r="K16" s="17"/>
      <c r="L16" s="17"/>
    </row>
    <row r="17" spans="1:12" x14ac:dyDescent="0.35">
      <c r="A17" s="16" t="s">
        <v>150</v>
      </c>
      <c r="B17" s="16" t="s">
        <v>149</v>
      </c>
      <c r="C17" s="17">
        <f>_xll.BDH("CHTR US Equity","IS_OTHER_OPERATING_EXPENSES","FQ3 2018","FQ3 2018","Currency=USD","Period=FQ","BEST_FPERIOD_OVERRIDE=FQ","FILING_STATUS=MR","SCALING_FORMAT=MLN","FA_ADJUSTED=Adjusted","Sort=A","Dates=H","DateFormat=P","Fill=—","Direction=H","UseDPDF=Y")</f>
        <v>950</v>
      </c>
      <c r="D17" s="17">
        <f>_xll.BDH("CHTR US Equity","IS_OTHER_OPERATING_EXPENSES","FQ4 2018","FQ4 2018","Currency=USD","Period=FQ","BEST_FPERIOD_OVERRIDE=FQ","FILING_STATUS=MR","SCALING_FORMAT=MLN","FA_ADJUSTED=Adjusted","Sort=A","Dates=H","DateFormat=P","Fill=—","Direction=H","UseDPDF=Y")</f>
        <v>1011</v>
      </c>
      <c r="E17" s="17">
        <f>_xll.BDH("CHTR US Equity","IS_OTHER_OPERATING_EXPENSES","FQ1 2019","FQ1 2019","Currency=USD","Period=FQ","BEST_FPERIOD_OVERRIDE=FQ","FILING_STATUS=MR","SCALING_FORMAT=MLN","FA_ADJUSTED=Adjusted","Sort=A","Dates=H","DateFormat=P","Fill=—","Direction=H","UseDPDF=Y")</f>
        <v>993</v>
      </c>
      <c r="F17" s="17">
        <f>_xll.BDH("CHTR US Equity","IS_OTHER_OPERATING_EXPENSES","FQ2 2019","FQ2 2019","Currency=USD","Period=FQ","BEST_FPERIOD_OVERRIDE=FQ","FILING_STATUS=MR","SCALING_FORMAT=MLN","FA_ADJUSTED=Adjusted","Sort=A","Dates=H","DateFormat=P","Fill=—","Direction=H","UseDPDF=Y")</f>
        <v>1008</v>
      </c>
      <c r="G17" s="17">
        <f>_xll.BDH("CHTR US Equity","IS_OTHER_OPERATING_EXPENSES","FQ3 2019","FQ3 2019","Currency=USD","Period=FQ","BEST_FPERIOD_OVERRIDE=FQ","FILING_STATUS=MR","SCALING_FORMAT=MLN","FA_ADJUSTED=Adjusted","Sort=A","Dates=H","DateFormat=P","Fill=—","Direction=H","UseDPDF=Y")</f>
        <v>1009</v>
      </c>
      <c r="H17" s="17">
        <f>_xll.BDH("CHTR US Equity","IS_OTHER_OPERATING_EXPENSES","FQ4 2019","FQ4 2019","Currency=USD","Period=FQ","BEST_FPERIOD_OVERRIDE=FQ","FILING_STATUS=MR","SCALING_FORMAT=MLN","FA_ADJUSTED=Adjusted","Sort=A","Dates=H","DateFormat=P","Fill=—","Direction=H","UseDPDF=Y")</f>
        <v>959</v>
      </c>
      <c r="I17" s="17">
        <f>_xll.BDH("CHTR US Equity","IS_OTHER_OPERATING_EXPENSES","FQ1 2020","FQ1 2020","Currency=USD","Period=FQ","BEST_FPERIOD_OVERRIDE=FQ","FILING_STATUS=MR","SCALING_FORMAT=MLN","FA_ADJUSTED=Adjusted","Sort=A","Dates=H","DateFormat=P","Fill=—","Direction=H","UseDPDF=Y")</f>
        <v>1001</v>
      </c>
      <c r="J17" s="17">
        <f>_xll.BDH("CHTR US Equity","IS_OTHER_OPERATING_EXPENSES","FQ2 2020","FQ2 2020","Currency=USD","Period=FQ","BEST_FPERIOD_OVERRIDE=FQ","FILING_STATUS=MR","SCALING_FORMAT=MLN","FA_ADJUSTED=Adjusted","Sort=A","Dates=H","DateFormat=P","Fill=—","Direction=H","UseDPDF=Y")</f>
        <v>956</v>
      </c>
      <c r="K17" s="17"/>
      <c r="L17" s="17"/>
    </row>
    <row r="18" spans="1:12" x14ac:dyDescent="0.35">
      <c r="A18" s="12" t="s">
        <v>148</v>
      </c>
      <c r="B18" s="12" t="s">
        <v>147</v>
      </c>
      <c r="C18" s="10">
        <f>_xll.BDH("CHTR US Equity","IS_OPER_INC","FQ3 2018","FQ3 2018","Currency=USD","Period=FQ","BEST_FPERIOD_OVERRIDE=FQ","FILING_STATUS=MR","SCALING_FORMAT=MLN","FA_ADJUSTED=Adjusted","Sort=A","Dates=H","DateFormat=P","Fill=—","Direction=H","UseDPDF=Y")</f>
        <v>1398</v>
      </c>
      <c r="D18" s="10">
        <f>_xll.BDH("CHTR US Equity","IS_OPER_INC","FQ4 2018","FQ4 2018","Currency=USD","Period=FQ","BEST_FPERIOD_OVERRIDE=FQ","FILING_STATUS=MR","SCALING_FORMAT=MLN","FA_ADJUSTED=Adjusted","Sort=A","Dates=H","DateFormat=P","Fill=—","Direction=H","UseDPDF=Y")</f>
        <v>1546</v>
      </c>
      <c r="E18" s="10">
        <f>_xll.BDH("CHTR US Equity","IS_OPER_INC","FQ1 2019","FQ1 2019","Currency=USD","Period=FQ","BEST_FPERIOD_OVERRIDE=FQ","FILING_STATUS=MR","SCALING_FORMAT=MLN","FA_ADJUSTED=Adjusted","Sort=A","Dates=H","DateFormat=P","Fill=—","Direction=H","UseDPDF=Y")</f>
        <v>1420</v>
      </c>
      <c r="F18" s="10">
        <f>_xll.BDH("CHTR US Equity","IS_OPER_INC","FQ2 2019","FQ2 2019","Currency=USD","Period=FQ","BEST_FPERIOD_OVERRIDE=FQ","FILING_STATUS=MR","SCALING_FORMAT=MLN","FA_ADJUSTED=Adjusted","Sort=A","Dates=H","DateFormat=P","Fill=—","Direction=H","UseDPDF=Y")</f>
        <v>1603</v>
      </c>
      <c r="G18" s="10">
        <f>_xll.BDH("CHTR US Equity","IS_OPER_INC","FQ3 2019","FQ3 2019","Currency=USD","Period=FQ","BEST_FPERIOD_OVERRIDE=FQ","FILING_STATUS=MR","SCALING_FORMAT=MLN","FA_ADJUSTED=Adjusted","Sort=A","Dates=H","DateFormat=P","Fill=—","Direction=H","UseDPDF=Y")</f>
        <v>1600</v>
      </c>
      <c r="H18" s="10">
        <f>_xll.BDH("CHTR US Equity","IS_OPER_INC","FQ4 2019","FQ4 2019","Currency=USD","Period=FQ","BEST_FPERIOD_OVERRIDE=FQ","FILING_STATUS=MR","SCALING_FORMAT=MLN","FA_ADJUSTED=Adjusted","Sort=A","Dates=H","DateFormat=P","Fill=—","Direction=H","UseDPDF=Y")</f>
        <v>2023</v>
      </c>
      <c r="I18" s="10">
        <f>_xll.BDH("CHTR US Equity","IS_OPER_INC","FQ1 2020","FQ1 2020","Currency=USD","Period=FQ","BEST_FPERIOD_OVERRIDE=FQ","FILING_STATUS=MR","SCALING_FORMAT=MLN","FA_ADJUSTED=Adjusted","Sort=A","Dates=H","DateFormat=P","Fill=—","Direction=H","UseDPDF=Y")</f>
        <v>1809</v>
      </c>
      <c r="J18" s="10">
        <f>_xll.BDH("CHTR US Equity","IS_OPER_INC","FQ2 2020","FQ2 2020","Currency=USD","Period=FQ","BEST_FPERIOD_OVERRIDE=FQ","FILING_STATUS=MR","SCALING_FORMAT=MLN","FA_ADJUSTED=Adjusted","Sort=A","Dates=H","DateFormat=P","Fill=—","Direction=H","UseDPDF=Y")</f>
        <v>1971</v>
      </c>
      <c r="K18" s="10">
        <v>1870.556</v>
      </c>
      <c r="L18" s="10">
        <v>2266.8890000000001</v>
      </c>
    </row>
    <row r="19" spans="1:12" x14ac:dyDescent="0.35">
      <c r="A19" s="16" t="s">
        <v>146</v>
      </c>
      <c r="B19" s="16" t="s">
        <v>145</v>
      </c>
      <c r="C19" s="17">
        <f>_xll.BDH("CHTR US Equity","IS_NONOP_INCOME_LOSS","FQ3 2018","FQ3 2018","Currency=USD","Period=FQ","BEST_FPERIOD_OVERRIDE=FQ","FILING_STATUS=MR","SCALING_FORMAT=MLN","FA_ADJUSTED=Adjusted","Sort=A","Dates=H","DateFormat=P","Fill=—","Direction=H","UseDPDF=Y")</f>
        <v>699</v>
      </c>
      <c r="D19" s="17">
        <f>_xll.BDH("CHTR US Equity","IS_NONOP_INCOME_LOSS","FQ4 2018","FQ4 2018","Currency=USD","Period=FQ","BEST_FPERIOD_OVERRIDE=FQ","FILING_STATUS=MR","SCALING_FORMAT=MLN","FA_ADJUSTED=Adjusted","Sort=A","Dates=H","DateFormat=P","Fill=—","Direction=H","UseDPDF=Y")</f>
        <v>967</v>
      </c>
      <c r="E19" s="17">
        <f>_xll.BDH("CHTR US Equity","IS_NONOP_INCOME_LOSS","FQ1 2019","FQ1 2019","Currency=USD","Period=FQ","BEST_FPERIOD_OVERRIDE=FQ","FILING_STATUS=MR","SCALING_FORMAT=MLN","FA_ADJUSTED=Adjusted","Sort=A","Dates=H","DateFormat=P","Fill=—","Direction=H","UseDPDF=Y")</f>
        <v>952</v>
      </c>
      <c r="F19" s="17">
        <f>_xll.BDH("CHTR US Equity","IS_NONOP_INCOME_LOSS","FQ2 2019","FQ2 2019","Currency=USD","Period=FQ","BEST_FPERIOD_OVERRIDE=FQ","FILING_STATUS=MR","SCALING_FORMAT=MLN","FA_ADJUSTED=Adjusted","Sort=A","Dates=H","DateFormat=P","Fill=—","Direction=H","UseDPDF=Y")</f>
        <v>952</v>
      </c>
      <c r="G19" s="17">
        <f>_xll.BDH("CHTR US Equity","IS_NONOP_INCOME_LOSS","FQ3 2019","FQ3 2019","Currency=USD","Period=FQ","BEST_FPERIOD_OVERRIDE=FQ","FILING_STATUS=MR","SCALING_FORMAT=MLN","FA_ADJUSTED=Adjusted","Sort=A","Dates=H","DateFormat=P","Fill=—","Direction=H","UseDPDF=Y")</f>
        <v>1027</v>
      </c>
      <c r="H19" s="17">
        <f>_xll.BDH("CHTR US Equity","IS_NONOP_INCOME_LOSS","FQ4 2019","FQ4 2019","Currency=USD","Period=FQ","BEST_FPERIOD_OVERRIDE=FQ","FILING_STATUS=MR","SCALING_FORMAT=MLN","FA_ADJUSTED=Adjusted","Sort=A","Dates=H","DateFormat=P","Fill=—","Direction=H","UseDPDF=Y")</f>
        <v>1064</v>
      </c>
      <c r="I19" s="17">
        <f>_xll.BDH("CHTR US Equity","IS_NONOP_INCOME_LOSS","FQ1 2020","FQ1 2020","Currency=USD","Period=FQ","BEST_FPERIOD_OVERRIDE=FQ","FILING_STATUS=MR","SCALING_FORMAT=MLN","FA_ADJUSTED=Adjusted","Sort=A","Dates=H","DateFormat=P","Fill=—","Direction=H","UseDPDF=Y")</f>
        <v>961</v>
      </c>
      <c r="J19" s="17">
        <f>_xll.BDH("CHTR US Equity","IS_NONOP_INCOME_LOSS","FQ2 2020","FQ2 2020","Currency=USD","Period=FQ","BEST_FPERIOD_OVERRIDE=FQ","FILING_STATUS=MR","SCALING_FORMAT=MLN","FA_ADJUSTED=Adjusted","Sort=A","Dates=H","DateFormat=P","Fill=—","Direction=H","UseDPDF=Y")</f>
        <v>991</v>
      </c>
      <c r="K19" s="17"/>
      <c r="L19" s="17"/>
    </row>
    <row r="20" spans="1:12" x14ac:dyDescent="0.35">
      <c r="A20" s="16" t="s">
        <v>144</v>
      </c>
      <c r="B20" s="16" t="s">
        <v>143</v>
      </c>
      <c r="C20" s="17">
        <f>_xll.BDH("CHTR US Equity","IS_NET_INTEREST_EXPENSE","FQ3 2018","FQ3 2018","Currency=USD","Period=FQ","BEST_FPERIOD_OVERRIDE=FQ","FILING_STATUS=MR","SCALING_FORMAT=MLN","FA_ADJUSTED=Adjusted","Sort=A","Dates=H","DateFormat=P","Fill=—","Direction=H","UseDPDF=Y")</f>
        <v>901</v>
      </c>
      <c r="D20" s="17">
        <f>_xll.BDH("CHTR US Equity","IS_NET_INTEREST_EXPENSE","FQ4 2018","FQ4 2018","Currency=USD","Period=FQ","BEST_FPERIOD_OVERRIDE=FQ","FILING_STATUS=MR","SCALING_FORMAT=MLN","FA_ADJUSTED=Adjusted","Sort=A","Dates=H","DateFormat=P","Fill=—","Direction=H","UseDPDF=Y")</f>
        <v>910</v>
      </c>
      <c r="E20" s="17">
        <f>_xll.BDH("CHTR US Equity","IS_NET_INTEREST_EXPENSE","FQ1 2019","FQ1 2019","Currency=USD","Period=FQ","BEST_FPERIOD_OVERRIDE=FQ","FILING_STATUS=MR","SCALING_FORMAT=MLN","FA_ADJUSTED=Adjusted","Sort=A","Dates=H","DateFormat=P","Fill=—","Direction=H","UseDPDF=Y")</f>
        <v>925</v>
      </c>
      <c r="F20" s="17">
        <f>_xll.BDH("CHTR US Equity","IS_NET_INTEREST_EXPENSE","FQ2 2019","FQ2 2019","Currency=USD","Period=FQ","BEST_FPERIOD_OVERRIDE=FQ","FILING_STATUS=MR","SCALING_FORMAT=MLN","FA_ADJUSTED=Adjusted","Sort=A","Dates=H","DateFormat=P","Fill=—","Direction=H","UseDPDF=Y")</f>
        <v>945</v>
      </c>
      <c r="G20" s="17">
        <f>_xll.BDH("CHTR US Equity","IS_NET_INTEREST_EXPENSE","FQ3 2019","FQ3 2019","Currency=USD","Period=FQ","BEST_FPERIOD_OVERRIDE=FQ","FILING_STATUS=MR","SCALING_FORMAT=MLN","FA_ADJUSTED=Adjusted","Sort=A","Dates=H","DateFormat=P","Fill=—","Direction=H","UseDPDF=Y")</f>
        <v>963</v>
      </c>
      <c r="H20" s="17">
        <f>_xll.BDH("CHTR US Equity","IS_NET_INTEREST_EXPENSE","FQ4 2019","FQ4 2019","Currency=USD","Period=FQ","BEST_FPERIOD_OVERRIDE=FQ","FILING_STATUS=MR","SCALING_FORMAT=MLN","FA_ADJUSTED=Adjusted","Sort=A","Dates=H","DateFormat=P","Fill=—","Direction=H","UseDPDF=Y")</f>
        <v>964</v>
      </c>
      <c r="I20" s="17">
        <f>_xll.BDH("CHTR US Equity","IS_NET_INTEREST_EXPENSE","FQ1 2020","FQ1 2020","Currency=USD","Period=FQ","BEST_FPERIOD_OVERRIDE=FQ","FILING_STATUS=MR","SCALING_FORMAT=MLN","FA_ADJUSTED=Adjusted","Sort=A","Dates=H","DateFormat=P","Fill=—","Direction=H","UseDPDF=Y")</f>
        <v>980</v>
      </c>
      <c r="J20" s="17">
        <f>_xll.BDH("CHTR US Equity","IS_NET_INTEREST_EXPENSE","FQ2 2020","FQ2 2020","Currency=USD","Period=FQ","BEST_FPERIOD_OVERRIDE=FQ","FILING_STATUS=MR","SCALING_FORMAT=MLN","FA_ADJUSTED=Adjusted","Sort=A","Dates=H","DateFormat=P","Fill=—","Direction=H","UseDPDF=Y")</f>
        <v>957</v>
      </c>
      <c r="K20" s="17"/>
      <c r="L20" s="17"/>
    </row>
    <row r="21" spans="1:12" x14ac:dyDescent="0.35">
      <c r="A21" s="8" t="s">
        <v>142</v>
      </c>
      <c r="B21" s="8" t="s">
        <v>141</v>
      </c>
      <c r="C21" s="9">
        <f>_xll.BDH("CHTR US Equity","IS_INT_EXPENSE","FQ3 2018","FQ3 2018","Currency=USD","Period=FQ","BEST_FPERIOD_OVERRIDE=FQ","FILING_STATUS=MR","SCALING_FORMAT=MLN","FA_ADJUSTED=Adjusted","Sort=A","Dates=H","DateFormat=P","Fill=—","Direction=H","UseDPDF=Y")</f>
        <v>901</v>
      </c>
      <c r="D21" s="9">
        <f>_xll.BDH("CHTR US Equity","IS_INT_EXPENSE","FQ4 2018","FQ4 2018","Currency=USD","Period=FQ","BEST_FPERIOD_OVERRIDE=FQ","FILING_STATUS=MR","SCALING_FORMAT=MLN","FA_ADJUSTED=Adjusted","Sort=A","Dates=H","DateFormat=P","Fill=—","Direction=H","UseDPDF=Y")</f>
        <v>910</v>
      </c>
      <c r="E21" s="9">
        <f>_xll.BDH("CHTR US Equity","IS_INT_EXPENSE","FQ1 2019","FQ1 2019","Currency=USD","Period=FQ","BEST_FPERIOD_OVERRIDE=FQ","FILING_STATUS=MR","SCALING_FORMAT=MLN","FA_ADJUSTED=Adjusted","Sort=A","Dates=H","DateFormat=P","Fill=—","Direction=H","UseDPDF=Y")</f>
        <v>925</v>
      </c>
      <c r="F21" s="9">
        <f>_xll.BDH("CHTR US Equity","IS_INT_EXPENSE","FQ2 2019","FQ2 2019","Currency=USD","Period=FQ","BEST_FPERIOD_OVERRIDE=FQ","FILING_STATUS=MR","SCALING_FORMAT=MLN","FA_ADJUSTED=Adjusted","Sort=A","Dates=H","DateFormat=P","Fill=—","Direction=H","UseDPDF=Y")</f>
        <v>945</v>
      </c>
      <c r="G21" s="9">
        <f>_xll.BDH("CHTR US Equity","IS_INT_EXPENSE","FQ3 2019","FQ3 2019","Currency=USD","Period=FQ","BEST_FPERIOD_OVERRIDE=FQ","FILING_STATUS=MR","SCALING_FORMAT=MLN","FA_ADJUSTED=Adjusted","Sort=A","Dates=H","DateFormat=P","Fill=—","Direction=H","UseDPDF=Y")</f>
        <v>963</v>
      </c>
      <c r="H21" s="9">
        <f>_xll.BDH("CHTR US Equity","IS_INT_EXPENSE","FQ4 2019","FQ4 2019","Currency=USD","Period=FQ","BEST_FPERIOD_OVERRIDE=FQ","FILING_STATUS=MR","SCALING_FORMAT=MLN","FA_ADJUSTED=Adjusted","Sort=A","Dates=H","DateFormat=P","Fill=—","Direction=H","UseDPDF=Y")</f>
        <v>964</v>
      </c>
      <c r="I21" s="9">
        <f>_xll.BDH("CHTR US Equity","IS_INT_EXPENSE","FQ1 2020","FQ1 2020","Currency=USD","Period=FQ","BEST_FPERIOD_OVERRIDE=FQ","FILING_STATUS=MR","SCALING_FORMAT=MLN","FA_ADJUSTED=Adjusted","Sort=A","Dates=H","DateFormat=P","Fill=—","Direction=H","UseDPDF=Y")</f>
        <v>980</v>
      </c>
      <c r="J21" s="9">
        <f>_xll.BDH("CHTR US Equity","IS_INT_EXPENSE","FQ2 2020","FQ2 2020","Currency=USD","Period=FQ","BEST_FPERIOD_OVERRIDE=FQ","FILING_STATUS=MR","SCALING_FORMAT=MLN","FA_ADJUSTED=Adjusted","Sort=A","Dates=H","DateFormat=P","Fill=—","Direction=H","UseDPDF=Y")</f>
        <v>957</v>
      </c>
      <c r="K21" s="9"/>
      <c r="L21" s="9"/>
    </row>
    <row r="22" spans="1:12" x14ac:dyDescent="0.35">
      <c r="A22" s="8" t="s">
        <v>140</v>
      </c>
      <c r="B22" s="8" t="s">
        <v>139</v>
      </c>
      <c r="C22" s="9">
        <f>_xll.BDH("CHTR US Equity","IS_INT_INC","FQ3 2018","FQ3 2018","Currency=USD","Period=FQ","BEST_FPERIOD_OVERRIDE=FQ","FILING_STATUS=MR","SCALING_FORMAT=MLN","FA_ADJUSTED=Adjusted","Sort=A","Dates=H","DateFormat=P","Fill=—","Direction=H","UseDPDF=Y")</f>
        <v>0</v>
      </c>
      <c r="D22" s="9">
        <f>_xll.BDH("CHTR US Equity","IS_INT_INC","FQ4 2018","FQ4 2018","Currency=USD","Period=FQ","BEST_FPERIOD_OVERRIDE=FQ","FILING_STATUS=MR","SCALING_FORMAT=MLN","FA_ADJUSTED=Adjusted","Sort=A","Dates=H","DateFormat=P","Fill=—","Direction=H","UseDPDF=Y")</f>
        <v>0</v>
      </c>
      <c r="E22" s="9">
        <f>_xll.BDH("CHTR US Equity","IS_INT_INC","FQ1 2019","FQ1 2019","Currency=USD","Period=FQ","BEST_FPERIOD_OVERRIDE=FQ","FILING_STATUS=MR","SCALING_FORMAT=MLN","FA_ADJUSTED=Adjusted","Sort=A","Dates=H","DateFormat=P","Fill=—","Direction=H","UseDPDF=Y")</f>
        <v>0</v>
      </c>
      <c r="F22" s="9">
        <f>_xll.BDH("CHTR US Equity","IS_INT_INC","FQ2 2019","FQ2 2019","Currency=USD","Period=FQ","BEST_FPERIOD_OVERRIDE=FQ","FILING_STATUS=MR","SCALING_FORMAT=MLN","FA_ADJUSTED=Adjusted","Sort=A","Dates=H","DateFormat=P","Fill=—","Direction=H","UseDPDF=Y")</f>
        <v>0</v>
      </c>
      <c r="G22" s="9">
        <f>_xll.BDH("CHTR US Equity","IS_INT_INC","FQ3 2019","FQ3 2019","Currency=USD","Period=FQ","BEST_FPERIOD_OVERRIDE=FQ","FILING_STATUS=MR","SCALING_FORMAT=MLN","FA_ADJUSTED=Adjusted","Sort=A","Dates=H","DateFormat=P","Fill=—","Direction=H","UseDPDF=Y")</f>
        <v>0</v>
      </c>
      <c r="H22" s="9">
        <f>_xll.BDH("CHTR US Equity","IS_INT_INC","FQ4 2019","FQ4 2019","Currency=USD","Period=FQ","BEST_FPERIOD_OVERRIDE=FQ","FILING_STATUS=MR","SCALING_FORMAT=MLN","FA_ADJUSTED=Adjusted","Sort=A","Dates=H","DateFormat=P","Fill=—","Direction=H","UseDPDF=Y")</f>
        <v>0</v>
      </c>
      <c r="I22" s="9">
        <f>_xll.BDH("CHTR US Equity","IS_INT_INC","FQ1 2020","FQ1 2020","Currency=USD","Period=FQ","BEST_FPERIOD_OVERRIDE=FQ","FILING_STATUS=MR","SCALING_FORMAT=MLN","FA_ADJUSTED=Adjusted","Sort=A","Dates=H","DateFormat=P","Fill=—","Direction=H","UseDPDF=Y")</f>
        <v>0</v>
      </c>
      <c r="J22" s="9">
        <f>_xll.BDH("CHTR US Equity","IS_INT_INC","FQ2 2020","FQ2 2020","Currency=USD","Period=FQ","BEST_FPERIOD_OVERRIDE=FQ","FILING_STATUS=MR","SCALING_FORMAT=MLN","FA_ADJUSTED=Adjusted","Sort=A","Dates=H","DateFormat=P","Fill=—","Direction=H","UseDPDF=Y")</f>
        <v>0</v>
      </c>
      <c r="K22" s="9"/>
      <c r="L22" s="9"/>
    </row>
    <row r="23" spans="1:12" x14ac:dyDescent="0.35">
      <c r="A23" s="16" t="s">
        <v>138</v>
      </c>
      <c r="B23" s="16" t="s">
        <v>137</v>
      </c>
      <c r="C23" s="17">
        <f>_xll.BDH("CHTR US Equity","IS_OTHER_NON_OPERATING_INC_LOSS","FQ3 2018","FQ3 2018","Currency=USD","Period=FQ","BEST_FPERIOD_OVERRIDE=FQ","FILING_STATUS=MR","SCALING_FORMAT=MLN","FA_ADJUSTED=Adjusted","Sort=A","Dates=H","DateFormat=P","Fill=—","Direction=H","UseDPDF=Y")</f>
        <v>-202</v>
      </c>
      <c r="D23" s="17">
        <f>_xll.BDH("CHTR US Equity","IS_OTHER_NON_OPERATING_INC_LOSS","FQ4 2018","FQ4 2018","Currency=USD","Period=FQ","BEST_FPERIOD_OVERRIDE=FQ","FILING_STATUS=MR","SCALING_FORMAT=MLN","FA_ADJUSTED=Adjusted","Sort=A","Dates=H","DateFormat=P","Fill=—","Direction=H","UseDPDF=Y")</f>
        <v>57</v>
      </c>
      <c r="E23" s="17">
        <f>_xll.BDH("CHTR US Equity","IS_OTHER_NON_OPERATING_INC_LOSS","FQ1 2019","FQ1 2019","Currency=USD","Period=FQ","BEST_FPERIOD_OVERRIDE=FQ","FILING_STATUS=MR","SCALING_FORMAT=MLN","FA_ADJUSTED=Adjusted","Sort=A","Dates=H","DateFormat=P","Fill=—","Direction=H","UseDPDF=Y")</f>
        <v>27</v>
      </c>
      <c r="F23" s="17">
        <f>_xll.BDH("CHTR US Equity","IS_OTHER_NON_OPERATING_INC_LOSS","FQ2 2019","FQ2 2019","Currency=USD","Period=FQ","BEST_FPERIOD_OVERRIDE=FQ","FILING_STATUS=MR","SCALING_FORMAT=MLN","FA_ADJUSTED=Adjusted","Sort=A","Dates=H","DateFormat=P","Fill=—","Direction=H","UseDPDF=Y")</f>
        <v>7</v>
      </c>
      <c r="G23" s="17">
        <f>_xll.BDH("CHTR US Equity","IS_OTHER_NON_OPERATING_INC_LOSS","FQ3 2019","FQ3 2019","Currency=USD","Period=FQ","BEST_FPERIOD_OVERRIDE=FQ","FILING_STATUS=MR","SCALING_FORMAT=MLN","FA_ADJUSTED=Adjusted","Sort=A","Dates=H","DateFormat=P","Fill=—","Direction=H","UseDPDF=Y")</f>
        <v>64</v>
      </c>
      <c r="H23" s="17">
        <f>_xll.BDH("CHTR US Equity","IS_OTHER_NON_OPERATING_INC_LOSS","FQ4 2019","FQ4 2019","Currency=USD","Period=FQ","BEST_FPERIOD_OVERRIDE=FQ","FILING_STATUS=MR","SCALING_FORMAT=MLN","FA_ADJUSTED=Adjusted","Sort=A","Dates=H","DateFormat=P","Fill=—","Direction=H","UseDPDF=Y")</f>
        <v>100</v>
      </c>
      <c r="I23" s="17">
        <f>_xll.BDH("CHTR US Equity","IS_OTHER_NON_OPERATING_INC_LOSS","FQ1 2020","FQ1 2020","Currency=USD","Period=FQ","BEST_FPERIOD_OVERRIDE=FQ","FILING_STATUS=MR","SCALING_FORMAT=MLN","FA_ADJUSTED=Adjusted","Sort=A","Dates=H","DateFormat=P","Fill=—","Direction=H","UseDPDF=Y")</f>
        <v>-19</v>
      </c>
      <c r="J23" s="17">
        <f>_xll.BDH("CHTR US Equity","IS_OTHER_NON_OPERATING_INC_LOSS","FQ2 2020","FQ2 2020","Currency=USD","Period=FQ","BEST_FPERIOD_OVERRIDE=FQ","FILING_STATUS=MR","SCALING_FORMAT=MLN","FA_ADJUSTED=Adjusted","Sort=A","Dates=H","DateFormat=P","Fill=—","Direction=H","UseDPDF=Y")</f>
        <v>34</v>
      </c>
      <c r="K23" s="17"/>
      <c r="L23" s="17"/>
    </row>
    <row r="24" spans="1:12" x14ac:dyDescent="0.35">
      <c r="A24" s="12" t="s">
        <v>136</v>
      </c>
      <c r="B24" s="12" t="s">
        <v>120</v>
      </c>
      <c r="C24" s="10">
        <f>_xll.BDH("CHTR US Equity","PRETAX_INC","FQ3 2018","FQ3 2018","Currency=USD","Period=FQ","BEST_FPERIOD_OVERRIDE=FQ","FILING_STATUS=MR","SCALING_FORMAT=MLN","FA_ADJUSTED=Adjusted","Sort=A","Dates=H","DateFormat=P","Fill=—","Direction=H","UseDPDF=Y")</f>
        <v>699</v>
      </c>
      <c r="D24" s="10">
        <f>_xll.BDH("CHTR US Equity","PRETAX_INC","FQ4 2018","FQ4 2018","Currency=USD","Period=FQ","BEST_FPERIOD_OVERRIDE=FQ","FILING_STATUS=MR","SCALING_FORMAT=MLN","FA_ADJUSTED=Adjusted","Sort=A","Dates=H","DateFormat=P","Fill=—","Direction=H","UseDPDF=Y")</f>
        <v>579</v>
      </c>
      <c r="E24" s="10">
        <f>_xll.BDH("CHTR US Equity","PRETAX_INC","FQ1 2019","FQ1 2019","Currency=USD","Period=FQ","BEST_FPERIOD_OVERRIDE=FQ","FILING_STATUS=MR","SCALING_FORMAT=MLN","FA_ADJUSTED=Adjusted","Sort=A","Dates=H","DateFormat=P","Fill=—","Direction=H","UseDPDF=Y")</f>
        <v>468</v>
      </c>
      <c r="F24" s="10">
        <f>_xll.BDH("CHTR US Equity","PRETAX_INC","FQ2 2019","FQ2 2019","Currency=USD","Period=FQ","BEST_FPERIOD_OVERRIDE=FQ","FILING_STATUS=MR","SCALING_FORMAT=MLN","FA_ADJUSTED=Adjusted","Sort=A","Dates=H","DateFormat=P","Fill=—","Direction=H","UseDPDF=Y")</f>
        <v>651</v>
      </c>
      <c r="G24" s="10">
        <f>_xll.BDH("CHTR US Equity","PRETAX_INC","FQ3 2019","FQ3 2019","Currency=USD","Period=FQ","BEST_FPERIOD_OVERRIDE=FQ","FILING_STATUS=MR","SCALING_FORMAT=MLN","FA_ADJUSTED=Adjusted","Sort=A","Dates=H","DateFormat=P","Fill=—","Direction=H","UseDPDF=Y")</f>
        <v>573</v>
      </c>
      <c r="H24" s="10">
        <f>_xll.BDH("CHTR US Equity","PRETAX_INC","FQ4 2019","FQ4 2019","Currency=USD","Period=FQ","BEST_FPERIOD_OVERRIDE=FQ","FILING_STATUS=MR","SCALING_FORMAT=MLN","FA_ADJUSTED=Adjusted","Sort=A","Dates=H","DateFormat=P","Fill=—","Direction=H","UseDPDF=Y")</f>
        <v>959</v>
      </c>
      <c r="I24" s="10">
        <f>_xll.BDH("CHTR US Equity","PRETAX_INC","FQ1 2020","FQ1 2020","Currency=USD","Period=FQ","BEST_FPERIOD_OVERRIDE=FQ","FILING_STATUS=MR","SCALING_FORMAT=MLN","FA_ADJUSTED=Adjusted","Sort=A","Dates=H","DateFormat=P","Fill=—","Direction=H","UseDPDF=Y")</f>
        <v>848</v>
      </c>
      <c r="J24" s="10">
        <f>_xll.BDH("CHTR US Equity","PRETAX_INC","FQ2 2020","FQ2 2020","Currency=USD","Period=FQ","BEST_FPERIOD_OVERRIDE=FQ","FILING_STATUS=MR","SCALING_FORMAT=MLN","FA_ADJUSTED=Adjusted","Sort=A","Dates=H","DateFormat=P","Fill=—","Direction=H","UseDPDF=Y")</f>
        <v>980</v>
      </c>
      <c r="K24" s="10">
        <v>949.2</v>
      </c>
      <c r="L24" s="10">
        <v>1328.65</v>
      </c>
    </row>
    <row r="25" spans="1:12" x14ac:dyDescent="0.35">
      <c r="A25" s="16" t="s">
        <v>135</v>
      </c>
      <c r="B25" s="16" t="s">
        <v>134</v>
      </c>
      <c r="C25" s="17">
        <f>_xll.BDH("CHTR US Equity","IS_ABNORMAL_ITEM","FQ3 2018","FQ3 2018","Currency=USD","Period=FQ","BEST_FPERIOD_OVERRIDE=FQ","FILING_STATUS=MR","SCALING_FORMAT=MLN","Sort=A","Dates=H","DateFormat=P","Fill=—","Direction=H","UseDPDF=Y")</f>
        <v>6</v>
      </c>
      <c r="D25" s="17">
        <f>_xll.BDH("CHTR US Equity","IS_ABNORMAL_ITEM","FQ4 2018","FQ4 2018","Currency=USD","Period=FQ","BEST_FPERIOD_OVERRIDE=FQ","FILING_STATUS=MR","SCALING_FORMAT=MLN","Sort=A","Dates=H","DateFormat=P","Fill=—","Direction=H","UseDPDF=Y")</f>
        <v>217</v>
      </c>
      <c r="E25" s="17">
        <f>_xll.BDH("CHTR US Equity","IS_ABNORMAL_ITEM","FQ1 2019","FQ1 2019","Currency=USD","Period=FQ","BEST_FPERIOD_OVERRIDE=FQ","FILING_STATUS=MR","SCALING_FORMAT=MLN","Sort=A","Dates=H","DateFormat=P","Fill=—","Direction=H","UseDPDF=Y")</f>
        <v>32</v>
      </c>
      <c r="F25" s="17">
        <f>_xll.BDH("CHTR US Equity","IS_ABNORMAL_ITEM","FQ2 2019","FQ2 2019","Currency=USD","Period=FQ","BEST_FPERIOD_OVERRIDE=FQ","FILING_STATUS=MR","SCALING_FORMAT=MLN","Sort=A","Dates=H","DateFormat=P","Fill=—","Direction=H","UseDPDF=Y")</f>
        <v>181</v>
      </c>
      <c r="G25" s="17">
        <f>_xll.BDH("CHTR US Equity","IS_ABNORMAL_ITEM","FQ3 2019","FQ3 2019","Currency=USD","Period=FQ","BEST_FPERIOD_OVERRIDE=FQ","FILING_STATUS=MR","SCALING_FORMAT=MLN","Sort=A","Dates=H","DateFormat=P","Fill=—","Direction=H","UseDPDF=Y")</f>
        <v>-20</v>
      </c>
      <c r="H25" s="17">
        <f>_xll.BDH("CHTR US Equity","IS_ABNORMAL_ITEM","FQ4 2019","FQ4 2019","Currency=USD","Period=FQ","BEST_FPERIOD_OVERRIDE=FQ","FILING_STATUS=MR","SCALING_FORMAT=MLN","Sort=A","Dates=H","DateFormat=P","Fill=—","Direction=H","UseDPDF=Y")</f>
        <v>27</v>
      </c>
      <c r="I25" s="17">
        <f>_xll.BDH("CHTR US Equity","IS_ABNORMAL_ITEM","FQ1 2020","FQ1 2020","Currency=USD","Period=FQ","BEST_FPERIOD_OVERRIDE=FQ","FILING_STATUS=MR","SCALING_FORMAT=MLN","Sort=A","Dates=H","DateFormat=P","Fill=—","Direction=H","UseDPDF=Y")</f>
        <v>352</v>
      </c>
      <c r="J25" s="17">
        <f>_xll.BDH("CHTR US Equity","IS_ABNORMAL_ITEM","FQ2 2020","FQ2 2020","Currency=USD","Period=FQ","BEST_FPERIOD_OVERRIDE=FQ","FILING_STATUS=MR","SCALING_FORMAT=MLN","Sort=A","Dates=H","DateFormat=P","Fill=—","Direction=H","UseDPDF=Y")</f>
        <v>-62</v>
      </c>
      <c r="K25" s="17"/>
      <c r="L25" s="17"/>
    </row>
    <row r="26" spans="1:12" x14ac:dyDescent="0.35">
      <c r="A26" s="16" t="s">
        <v>133</v>
      </c>
      <c r="B26" s="16" t="s">
        <v>132</v>
      </c>
      <c r="C26" s="17" t="str">
        <f>_xll.BDH("CHTR US Equity","IS_MERGER_ACQUISITION_EXPENSE","FQ3 2018","FQ3 2018","Currency=USD","Period=FQ","BEST_FPERIOD_OVERRIDE=FQ","FILING_STATUS=MR","SCALING_FORMAT=MLN","Sort=A","Dates=H","DateFormat=P","Fill=—","Direction=H","UseDPDF=Y")</f>
        <v>—</v>
      </c>
      <c r="D26" s="17" t="str">
        <f>_xll.BDH("CHTR US Equity","IS_MERGER_ACQUISITION_EXPENSE","FQ4 2018","FQ4 2018","Currency=USD","Period=FQ","BEST_FPERIOD_OVERRIDE=FQ","FILING_STATUS=MR","SCALING_FORMAT=MLN","Sort=A","Dates=H","DateFormat=P","Fill=—","Direction=H","UseDPDF=Y")</f>
        <v>—</v>
      </c>
      <c r="E26" s="17" t="str">
        <f>_xll.BDH("CHTR US Equity","IS_MERGER_ACQUISITION_EXPENSE","FQ1 2019","FQ1 2019","Currency=USD","Period=FQ","BEST_FPERIOD_OVERRIDE=FQ","FILING_STATUS=MR","SCALING_FORMAT=MLN","Sort=A","Dates=H","DateFormat=P","Fill=—","Direction=H","UseDPDF=Y")</f>
        <v>—</v>
      </c>
      <c r="F26" s="17" t="str">
        <f>_xll.BDH("CHTR US Equity","IS_MERGER_ACQUISITION_EXPENSE","FQ2 2019","FQ2 2019","Currency=USD","Period=FQ","BEST_FPERIOD_OVERRIDE=FQ","FILING_STATUS=MR","SCALING_FORMAT=MLN","Sort=A","Dates=H","DateFormat=P","Fill=—","Direction=H","UseDPDF=Y")</f>
        <v>—</v>
      </c>
      <c r="G26" s="17" t="str">
        <f>_xll.BDH("CHTR US Equity","IS_MERGER_ACQUISITION_EXPENSE","FQ3 2019","FQ3 2019","Currency=USD","Period=FQ","BEST_FPERIOD_OVERRIDE=FQ","FILING_STATUS=MR","SCALING_FORMAT=MLN","Sort=A","Dates=H","DateFormat=P","Fill=—","Direction=H","UseDPDF=Y")</f>
        <v>—</v>
      </c>
      <c r="H26" s="17" t="str">
        <f>_xll.BDH("CHTR US Equity","IS_MERGER_ACQUISITION_EXPENSE","FQ4 2019","FQ4 2019","Currency=USD","Period=FQ","BEST_FPERIOD_OVERRIDE=FQ","FILING_STATUS=MR","SCALING_FORMAT=MLN","Sort=A","Dates=H","DateFormat=P","Fill=—","Direction=H","UseDPDF=Y")</f>
        <v>—</v>
      </c>
      <c r="I26" s="17" t="str">
        <f>_xll.BDH("CHTR US Equity","IS_MERGER_ACQUISITION_EXPENSE","FQ1 2020","FQ1 2020","Currency=USD","Period=FQ","BEST_FPERIOD_OVERRIDE=FQ","FILING_STATUS=MR","SCALING_FORMAT=MLN","Sort=A","Dates=H","DateFormat=P","Fill=—","Direction=H","UseDPDF=Y")</f>
        <v>—</v>
      </c>
      <c r="J26" s="17" t="str">
        <f>_xll.BDH("CHTR US Equity","IS_MERGER_ACQUISITION_EXPENSE","FQ2 2020","FQ2 2020","Currency=USD","Period=FQ","BEST_FPERIOD_OVERRIDE=FQ","FILING_STATUS=MR","SCALING_FORMAT=MLN","Sort=A","Dates=H","DateFormat=P","Fill=—","Direction=H","UseDPDF=Y")</f>
        <v>—</v>
      </c>
      <c r="K26" s="17"/>
      <c r="L26" s="17"/>
    </row>
    <row r="27" spans="1:12" x14ac:dyDescent="0.35">
      <c r="A27" s="16" t="s">
        <v>131</v>
      </c>
      <c r="B27" s="16" t="s">
        <v>130</v>
      </c>
      <c r="C27" s="17">
        <f>_xll.BDH("CHTR US Equity","IS_DERIVATIVES_HEDGING","FQ3 2018","FQ3 2018","Currency=USD","Period=FQ","BEST_FPERIOD_OVERRIDE=FQ","FILING_STATUS=MR","SCALING_FORMAT=MLN","Sort=A","Dates=H","DateFormat=P","Fill=—","Direction=H","UseDPDF=Y")</f>
        <v>-12</v>
      </c>
      <c r="D27" s="17">
        <f>_xll.BDH("CHTR US Equity","IS_DERIVATIVES_HEDGING","FQ4 2018","FQ4 2018","Currency=USD","Period=FQ","BEST_FPERIOD_OVERRIDE=FQ","FILING_STATUS=MR","SCALING_FORMAT=MLN","Sort=A","Dates=H","DateFormat=P","Fill=—","Direction=H","UseDPDF=Y")</f>
        <v>110</v>
      </c>
      <c r="E27" s="17">
        <f>_xll.BDH("CHTR US Equity","IS_DERIVATIVES_HEDGING","FQ1 2019","FQ1 2019","Currency=USD","Period=FQ","BEST_FPERIOD_OVERRIDE=FQ","FILING_STATUS=MR","SCALING_FORMAT=MLN","Sort=A","Dates=H","DateFormat=P","Fill=—","Direction=H","UseDPDF=Y")</f>
        <v>37</v>
      </c>
      <c r="F27" s="17">
        <f>_xll.BDH("CHTR US Equity","IS_DERIVATIVES_HEDGING","FQ2 2019","FQ2 2019","Currency=USD","Period=FQ","BEST_FPERIOD_OVERRIDE=FQ","FILING_STATUS=MR","SCALING_FORMAT=MLN","Sort=A","Dates=H","DateFormat=P","Fill=—","Direction=H","UseDPDF=Y")</f>
        <v>119</v>
      </c>
      <c r="G27" s="17">
        <f>_xll.BDH("CHTR US Equity","IS_DERIVATIVES_HEDGING","FQ3 2019","FQ3 2019","Currency=USD","Period=FQ","BEST_FPERIOD_OVERRIDE=FQ","FILING_STATUS=MR","SCALING_FORMAT=MLN","Sort=A","Dates=H","DateFormat=P","Fill=—","Direction=H","UseDPDF=Y")</f>
        <v>-34</v>
      </c>
      <c r="H27" s="17">
        <f>_xll.BDH("CHTR US Equity","IS_DERIVATIVES_HEDGING","FQ4 2019","FQ4 2019","Currency=USD","Period=FQ","BEST_FPERIOD_OVERRIDE=FQ","FILING_STATUS=MR","SCALING_FORMAT=MLN","Sort=A","Dates=H","DateFormat=P","Fill=—","Direction=H","UseDPDF=Y")</f>
        <v>-62</v>
      </c>
      <c r="I27" s="17">
        <f>_xll.BDH("CHTR US Equity","IS_DERIVATIVES_HEDGING","FQ1 2020","FQ1 2020","Currency=USD","Period=FQ","BEST_FPERIOD_OVERRIDE=FQ","FILING_STATUS=MR","SCALING_FORMAT=MLN","Sort=A","Dates=H","DateFormat=P","Fill=—","Direction=H","UseDPDF=Y")</f>
        <v>318</v>
      </c>
      <c r="J27" s="17">
        <f>_xll.BDH("CHTR US Equity","IS_DERIVATIVES_HEDGING","FQ2 2020","FQ2 2020","Currency=USD","Period=FQ","BEST_FPERIOD_OVERRIDE=FQ","FILING_STATUS=MR","SCALING_FORMAT=MLN","Sort=A","Dates=H","DateFormat=P","Fill=—","Direction=H","UseDPDF=Y")</f>
        <v>-64</v>
      </c>
      <c r="K27" s="17"/>
      <c r="L27" s="17"/>
    </row>
    <row r="28" spans="1:12" x14ac:dyDescent="0.35">
      <c r="A28" s="16" t="s">
        <v>129</v>
      </c>
      <c r="B28" s="16" t="s">
        <v>128</v>
      </c>
      <c r="C28" s="17">
        <f>_xll.BDH("CHTR US Equity","IS_GAIN_LOSS_DISPOSAL_ASSETS","FQ3 2018","FQ3 2018","Currency=USD","Period=FQ","BEST_FPERIOD_OVERRIDE=FQ","FILING_STATUS=MR","SCALING_FORMAT=MLN","Sort=A","Dates=H","DateFormat=P","Fill=—","Direction=H","UseDPDF=Y")</f>
        <v>4</v>
      </c>
      <c r="D28" s="17">
        <f>_xll.BDH("CHTR US Equity","IS_GAIN_LOSS_DISPOSAL_ASSETS","FQ4 2018","FQ4 2018","Currency=USD","Period=FQ","BEST_FPERIOD_OVERRIDE=FQ","FILING_STATUS=MR","SCALING_FORMAT=MLN","Sort=A","Dates=H","DateFormat=P","Fill=—","Direction=H","UseDPDF=Y")</f>
        <v>94</v>
      </c>
      <c r="E28" s="17">
        <f>_xll.BDH("CHTR US Equity","IS_GAIN_LOSS_DISPOSAL_ASSETS","FQ1 2019","FQ1 2019","Currency=USD","Period=FQ","BEST_FPERIOD_OVERRIDE=FQ","FILING_STATUS=MR","SCALING_FORMAT=MLN","Sort=A","Dates=H","DateFormat=P","Fill=—","Direction=H","UseDPDF=Y")</f>
        <v>-1</v>
      </c>
      <c r="F28" s="17">
        <f>_xll.BDH("CHTR US Equity","IS_GAIN_LOSS_DISPOSAL_ASSETS","FQ2 2019","FQ2 2019","Currency=USD","Period=FQ","BEST_FPERIOD_OVERRIDE=FQ","FILING_STATUS=MR","SCALING_FORMAT=MLN","Sort=A","Dates=H","DateFormat=P","Fill=—","Direction=H","UseDPDF=Y")</f>
        <v>39</v>
      </c>
      <c r="G28" s="17">
        <f>_xll.BDH("CHTR US Equity","IS_GAIN_LOSS_DISPOSAL_ASSETS","FQ3 2019","FQ3 2019","Currency=USD","Period=FQ","BEST_FPERIOD_OVERRIDE=FQ","FILING_STATUS=MR","SCALING_FORMAT=MLN","Sort=A","Dates=H","DateFormat=P","Fill=—","Direction=H","UseDPDF=Y")</f>
        <v>-5</v>
      </c>
      <c r="H28" s="17">
        <f>_xll.BDH("CHTR US Equity","IS_GAIN_LOSS_DISPOSAL_ASSETS","FQ4 2019","FQ4 2019","Currency=USD","Period=FQ","BEST_FPERIOD_OVERRIDE=FQ","FILING_STATUS=MR","SCALING_FORMAT=MLN","Sort=A","Dates=H","DateFormat=P","Fill=—","Direction=H","UseDPDF=Y")</f>
        <v>9</v>
      </c>
      <c r="I28" s="17">
        <f>_xll.BDH("CHTR US Equity","IS_GAIN_LOSS_DISPOSAL_ASSETS","FQ1 2020","FQ1 2020","Currency=USD","Period=FQ","BEST_FPERIOD_OVERRIDE=FQ","FILING_STATUS=MR","SCALING_FORMAT=MLN","Sort=A","Dates=H","DateFormat=P","Fill=—","Direction=H","UseDPDF=Y")</f>
        <v>-9</v>
      </c>
      <c r="J28" s="17">
        <f>_xll.BDH("CHTR US Equity","IS_GAIN_LOSS_DISPOSAL_ASSETS","FQ2 2020","FQ2 2020","Currency=USD","Period=FQ","BEST_FPERIOD_OVERRIDE=FQ","FILING_STATUS=MR","SCALING_FORMAT=MLN","Sort=A","Dates=H","DateFormat=P","Fill=—","Direction=H","UseDPDF=Y")</f>
        <v>-4</v>
      </c>
      <c r="K28" s="17"/>
      <c r="L28" s="17"/>
    </row>
    <row r="29" spans="1:12" x14ac:dyDescent="0.35">
      <c r="A29" s="16" t="s">
        <v>127</v>
      </c>
      <c r="B29" s="16" t="s">
        <v>126</v>
      </c>
      <c r="C29" s="17" t="str">
        <f>_xll.BDH("CHTR US Equity","IS_G_L_ON_EXT_DBT_OR_SETTLE_DBT","FQ3 2018","FQ3 2018","Currency=USD","Period=FQ","BEST_FPERIOD_OVERRIDE=FQ","FILING_STATUS=MR","SCALING_FORMAT=MLN","Sort=A","Dates=H","DateFormat=P","Fill=—","Direction=H","UseDPDF=Y")</f>
        <v>—</v>
      </c>
      <c r="D29" s="17" t="str">
        <f>_xll.BDH("CHTR US Equity","IS_G_L_ON_EXT_DBT_OR_SETTLE_DBT","FQ4 2018","FQ4 2018","Currency=USD","Period=FQ","BEST_FPERIOD_OVERRIDE=FQ","FILING_STATUS=MR","SCALING_FORMAT=MLN","Sort=A","Dates=H","DateFormat=P","Fill=—","Direction=H","UseDPDF=Y")</f>
        <v>—</v>
      </c>
      <c r="E29" s="17" t="str">
        <f>_xll.BDH("CHTR US Equity","IS_G_L_ON_EXT_DBT_OR_SETTLE_DBT","FQ1 2019","FQ1 2019","Currency=USD","Period=FQ","BEST_FPERIOD_OVERRIDE=FQ","FILING_STATUS=MR","SCALING_FORMAT=MLN","Sort=A","Dates=H","DateFormat=P","Fill=—","Direction=H","UseDPDF=Y")</f>
        <v>—</v>
      </c>
      <c r="F29" s="17" t="str">
        <f>_xll.BDH("CHTR US Equity","IS_G_L_ON_EXT_DBT_OR_SETTLE_DBT","FQ2 2019","FQ2 2019","Currency=USD","Period=FQ","BEST_FPERIOD_OVERRIDE=FQ","FILING_STATUS=MR","SCALING_FORMAT=MLN","Sort=A","Dates=H","DateFormat=P","Fill=—","Direction=H","UseDPDF=Y")</f>
        <v>—</v>
      </c>
      <c r="G29" s="17" t="str">
        <f>_xll.BDH("CHTR US Equity","IS_G_L_ON_EXT_DBT_OR_SETTLE_DBT","FQ3 2019","FQ3 2019","Currency=USD","Period=FQ","BEST_FPERIOD_OVERRIDE=FQ","FILING_STATUS=MR","SCALING_FORMAT=MLN","Sort=A","Dates=H","DateFormat=P","Fill=—","Direction=H","UseDPDF=Y")</f>
        <v>—</v>
      </c>
      <c r="H29" s="17">
        <f>_xll.BDH("CHTR US Equity","IS_G_L_ON_EXT_DBT_OR_SETTLE_DBT","FQ4 2019","FQ4 2019","Currency=USD","Period=FQ","BEST_FPERIOD_OVERRIDE=FQ","FILING_STATUS=MR","SCALING_FORMAT=MLN","Sort=A","Dates=H","DateFormat=P","Fill=—","Direction=H","UseDPDF=Y")</f>
        <v>25</v>
      </c>
      <c r="I29" s="17">
        <f>_xll.BDH("CHTR US Equity","IS_G_L_ON_EXT_DBT_OR_SETTLE_DBT","FQ1 2020","FQ1 2020","Currency=USD","Period=FQ","BEST_FPERIOD_OVERRIDE=FQ","FILING_STATUS=MR","SCALING_FORMAT=MLN","Sort=A","Dates=H","DateFormat=P","Fill=—","Direction=H","UseDPDF=Y")</f>
        <v>27</v>
      </c>
      <c r="J29" s="17">
        <f>_xll.BDH("CHTR US Equity","IS_G_L_ON_EXT_DBT_OR_SETTLE_DBT","FQ2 2020","FQ2 2020","Currency=USD","Period=FQ","BEST_FPERIOD_OVERRIDE=FQ","FILING_STATUS=MR","SCALING_FORMAT=MLN","Sort=A","Dates=H","DateFormat=P","Fill=—","Direction=H","UseDPDF=Y")</f>
        <v>0</v>
      </c>
      <c r="K29" s="17"/>
      <c r="L29" s="17"/>
    </row>
    <row r="30" spans="1:12" x14ac:dyDescent="0.35">
      <c r="A30" s="16" t="s">
        <v>125</v>
      </c>
      <c r="B30" s="16" t="s">
        <v>124</v>
      </c>
      <c r="C30" s="17" t="str">
        <f>_xll.BDH("CHTR US Equity","IS_LEGAL_LITIGATION_SETTLEMENT","FQ3 2018","FQ3 2018","Currency=USD","Period=FQ","BEST_FPERIOD_OVERRIDE=FQ","FILING_STATUS=MR","SCALING_FORMAT=MLN","Sort=A","Dates=H","DateFormat=P","Fill=—","Direction=H","UseDPDF=Y")</f>
        <v>—</v>
      </c>
      <c r="D30" s="17" t="str">
        <f>_xll.BDH("CHTR US Equity","IS_LEGAL_LITIGATION_SETTLEMENT","FQ4 2018","FQ4 2018","Currency=USD","Period=FQ","BEST_FPERIOD_OVERRIDE=FQ","FILING_STATUS=MR","SCALING_FORMAT=MLN","Sort=A","Dates=H","DateFormat=P","Fill=—","Direction=H","UseDPDF=Y")</f>
        <v>—</v>
      </c>
      <c r="E30" s="17" t="str">
        <f>_xll.BDH("CHTR US Equity","IS_LEGAL_LITIGATION_SETTLEMENT","FQ1 2019","FQ1 2019","Currency=USD","Period=FQ","BEST_FPERIOD_OVERRIDE=FQ","FILING_STATUS=MR","SCALING_FORMAT=MLN","Sort=A","Dates=H","DateFormat=P","Fill=—","Direction=H","UseDPDF=Y")</f>
        <v>—</v>
      </c>
      <c r="F30" s="17" t="str">
        <f>_xll.BDH("CHTR US Equity","IS_LEGAL_LITIGATION_SETTLEMENT","FQ2 2019","FQ2 2019","Currency=USD","Period=FQ","BEST_FPERIOD_OVERRIDE=FQ","FILING_STATUS=MR","SCALING_FORMAT=MLN","Sort=A","Dates=H","DateFormat=P","Fill=—","Direction=H","UseDPDF=Y")</f>
        <v>—</v>
      </c>
      <c r="G30" s="17" t="str">
        <f>_xll.BDH("CHTR US Equity","IS_LEGAL_LITIGATION_SETTLEMENT","FQ3 2019","FQ3 2019","Currency=USD","Period=FQ","BEST_FPERIOD_OVERRIDE=FQ","FILING_STATUS=MR","SCALING_FORMAT=MLN","Sort=A","Dates=H","DateFormat=P","Fill=—","Direction=H","UseDPDF=Y")</f>
        <v>—</v>
      </c>
      <c r="H30" s="17" t="str">
        <f>_xll.BDH("CHTR US Equity","IS_LEGAL_LITIGATION_SETTLEMENT","FQ4 2019","FQ4 2019","Currency=USD","Period=FQ","BEST_FPERIOD_OVERRIDE=FQ","FILING_STATUS=MR","SCALING_FORMAT=MLN","Sort=A","Dates=H","DateFormat=P","Fill=—","Direction=H","UseDPDF=Y")</f>
        <v>—</v>
      </c>
      <c r="I30" s="17" t="str">
        <f>_xll.BDH("CHTR US Equity","IS_LEGAL_LITIGATION_SETTLEMENT","FQ1 2020","FQ1 2020","Currency=USD","Period=FQ","BEST_FPERIOD_OVERRIDE=FQ","FILING_STATUS=MR","SCALING_FORMAT=MLN","Sort=A","Dates=H","DateFormat=P","Fill=—","Direction=H","UseDPDF=Y")</f>
        <v>—</v>
      </c>
      <c r="J30" s="17" t="str">
        <f>_xll.BDH("CHTR US Equity","IS_LEGAL_LITIGATION_SETTLEMENT","FQ2 2020","FQ2 2020","Currency=USD","Period=FQ","BEST_FPERIOD_OVERRIDE=FQ","FILING_STATUS=MR","SCALING_FORMAT=MLN","Sort=A","Dates=H","DateFormat=P","Fill=—","Direction=H","UseDPDF=Y")</f>
        <v>—</v>
      </c>
      <c r="K30" s="17"/>
      <c r="L30" s="17"/>
    </row>
    <row r="31" spans="1:12" x14ac:dyDescent="0.35">
      <c r="A31" s="16" t="s">
        <v>123</v>
      </c>
      <c r="B31" s="16" t="s">
        <v>122</v>
      </c>
      <c r="C31" s="17">
        <f>_xll.BDH("CHTR US Equity","IS_OTHER_ONE_TIME_ITEMS","FQ3 2018","FQ3 2018","Currency=USD","Period=FQ","BEST_FPERIOD_OVERRIDE=FQ","FILING_STATUS=MR","SCALING_FORMAT=MLN","Sort=A","Dates=H","DateFormat=P","Fill=—","Direction=H","UseDPDF=Y")</f>
        <v>14</v>
      </c>
      <c r="D31" s="17">
        <f>_xll.BDH("CHTR US Equity","IS_OTHER_ONE_TIME_ITEMS","FQ4 2018","FQ4 2018","Currency=USD","Period=FQ","BEST_FPERIOD_OVERRIDE=FQ","FILING_STATUS=MR","SCALING_FORMAT=MLN","Sort=A","Dates=H","DateFormat=P","Fill=—","Direction=H","UseDPDF=Y")</f>
        <v>13</v>
      </c>
      <c r="E31" s="17">
        <f>_xll.BDH("CHTR US Equity","IS_OTHER_ONE_TIME_ITEMS","FQ1 2019","FQ1 2019","Currency=USD","Period=FQ","BEST_FPERIOD_OVERRIDE=FQ","FILING_STATUS=MR","SCALING_FORMAT=MLN","Sort=A","Dates=H","DateFormat=P","Fill=—","Direction=H","UseDPDF=Y")</f>
        <v>-4</v>
      </c>
      <c r="F31" s="17">
        <f>_xll.BDH("CHTR US Equity","IS_OTHER_ONE_TIME_ITEMS","FQ2 2019","FQ2 2019","Currency=USD","Period=FQ","BEST_FPERIOD_OVERRIDE=FQ","FILING_STATUS=MR","SCALING_FORMAT=MLN","Sort=A","Dates=H","DateFormat=P","Fill=—","Direction=H","UseDPDF=Y")</f>
        <v>23</v>
      </c>
      <c r="G31" s="17">
        <f>_xll.BDH("CHTR US Equity","IS_OTHER_ONE_TIME_ITEMS","FQ3 2019","FQ3 2019","Currency=USD","Period=FQ","BEST_FPERIOD_OVERRIDE=FQ","FILING_STATUS=MR","SCALING_FORMAT=MLN","Sort=A","Dates=H","DateFormat=P","Fill=—","Direction=H","UseDPDF=Y")</f>
        <v>19</v>
      </c>
      <c r="H31" s="17">
        <f>_xll.BDH("CHTR US Equity","IS_OTHER_ONE_TIME_ITEMS","FQ4 2019","FQ4 2019","Currency=USD","Period=FQ","BEST_FPERIOD_OVERRIDE=FQ","FILING_STATUS=MR","SCALING_FORMAT=MLN","Sort=A","Dates=H","DateFormat=P","Fill=—","Direction=H","UseDPDF=Y")</f>
        <v>55</v>
      </c>
      <c r="I31" s="17">
        <f>_xll.BDH("CHTR US Equity","IS_OTHER_ONE_TIME_ITEMS","FQ1 2020","FQ1 2020","Currency=USD","Period=FQ","BEST_FPERIOD_OVERRIDE=FQ","FILING_STATUS=MR","SCALING_FORMAT=MLN","Sort=A","Dates=H","DateFormat=P","Fill=—","Direction=H","UseDPDF=Y")</f>
        <v>16</v>
      </c>
      <c r="J31" s="17">
        <f>_xll.BDH("CHTR US Equity","IS_OTHER_ONE_TIME_ITEMS","FQ2 2020","FQ2 2020","Currency=USD","Period=FQ","BEST_FPERIOD_OVERRIDE=FQ","FILING_STATUS=MR","SCALING_FORMAT=MLN","Sort=A","Dates=H","DateFormat=P","Fill=—","Direction=H","UseDPDF=Y")</f>
        <v>6</v>
      </c>
      <c r="K31" s="17"/>
      <c r="L31" s="17"/>
    </row>
    <row r="32" spans="1:12" x14ac:dyDescent="0.35">
      <c r="A32" s="12" t="s">
        <v>121</v>
      </c>
      <c r="B32" s="12" t="s">
        <v>120</v>
      </c>
      <c r="C32" s="10">
        <f>_xll.BDH("CHTR US Equity","PRETAX_INC","FQ3 2018","FQ3 2018","Currency=USD","Period=FQ","BEST_FPERIOD_OVERRIDE=FQ","FILING_STATUS=MR","SCALING_FORMAT=MLN","FA_ADJUSTED=GAAP","Sort=A","Dates=H","DateFormat=P","Fill=—","Direction=H","UseDPDF=Y")</f>
        <v>693</v>
      </c>
      <c r="D32" s="10">
        <f>_xll.BDH("CHTR US Equity","PRETAX_INC","FQ4 2018","FQ4 2018","Currency=USD","Period=FQ","BEST_FPERIOD_OVERRIDE=FQ","FILING_STATUS=MR","SCALING_FORMAT=MLN","FA_ADJUSTED=GAAP","Sort=A","Dates=H","DateFormat=P","Fill=—","Direction=H","UseDPDF=Y")</f>
        <v>362</v>
      </c>
      <c r="E32" s="10">
        <f>_xll.BDH("CHTR US Equity","PRETAX_INC","FQ1 2019","FQ1 2019","Currency=USD","Period=FQ","BEST_FPERIOD_OVERRIDE=FQ","FILING_STATUS=MR","SCALING_FORMAT=MLN","FA_ADJUSTED=GAAP","Sort=A","Dates=H","DateFormat=P","Fill=—","Direction=H","UseDPDF=Y")</f>
        <v>436</v>
      </c>
      <c r="F32" s="10">
        <f>_xll.BDH("CHTR US Equity","PRETAX_INC","FQ2 2019","FQ2 2019","Currency=USD","Period=FQ","BEST_FPERIOD_OVERRIDE=FQ","FILING_STATUS=MR","SCALING_FORMAT=MLN","FA_ADJUSTED=GAAP","Sort=A","Dates=H","DateFormat=P","Fill=—","Direction=H","UseDPDF=Y")</f>
        <v>470</v>
      </c>
      <c r="G32" s="10">
        <f>_xll.BDH("CHTR US Equity","PRETAX_INC","FQ3 2019","FQ3 2019","Currency=USD","Period=FQ","BEST_FPERIOD_OVERRIDE=FQ","FILING_STATUS=MR","SCALING_FORMAT=MLN","FA_ADJUSTED=GAAP","Sort=A","Dates=H","DateFormat=P","Fill=—","Direction=H","UseDPDF=Y")</f>
        <v>593</v>
      </c>
      <c r="H32" s="10">
        <f>_xll.BDH("CHTR US Equity","PRETAX_INC","FQ4 2019","FQ4 2019","Currency=USD","Period=FQ","BEST_FPERIOD_OVERRIDE=FQ","FILING_STATUS=MR","SCALING_FORMAT=MLN","FA_ADJUSTED=GAAP","Sort=A","Dates=H","DateFormat=P","Fill=—","Direction=H","UseDPDF=Y")</f>
        <v>932</v>
      </c>
      <c r="I32" s="10">
        <f>_xll.BDH("CHTR US Equity","PRETAX_INC","FQ1 2020","FQ1 2020","Currency=USD","Period=FQ","BEST_FPERIOD_OVERRIDE=FQ","FILING_STATUS=MR","SCALING_FORMAT=MLN","FA_ADJUSTED=GAAP","Sort=A","Dates=H","DateFormat=P","Fill=—","Direction=H","UseDPDF=Y")</f>
        <v>496</v>
      </c>
      <c r="J32" s="10">
        <f>_xll.BDH("CHTR US Equity","PRETAX_INC","FQ2 2020","FQ2 2020","Currency=USD","Period=FQ","BEST_FPERIOD_OVERRIDE=FQ","FILING_STATUS=MR","SCALING_FORMAT=MLN","FA_ADJUSTED=GAAP","Sort=A","Dates=H","DateFormat=P","Fill=—","Direction=H","UseDPDF=Y")</f>
        <v>1042</v>
      </c>
      <c r="K32" s="10">
        <v>949.2</v>
      </c>
      <c r="L32" s="10">
        <v>1328.65</v>
      </c>
    </row>
    <row r="33" spans="1:12" x14ac:dyDescent="0.35">
      <c r="A33" s="16" t="s">
        <v>119</v>
      </c>
      <c r="B33" s="16" t="s">
        <v>118</v>
      </c>
      <c r="C33" s="17">
        <f>_xll.BDH("CHTR US Equity","IS_INC_TAX_EXP","FQ3 2018","FQ3 2018","Currency=USD","Period=FQ","BEST_FPERIOD_OVERRIDE=FQ","FILING_STATUS=MR","SCALING_FORMAT=MLN","FA_ADJUSTED=GAAP","Sort=A","Dates=H","DateFormat=P","Fill=—","Direction=H","UseDPDF=Y")</f>
        <v>109</v>
      </c>
      <c r="D33" s="17">
        <f>_xll.BDH("CHTR US Equity","IS_INC_TAX_EXP","FQ4 2018","FQ4 2018","Currency=USD","Period=FQ","BEST_FPERIOD_OVERRIDE=FQ","FILING_STATUS=MR","SCALING_FORMAT=MLN","FA_ADJUSTED=GAAP","Sort=A","Dates=H","DateFormat=P","Fill=—","Direction=H","UseDPDF=Y")</f>
        <v>2</v>
      </c>
      <c r="E33" s="17">
        <f>_xll.BDH("CHTR US Equity","IS_INC_TAX_EXP","FQ1 2019","FQ1 2019","Currency=USD","Period=FQ","BEST_FPERIOD_OVERRIDE=FQ","FILING_STATUS=MR","SCALING_FORMAT=MLN","FA_ADJUSTED=GAAP","Sort=A","Dates=H","DateFormat=P","Fill=—","Direction=H","UseDPDF=Y")</f>
        <v>119</v>
      </c>
      <c r="F33" s="17">
        <f>_xll.BDH("CHTR US Equity","IS_INC_TAX_EXP","FQ2 2019","FQ2 2019","Currency=USD","Period=FQ","BEST_FPERIOD_OVERRIDE=FQ","FILING_STATUS=MR","SCALING_FORMAT=MLN","FA_ADJUSTED=GAAP","Sort=A","Dates=H","DateFormat=P","Fill=—","Direction=H","UseDPDF=Y")</f>
        <v>84</v>
      </c>
      <c r="G33" s="17">
        <f>_xll.BDH("CHTR US Equity","IS_INC_TAX_EXP","FQ3 2019","FQ3 2019","Currency=USD","Period=FQ","BEST_FPERIOD_OVERRIDE=FQ","FILING_STATUS=MR","SCALING_FORMAT=MLN","FA_ADJUSTED=GAAP","Sort=A","Dates=H","DateFormat=P","Fill=—","Direction=H","UseDPDF=Y")</f>
        <v>126</v>
      </c>
      <c r="H33" s="17">
        <f>_xll.BDH("CHTR US Equity","IS_INC_TAX_EXP","FQ4 2019","FQ4 2019","Currency=USD","Period=FQ","BEST_FPERIOD_OVERRIDE=FQ","FILING_STATUS=MR","SCALING_FORMAT=MLN","FA_ADJUSTED=GAAP","Sort=A","Dates=H","DateFormat=P","Fill=—","Direction=H","UseDPDF=Y")</f>
        <v>110</v>
      </c>
      <c r="I33" s="17">
        <f>_xll.BDH("CHTR US Equity","IS_INC_TAX_EXP","FQ1 2020","FQ1 2020","Currency=USD","Period=FQ","BEST_FPERIOD_OVERRIDE=FQ","FILING_STATUS=MR","SCALING_FORMAT=MLN","FA_ADJUSTED=GAAP","Sort=A","Dates=H","DateFormat=P","Fill=—","Direction=H","UseDPDF=Y")</f>
        <v>29</v>
      </c>
      <c r="J33" s="17">
        <f>_xll.BDH("CHTR US Equity","IS_INC_TAX_EXP","FQ2 2020","FQ2 2020","Currency=USD","Period=FQ","BEST_FPERIOD_OVERRIDE=FQ","FILING_STATUS=MR","SCALING_FORMAT=MLN","FA_ADJUSTED=GAAP","Sort=A","Dates=H","DateFormat=P","Fill=—","Direction=H","UseDPDF=Y")</f>
        <v>166</v>
      </c>
      <c r="K33" s="17"/>
      <c r="L33" s="17"/>
    </row>
    <row r="34" spans="1:12" x14ac:dyDescent="0.35">
      <c r="A34" s="12" t="s">
        <v>117</v>
      </c>
      <c r="B34" s="12" t="s">
        <v>116</v>
      </c>
      <c r="C34" s="10">
        <f>_xll.BDH("CHTR US Equity","IS_INC_BEF_XO_ITEM","FQ3 2018","FQ3 2018","Currency=USD","Period=FQ","BEST_FPERIOD_OVERRIDE=FQ","FILING_STATUS=MR","SCALING_FORMAT=MLN","Sort=A","Dates=H","DateFormat=P","Fill=—","Direction=H","UseDPDF=Y")</f>
        <v>584</v>
      </c>
      <c r="D34" s="10">
        <f>_xll.BDH("CHTR US Equity","IS_INC_BEF_XO_ITEM","FQ4 2018","FQ4 2018","Currency=USD","Period=FQ","BEST_FPERIOD_OVERRIDE=FQ","FILING_STATUS=MR","SCALING_FORMAT=MLN","Sort=A","Dates=H","DateFormat=P","Fill=—","Direction=H","UseDPDF=Y")</f>
        <v>360</v>
      </c>
      <c r="E34" s="10">
        <f>_xll.BDH("CHTR US Equity","IS_INC_BEF_XO_ITEM","FQ1 2019","FQ1 2019","Currency=USD","Period=FQ","BEST_FPERIOD_OVERRIDE=FQ","FILING_STATUS=MR","SCALING_FORMAT=MLN","Sort=A","Dates=H","DateFormat=P","Fill=—","Direction=H","UseDPDF=Y")</f>
        <v>317</v>
      </c>
      <c r="F34" s="10">
        <f>_xll.BDH("CHTR US Equity","IS_INC_BEF_XO_ITEM","FQ2 2019","FQ2 2019","Currency=USD","Period=FQ","BEST_FPERIOD_OVERRIDE=FQ","FILING_STATUS=MR","SCALING_FORMAT=MLN","Sort=A","Dates=H","DateFormat=P","Fill=—","Direction=H","UseDPDF=Y")</f>
        <v>386</v>
      </c>
      <c r="G34" s="10">
        <f>_xll.BDH("CHTR US Equity","IS_INC_BEF_XO_ITEM","FQ3 2019","FQ3 2019","Currency=USD","Period=FQ","BEST_FPERIOD_OVERRIDE=FQ","FILING_STATUS=MR","SCALING_FORMAT=MLN","Sort=A","Dates=H","DateFormat=P","Fill=—","Direction=H","UseDPDF=Y")</f>
        <v>467</v>
      </c>
      <c r="H34" s="10">
        <f>_xll.BDH("CHTR US Equity","IS_INC_BEF_XO_ITEM","FQ4 2019","FQ4 2019","Currency=USD","Period=FQ","BEST_FPERIOD_OVERRIDE=FQ","FILING_STATUS=MR","SCALING_FORMAT=MLN","Sort=A","Dates=H","DateFormat=P","Fill=—","Direction=H","UseDPDF=Y")</f>
        <v>822</v>
      </c>
      <c r="I34" s="10">
        <f>_xll.BDH("CHTR US Equity","IS_INC_BEF_XO_ITEM","FQ1 2020","FQ1 2020","Currency=USD","Period=FQ","BEST_FPERIOD_OVERRIDE=FQ","FILING_STATUS=MR","SCALING_FORMAT=MLN","Sort=A","Dates=H","DateFormat=P","Fill=—","Direction=H","UseDPDF=Y")</f>
        <v>467</v>
      </c>
      <c r="J34" s="10">
        <f>_xll.BDH("CHTR US Equity","IS_INC_BEF_XO_ITEM","FQ2 2020","FQ2 2020","Currency=USD","Period=FQ","BEST_FPERIOD_OVERRIDE=FQ","FILING_STATUS=MR","SCALING_FORMAT=MLN","Sort=A","Dates=H","DateFormat=P","Fill=—","Direction=H","UseDPDF=Y")</f>
        <v>876</v>
      </c>
      <c r="K34" s="10">
        <v>681</v>
      </c>
      <c r="L34" s="10">
        <v>948.58799999999997</v>
      </c>
    </row>
    <row r="35" spans="1:12" x14ac:dyDescent="0.35">
      <c r="A35" s="16" t="s">
        <v>115</v>
      </c>
      <c r="B35" s="16" t="s">
        <v>95</v>
      </c>
      <c r="C35" s="17">
        <f>_xll.BDH("CHTR US Equity","XO_GL_NET_OF_TAX","FQ3 2018","FQ3 2018","Currency=USD","Period=FQ","BEST_FPERIOD_OVERRIDE=FQ","FILING_STATUS=MR","SCALING_FORMAT=MLN","Sort=A","Dates=H","DateFormat=P","Fill=—","Direction=H","UseDPDF=Y")</f>
        <v>0</v>
      </c>
      <c r="D35" s="17">
        <f>_xll.BDH("CHTR US Equity","XO_GL_NET_OF_TAX","FQ4 2018","FQ4 2018","Currency=USD","Period=FQ","BEST_FPERIOD_OVERRIDE=FQ","FILING_STATUS=MR","SCALING_FORMAT=MLN","Sort=A","Dates=H","DateFormat=P","Fill=—","Direction=H","UseDPDF=Y")</f>
        <v>0</v>
      </c>
      <c r="E35" s="17">
        <f>_xll.BDH("CHTR US Equity","XO_GL_NET_OF_TAX","FQ1 2019","FQ1 2019","Currency=USD","Period=FQ","BEST_FPERIOD_OVERRIDE=FQ","FILING_STATUS=MR","SCALING_FORMAT=MLN","Sort=A","Dates=H","DateFormat=P","Fill=—","Direction=H","UseDPDF=Y")</f>
        <v>0</v>
      </c>
      <c r="F35" s="17">
        <f>_xll.BDH("CHTR US Equity","XO_GL_NET_OF_TAX","FQ2 2019","FQ2 2019","Currency=USD","Period=FQ","BEST_FPERIOD_OVERRIDE=FQ","FILING_STATUS=MR","SCALING_FORMAT=MLN","Sort=A","Dates=H","DateFormat=P","Fill=—","Direction=H","UseDPDF=Y")</f>
        <v>0</v>
      </c>
      <c r="G35" s="17">
        <f>_xll.BDH("CHTR US Equity","XO_GL_NET_OF_TAX","FQ3 2019","FQ3 2019","Currency=USD","Period=FQ","BEST_FPERIOD_OVERRIDE=FQ","FILING_STATUS=MR","SCALING_FORMAT=MLN","Sort=A","Dates=H","DateFormat=P","Fill=—","Direction=H","UseDPDF=Y")</f>
        <v>0</v>
      </c>
      <c r="H35" s="17">
        <f>_xll.BDH("CHTR US Equity","XO_GL_NET_OF_TAX","FQ4 2019","FQ4 2019","Currency=USD","Period=FQ","BEST_FPERIOD_OVERRIDE=FQ","FILING_STATUS=MR","SCALING_FORMAT=MLN","Sort=A","Dates=H","DateFormat=P","Fill=—","Direction=H","UseDPDF=Y")</f>
        <v>0</v>
      </c>
      <c r="I35" s="17">
        <f>_xll.BDH("CHTR US Equity","XO_GL_NET_OF_TAX","FQ1 2020","FQ1 2020","Currency=USD","Period=FQ","BEST_FPERIOD_OVERRIDE=FQ","FILING_STATUS=MR","SCALING_FORMAT=MLN","Sort=A","Dates=H","DateFormat=P","Fill=—","Direction=H","UseDPDF=Y")</f>
        <v>0</v>
      </c>
      <c r="J35" s="17">
        <f>_xll.BDH("CHTR US Equity","XO_GL_NET_OF_TAX","FQ2 2020","FQ2 2020","Currency=USD","Period=FQ","BEST_FPERIOD_OVERRIDE=FQ","FILING_STATUS=MR","SCALING_FORMAT=MLN","Sort=A","Dates=H","DateFormat=P","Fill=—","Direction=H","UseDPDF=Y")</f>
        <v>0</v>
      </c>
      <c r="K35" s="17"/>
      <c r="L35" s="17"/>
    </row>
    <row r="36" spans="1:12" x14ac:dyDescent="0.35">
      <c r="A36" s="16" t="s">
        <v>114</v>
      </c>
      <c r="B36" s="16" t="s">
        <v>113</v>
      </c>
      <c r="C36" s="17">
        <f>_xll.BDH("CHTR US Equity","IS_DISCONTINUED_OPERATIONS","FQ3 2018","FQ3 2018","Currency=USD","Period=FQ","BEST_FPERIOD_OVERRIDE=FQ","FILING_STATUS=MR","SCALING_FORMAT=MLN","Sort=A","Dates=H","DateFormat=P","Fill=—","Direction=H","UseDPDF=Y")</f>
        <v>0</v>
      </c>
      <c r="D36" s="17">
        <f>_xll.BDH("CHTR US Equity","IS_DISCONTINUED_OPERATIONS","FQ4 2018","FQ4 2018","Currency=USD","Period=FQ","BEST_FPERIOD_OVERRIDE=FQ","FILING_STATUS=MR","SCALING_FORMAT=MLN","Sort=A","Dates=H","DateFormat=P","Fill=—","Direction=H","UseDPDF=Y")</f>
        <v>0</v>
      </c>
      <c r="E36" s="17">
        <f>_xll.BDH("CHTR US Equity","IS_DISCONTINUED_OPERATIONS","FQ1 2019","FQ1 2019","Currency=USD","Period=FQ","BEST_FPERIOD_OVERRIDE=FQ","FILING_STATUS=MR","SCALING_FORMAT=MLN","Sort=A","Dates=H","DateFormat=P","Fill=—","Direction=H","UseDPDF=Y")</f>
        <v>0</v>
      </c>
      <c r="F36" s="17">
        <f>_xll.BDH("CHTR US Equity","IS_DISCONTINUED_OPERATIONS","FQ2 2019","FQ2 2019","Currency=USD","Period=FQ","BEST_FPERIOD_OVERRIDE=FQ","FILING_STATUS=MR","SCALING_FORMAT=MLN","Sort=A","Dates=H","DateFormat=P","Fill=—","Direction=H","UseDPDF=Y")</f>
        <v>0</v>
      </c>
      <c r="G36" s="17">
        <f>_xll.BDH("CHTR US Equity","IS_DISCONTINUED_OPERATIONS","FQ3 2019","FQ3 2019","Currency=USD","Period=FQ","BEST_FPERIOD_OVERRIDE=FQ","FILING_STATUS=MR","SCALING_FORMAT=MLN","Sort=A","Dates=H","DateFormat=P","Fill=—","Direction=H","UseDPDF=Y")</f>
        <v>0</v>
      </c>
      <c r="H36" s="17">
        <f>_xll.BDH("CHTR US Equity","IS_DISCONTINUED_OPERATIONS","FQ4 2019","FQ4 2019","Currency=USD","Period=FQ","BEST_FPERIOD_OVERRIDE=FQ","FILING_STATUS=MR","SCALING_FORMAT=MLN","Sort=A","Dates=H","DateFormat=P","Fill=—","Direction=H","UseDPDF=Y")</f>
        <v>0</v>
      </c>
      <c r="I36" s="17">
        <f>_xll.BDH("CHTR US Equity","IS_DISCONTINUED_OPERATIONS","FQ1 2020","FQ1 2020","Currency=USD","Period=FQ","BEST_FPERIOD_OVERRIDE=FQ","FILING_STATUS=MR","SCALING_FORMAT=MLN","Sort=A","Dates=H","DateFormat=P","Fill=—","Direction=H","UseDPDF=Y")</f>
        <v>0</v>
      </c>
      <c r="J36" s="17">
        <f>_xll.BDH("CHTR US Equity","IS_DISCONTINUED_OPERATIONS","FQ2 2020","FQ2 2020","Currency=USD","Period=FQ","BEST_FPERIOD_OVERRIDE=FQ","FILING_STATUS=MR","SCALING_FORMAT=MLN","Sort=A","Dates=H","DateFormat=P","Fill=—","Direction=H","UseDPDF=Y")</f>
        <v>0</v>
      </c>
      <c r="K36" s="17"/>
      <c r="L36" s="17"/>
    </row>
    <row r="37" spans="1:12" x14ac:dyDescent="0.35">
      <c r="A37" s="16" t="s">
        <v>112</v>
      </c>
      <c r="B37" s="16" t="s">
        <v>111</v>
      </c>
      <c r="C37" s="17">
        <f>_xll.BDH("CHTR US Equity","IS_EXTRAORD_ITEMS_&amp;_ACCTG_CHNG","FQ3 2018","FQ3 2018","Currency=USD","Period=FQ","BEST_FPERIOD_OVERRIDE=FQ","FILING_STATUS=MR","SCALING_FORMAT=MLN","Sort=A","Dates=H","DateFormat=P","Fill=—","Direction=H","UseDPDF=Y")</f>
        <v>0</v>
      </c>
      <c r="D37" s="17">
        <f>_xll.BDH("CHTR US Equity","IS_EXTRAORD_ITEMS_&amp;_ACCTG_CHNG","FQ4 2018","FQ4 2018","Currency=USD","Period=FQ","BEST_FPERIOD_OVERRIDE=FQ","FILING_STATUS=MR","SCALING_FORMAT=MLN","Sort=A","Dates=H","DateFormat=P","Fill=—","Direction=H","UseDPDF=Y")</f>
        <v>0</v>
      </c>
      <c r="E37" s="17">
        <f>_xll.BDH("CHTR US Equity","IS_EXTRAORD_ITEMS_&amp;_ACCTG_CHNG","FQ1 2019","FQ1 2019","Currency=USD","Period=FQ","BEST_FPERIOD_OVERRIDE=FQ","FILING_STATUS=MR","SCALING_FORMAT=MLN","Sort=A","Dates=H","DateFormat=P","Fill=—","Direction=H","UseDPDF=Y")</f>
        <v>0</v>
      </c>
      <c r="F37" s="17">
        <f>_xll.BDH("CHTR US Equity","IS_EXTRAORD_ITEMS_&amp;_ACCTG_CHNG","FQ2 2019","FQ2 2019","Currency=USD","Period=FQ","BEST_FPERIOD_OVERRIDE=FQ","FILING_STATUS=MR","SCALING_FORMAT=MLN","Sort=A","Dates=H","DateFormat=P","Fill=—","Direction=H","UseDPDF=Y")</f>
        <v>0</v>
      </c>
      <c r="G37" s="17">
        <f>_xll.BDH("CHTR US Equity","IS_EXTRAORD_ITEMS_&amp;_ACCTG_CHNG","FQ3 2019","FQ3 2019","Currency=USD","Period=FQ","BEST_FPERIOD_OVERRIDE=FQ","FILING_STATUS=MR","SCALING_FORMAT=MLN","Sort=A","Dates=H","DateFormat=P","Fill=—","Direction=H","UseDPDF=Y")</f>
        <v>0</v>
      </c>
      <c r="H37" s="17">
        <f>_xll.BDH("CHTR US Equity","IS_EXTRAORD_ITEMS_&amp;_ACCTG_CHNG","FQ4 2019","FQ4 2019","Currency=USD","Period=FQ","BEST_FPERIOD_OVERRIDE=FQ","FILING_STATUS=MR","SCALING_FORMAT=MLN","Sort=A","Dates=H","DateFormat=P","Fill=—","Direction=H","UseDPDF=Y")</f>
        <v>0</v>
      </c>
      <c r="I37" s="17">
        <f>_xll.BDH("CHTR US Equity","IS_EXTRAORD_ITEMS_&amp;_ACCTG_CHNG","FQ1 2020","FQ1 2020","Currency=USD","Period=FQ","BEST_FPERIOD_OVERRIDE=FQ","FILING_STATUS=MR","SCALING_FORMAT=MLN","Sort=A","Dates=H","DateFormat=P","Fill=—","Direction=H","UseDPDF=Y")</f>
        <v>0</v>
      </c>
      <c r="J37" s="17">
        <f>_xll.BDH("CHTR US Equity","IS_EXTRAORD_ITEMS_&amp;_ACCTG_CHNG","FQ2 2020","FQ2 2020","Currency=USD","Period=FQ","BEST_FPERIOD_OVERRIDE=FQ","FILING_STATUS=MR","SCALING_FORMAT=MLN","Sort=A","Dates=H","DateFormat=P","Fill=—","Direction=H","UseDPDF=Y")</f>
        <v>0</v>
      </c>
      <c r="K37" s="17"/>
      <c r="L37" s="17"/>
    </row>
    <row r="38" spans="1:12" x14ac:dyDescent="0.35">
      <c r="A38" s="12" t="s">
        <v>110</v>
      </c>
      <c r="B38" s="12" t="s">
        <v>109</v>
      </c>
      <c r="C38" s="10">
        <f>_xll.BDH("CHTR US Equity","NI_INCLUDING_MINORITY_INT_RATIO","FQ3 2018","FQ3 2018","Currency=USD","Period=FQ","BEST_FPERIOD_OVERRIDE=FQ","FILING_STATUS=MR","SCALING_FORMAT=MLN","FA_ADJUSTED=GAAP","Sort=A","Dates=H","DateFormat=P","Fill=—","Direction=H","UseDPDF=Y")</f>
        <v>584</v>
      </c>
      <c r="D38" s="10">
        <f>_xll.BDH("CHTR US Equity","NI_INCLUDING_MINORITY_INT_RATIO","FQ4 2018","FQ4 2018","Currency=USD","Period=FQ","BEST_FPERIOD_OVERRIDE=FQ","FILING_STATUS=MR","SCALING_FORMAT=MLN","FA_ADJUSTED=GAAP","Sort=A","Dates=H","DateFormat=P","Fill=—","Direction=H","UseDPDF=Y")</f>
        <v>360</v>
      </c>
      <c r="E38" s="10">
        <f>_xll.BDH("CHTR US Equity","NI_INCLUDING_MINORITY_INT_RATIO","FQ1 2019","FQ1 2019","Currency=USD","Period=FQ","BEST_FPERIOD_OVERRIDE=FQ","FILING_STATUS=MR","SCALING_FORMAT=MLN","FA_ADJUSTED=GAAP","Sort=A","Dates=H","DateFormat=P","Fill=—","Direction=H","UseDPDF=Y")</f>
        <v>317</v>
      </c>
      <c r="F38" s="10">
        <f>_xll.BDH("CHTR US Equity","NI_INCLUDING_MINORITY_INT_RATIO","FQ2 2019","FQ2 2019","Currency=USD","Period=FQ","BEST_FPERIOD_OVERRIDE=FQ","FILING_STATUS=MR","SCALING_FORMAT=MLN","FA_ADJUSTED=GAAP","Sort=A","Dates=H","DateFormat=P","Fill=—","Direction=H","UseDPDF=Y")</f>
        <v>386</v>
      </c>
      <c r="G38" s="10">
        <f>_xll.BDH("CHTR US Equity","NI_INCLUDING_MINORITY_INT_RATIO","FQ3 2019","FQ3 2019","Currency=USD","Period=FQ","BEST_FPERIOD_OVERRIDE=FQ","FILING_STATUS=MR","SCALING_FORMAT=MLN","FA_ADJUSTED=GAAP","Sort=A","Dates=H","DateFormat=P","Fill=—","Direction=H","UseDPDF=Y")</f>
        <v>467</v>
      </c>
      <c r="H38" s="10">
        <f>_xll.BDH("CHTR US Equity","NI_INCLUDING_MINORITY_INT_RATIO","FQ4 2019","FQ4 2019","Currency=USD","Period=FQ","BEST_FPERIOD_OVERRIDE=FQ","FILING_STATUS=MR","SCALING_FORMAT=MLN","FA_ADJUSTED=GAAP","Sort=A","Dates=H","DateFormat=P","Fill=—","Direction=H","UseDPDF=Y")</f>
        <v>822</v>
      </c>
      <c r="I38" s="10">
        <f>_xll.BDH("CHTR US Equity","NI_INCLUDING_MINORITY_INT_RATIO","FQ1 2020","FQ1 2020","Currency=USD","Period=FQ","BEST_FPERIOD_OVERRIDE=FQ","FILING_STATUS=MR","SCALING_FORMAT=MLN","FA_ADJUSTED=GAAP","Sort=A","Dates=H","DateFormat=P","Fill=—","Direction=H","UseDPDF=Y")</f>
        <v>467</v>
      </c>
      <c r="J38" s="10">
        <f>_xll.BDH("CHTR US Equity","NI_INCLUDING_MINORITY_INT_RATIO","FQ2 2020","FQ2 2020","Currency=USD","Period=FQ","BEST_FPERIOD_OVERRIDE=FQ","FILING_STATUS=MR","SCALING_FORMAT=MLN","FA_ADJUSTED=GAAP","Sort=A","Dates=H","DateFormat=P","Fill=—","Direction=H","UseDPDF=Y")</f>
        <v>876</v>
      </c>
      <c r="K38" s="10"/>
      <c r="L38" s="10"/>
    </row>
    <row r="39" spans="1:12" x14ac:dyDescent="0.35">
      <c r="A39" s="16" t="s">
        <v>108</v>
      </c>
      <c r="B39" s="16" t="s">
        <v>107</v>
      </c>
      <c r="C39" s="17">
        <f>_xll.BDH("CHTR US Equity","MIN_NONCONTROL_INTEREST_CREDITS","FQ3 2018","FQ3 2018","Currency=USD","Period=FQ","BEST_FPERIOD_OVERRIDE=FQ","FILING_STATUS=MR","SCALING_FORMAT=MLN","FA_ADJUSTED=GAAP","Sort=A","Dates=H","DateFormat=P","Fill=—","Direction=H","UseDPDF=Y")</f>
        <v>91</v>
      </c>
      <c r="D39" s="17">
        <f>_xll.BDH("CHTR US Equity","MIN_NONCONTROL_INTEREST_CREDITS","FQ4 2018","FQ4 2018","Currency=USD","Period=FQ","BEST_FPERIOD_OVERRIDE=FQ","FILING_STATUS=MR","SCALING_FORMAT=MLN","FA_ADJUSTED=GAAP","Sort=A","Dates=H","DateFormat=P","Fill=—","Direction=H","UseDPDF=Y")</f>
        <v>64</v>
      </c>
      <c r="E39" s="17">
        <f>_xll.BDH("CHTR US Equity","MIN_NONCONTROL_INTEREST_CREDITS","FQ1 2019","FQ1 2019","Currency=USD","Period=FQ","BEST_FPERIOD_OVERRIDE=FQ","FILING_STATUS=MR","SCALING_FORMAT=MLN","FA_ADJUSTED=GAAP","Sort=A","Dates=H","DateFormat=P","Fill=—","Direction=H","UseDPDF=Y")</f>
        <v>64</v>
      </c>
      <c r="F39" s="17">
        <f>_xll.BDH("CHTR US Equity","MIN_NONCONTROL_INTEREST_CREDITS","FQ2 2019","FQ2 2019","Currency=USD","Period=FQ","BEST_FPERIOD_OVERRIDE=FQ","FILING_STATUS=MR","SCALING_FORMAT=MLN","FA_ADJUSTED=GAAP","Sort=A","Dates=H","DateFormat=P","Fill=—","Direction=H","UseDPDF=Y")</f>
        <v>72</v>
      </c>
      <c r="G39" s="17">
        <f>_xll.BDH("CHTR US Equity","MIN_NONCONTROL_INTEREST_CREDITS","FQ3 2019","FQ3 2019","Currency=USD","Period=FQ","BEST_FPERIOD_OVERRIDE=FQ","FILING_STATUS=MR","SCALING_FORMAT=MLN","FA_ADJUSTED=GAAP","Sort=A","Dates=H","DateFormat=P","Fill=—","Direction=H","UseDPDF=Y")</f>
        <v>80</v>
      </c>
      <c r="H39" s="17">
        <f>_xll.BDH("CHTR US Equity","MIN_NONCONTROL_INTEREST_CREDITS","FQ4 2019","FQ4 2019","Currency=USD","Period=FQ","BEST_FPERIOD_OVERRIDE=FQ","FILING_STATUS=MR","SCALING_FORMAT=MLN","FA_ADJUSTED=GAAP","Sort=A","Dates=H","DateFormat=P","Fill=—","Direction=H","UseDPDF=Y")</f>
        <v>108</v>
      </c>
      <c r="I39" s="17">
        <f>_xll.BDH("CHTR US Equity","MIN_NONCONTROL_INTEREST_CREDITS","FQ1 2020","FQ1 2020","Currency=USD","Period=FQ","BEST_FPERIOD_OVERRIDE=FQ","FILING_STATUS=MR","SCALING_FORMAT=MLN","FA_ADJUSTED=GAAP","Sort=A","Dates=H","DateFormat=P","Fill=—","Direction=H","UseDPDF=Y")</f>
        <v>71</v>
      </c>
      <c r="J39" s="17">
        <f>_xll.BDH("CHTR US Equity","MIN_NONCONTROL_INTEREST_CREDITS","FQ2 2020","FQ2 2020","Currency=USD","Period=FQ","BEST_FPERIOD_OVERRIDE=FQ","FILING_STATUS=MR","SCALING_FORMAT=MLN","FA_ADJUSTED=GAAP","Sort=A","Dates=H","DateFormat=P","Fill=—","Direction=H","UseDPDF=Y")</f>
        <v>110</v>
      </c>
      <c r="K39" s="17"/>
      <c r="L39" s="17"/>
    </row>
    <row r="40" spans="1:12" x14ac:dyDescent="0.35">
      <c r="A40" s="12" t="s">
        <v>106</v>
      </c>
      <c r="B40" s="12" t="s">
        <v>105</v>
      </c>
      <c r="C40" s="10">
        <f>_xll.BDH("CHTR US Equity","NET_INCOME","FQ3 2018","FQ3 2018","Currency=USD","Period=FQ","BEST_FPERIOD_OVERRIDE=FQ","FILING_STATUS=MR","SCALING_FORMAT=MLN","FA_ADJUSTED=GAAP","Sort=A","Dates=H","DateFormat=P","Fill=—","Direction=H","UseDPDF=Y")</f>
        <v>493</v>
      </c>
      <c r="D40" s="10">
        <f>_xll.BDH("CHTR US Equity","NET_INCOME","FQ4 2018","FQ4 2018","Currency=USD","Period=FQ","BEST_FPERIOD_OVERRIDE=FQ","FILING_STATUS=MR","SCALING_FORMAT=MLN","FA_ADJUSTED=GAAP","Sort=A","Dates=H","DateFormat=P","Fill=—","Direction=H","UseDPDF=Y")</f>
        <v>296</v>
      </c>
      <c r="E40" s="10">
        <f>_xll.BDH("CHTR US Equity","NET_INCOME","FQ1 2019","FQ1 2019","Currency=USD","Period=FQ","BEST_FPERIOD_OVERRIDE=FQ","FILING_STATUS=MR","SCALING_FORMAT=MLN","FA_ADJUSTED=GAAP","Sort=A","Dates=H","DateFormat=P","Fill=—","Direction=H","UseDPDF=Y")</f>
        <v>253</v>
      </c>
      <c r="F40" s="10">
        <f>_xll.BDH("CHTR US Equity","NET_INCOME","FQ2 2019","FQ2 2019","Currency=USD","Period=FQ","BEST_FPERIOD_OVERRIDE=FQ","FILING_STATUS=MR","SCALING_FORMAT=MLN","FA_ADJUSTED=GAAP","Sort=A","Dates=H","DateFormat=P","Fill=—","Direction=H","UseDPDF=Y")</f>
        <v>314</v>
      </c>
      <c r="G40" s="10">
        <f>_xll.BDH("CHTR US Equity","NET_INCOME","FQ3 2019","FQ3 2019","Currency=USD","Period=FQ","BEST_FPERIOD_OVERRIDE=FQ","FILING_STATUS=MR","SCALING_FORMAT=MLN","FA_ADJUSTED=GAAP","Sort=A","Dates=H","DateFormat=P","Fill=—","Direction=H","UseDPDF=Y")</f>
        <v>387</v>
      </c>
      <c r="H40" s="10">
        <f>_xll.BDH("CHTR US Equity","NET_INCOME","FQ4 2019","FQ4 2019","Currency=USD","Period=FQ","BEST_FPERIOD_OVERRIDE=FQ","FILING_STATUS=MR","SCALING_FORMAT=MLN","FA_ADJUSTED=GAAP","Sort=A","Dates=H","DateFormat=P","Fill=—","Direction=H","UseDPDF=Y")</f>
        <v>714</v>
      </c>
      <c r="I40" s="10">
        <f>_xll.BDH("CHTR US Equity","NET_INCOME","FQ1 2020","FQ1 2020","Currency=USD","Period=FQ","BEST_FPERIOD_OVERRIDE=FQ","FILING_STATUS=MR","SCALING_FORMAT=MLN","FA_ADJUSTED=GAAP","Sort=A","Dates=H","DateFormat=P","Fill=—","Direction=H","UseDPDF=Y")</f>
        <v>396</v>
      </c>
      <c r="J40" s="10">
        <f>_xll.BDH("CHTR US Equity","NET_INCOME","FQ2 2020","FQ2 2020","Currency=USD","Period=FQ","BEST_FPERIOD_OVERRIDE=FQ","FILING_STATUS=MR","SCALING_FORMAT=MLN","FA_ADJUSTED=GAAP","Sort=A","Dates=H","DateFormat=P","Fill=—","Direction=H","UseDPDF=Y")</f>
        <v>766</v>
      </c>
      <c r="K40" s="10">
        <v>681</v>
      </c>
      <c r="L40" s="10">
        <v>948.58799999999997</v>
      </c>
    </row>
    <row r="41" spans="1:12" x14ac:dyDescent="0.35">
      <c r="A41" s="16" t="s">
        <v>104</v>
      </c>
      <c r="B41" s="16" t="s">
        <v>103</v>
      </c>
      <c r="C41" s="17">
        <f>_xll.BDH("CHTR US Equity","IS_TOT_CASH_PFD_DVD","FQ3 2018","FQ3 2018","Currency=USD","Period=FQ","BEST_FPERIOD_OVERRIDE=FQ","FILING_STATUS=MR","SCALING_FORMAT=MLN","Sort=A","Dates=H","DateFormat=P","Fill=—","Direction=H","UseDPDF=Y")</f>
        <v>0</v>
      </c>
      <c r="D41" s="17">
        <f>_xll.BDH("CHTR US Equity","IS_TOT_CASH_PFD_DVD","FQ4 2018","FQ4 2018","Currency=USD","Period=FQ","BEST_FPERIOD_OVERRIDE=FQ","FILING_STATUS=MR","SCALING_FORMAT=MLN","Sort=A","Dates=H","DateFormat=P","Fill=—","Direction=H","UseDPDF=Y")</f>
        <v>0</v>
      </c>
      <c r="E41" s="17">
        <f>_xll.BDH("CHTR US Equity","IS_TOT_CASH_PFD_DVD","FQ1 2019","FQ1 2019","Currency=USD","Period=FQ","BEST_FPERIOD_OVERRIDE=FQ","FILING_STATUS=MR","SCALING_FORMAT=MLN","Sort=A","Dates=H","DateFormat=P","Fill=—","Direction=H","UseDPDF=Y")</f>
        <v>0</v>
      </c>
      <c r="F41" s="17">
        <f>_xll.BDH("CHTR US Equity","IS_TOT_CASH_PFD_DVD","FQ2 2019","FQ2 2019","Currency=USD","Period=FQ","BEST_FPERIOD_OVERRIDE=FQ","FILING_STATUS=MR","SCALING_FORMAT=MLN","Sort=A","Dates=H","DateFormat=P","Fill=—","Direction=H","UseDPDF=Y")</f>
        <v>0</v>
      </c>
      <c r="G41" s="17">
        <f>_xll.BDH("CHTR US Equity","IS_TOT_CASH_PFD_DVD","FQ3 2019","FQ3 2019","Currency=USD","Period=FQ","BEST_FPERIOD_OVERRIDE=FQ","FILING_STATUS=MR","SCALING_FORMAT=MLN","Sort=A","Dates=H","DateFormat=P","Fill=—","Direction=H","UseDPDF=Y")</f>
        <v>0</v>
      </c>
      <c r="H41" s="17">
        <f>_xll.BDH("CHTR US Equity","IS_TOT_CASH_PFD_DVD","FQ4 2019","FQ4 2019","Currency=USD","Period=FQ","BEST_FPERIOD_OVERRIDE=FQ","FILING_STATUS=MR","SCALING_FORMAT=MLN","Sort=A","Dates=H","DateFormat=P","Fill=—","Direction=H","UseDPDF=Y")</f>
        <v>0</v>
      </c>
      <c r="I41" s="17">
        <f>_xll.BDH("CHTR US Equity","IS_TOT_CASH_PFD_DVD","FQ1 2020","FQ1 2020","Currency=USD","Period=FQ","BEST_FPERIOD_OVERRIDE=FQ","FILING_STATUS=MR","SCALING_FORMAT=MLN","Sort=A","Dates=H","DateFormat=P","Fill=—","Direction=H","UseDPDF=Y")</f>
        <v>0</v>
      </c>
      <c r="J41" s="17">
        <f>_xll.BDH("CHTR US Equity","IS_TOT_CASH_PFD_DVD","FQ2 2020","FQ2 2020","Currency=USD","Period=FQ","BEST_FPERIOD_OVERRIDE=FQ","FILING_STATUS=MR","SCALING_FORMAT=MLN","Sort=A","Dates=H","DateFormat=P","Fill=—","Direction=H","UseDPDF=Y")</f>
        <v>0</v>
      </c>
      <c r="K41" s="17"/>
      <c r="L41" s="17"/>
    </row>
    <row r="42" spans="1:12" x14ac:dyDescent="0.35">
      <c r="A42" s="16" t="s">
        <v>102</v>
      </c>
      <c r="B42" s="16" t="s">
        <v>101</v>
      </c>
      <c r="C42" s="17">
        <f>_xll.BDH("CHTR US Equity","OTHER_ADJUSTMENTS","FQ3 2018","FQ3 2018","Currency=USD","Period=FQ","BEST_FPERIOD_OVERRIDE=FQ","FILING_STATUS=MR","SCALING_FORMAT=MLN","Sort=A","Dates=H","DateFormat=P","Fill=—","Direction=H","UseDPDF=Y")</f>
        <v>0</v>
      </c>
      <c r="D42" s="17">
        <f>_xll.BDH("CHTR US Equity","OTHER_ADJUSTMENTS","FQ4 2018","FQ4 2018","Currency=USD","Period=FQ","BEST_FPERIOD_OVERRIDE=FQ","FILING_STATUS=MR","SCALING_FORMAT=MLN","Sort=A","Dates=H","DateFormat=P","Fill=—","Direction=H","UseDPDF=Y")</f>
        <v>0</v>
      </c>
      <c r="E42" s="17">
        <f>_xll.BDH("CHTR US Equity","OTHER_ADJUSTMENTS","FQ1 2019","FQ1 2019","Currency=USD","Period=FQ","BEST_FPERIOD_OVERRIDE=FQ","FILING_STATUS=MR","SCALING_FORMAT=MLN","Sort=A","Dates=H","DateFormat=P","Fill=—","Direction=H","UseDPDF=Y")</f>
        <v>0</v>
      </c>
      <c r="F42" s="17">
        <f>_xll.BDH("CHTR US Equity","OTHER_ADJUSTMENTS","FQ2 2019","FQ2 2019","Currency=USD","Period=FQ","BEST_FPERIOD_OVERRIDE=FQ","FILING_STATUS=MR","SCALING_FORMAT=MLN","Sort=A","Dates=H","DateFormat=P","Fill=—","Direction=H","UseDPDF=Y")</f>
        <v>0</v>
      </c>
      <c r="G42" s="17">
        <f>_xll.BDH("CHTR US Equity","OTHER_ADJUSTMENTS","FQ3 2019","FQ3 2019","Currency=USD","Period=FQ","BEST_FPERIOD_OVERRIDE=FQ","FILING_STATUS=MR","SCALING_FORMAT=MLN","Sort=A","Dates=H","DateFormat=P","Fill=—","Direction=H","UseDPDF=Y")</f>
        <v>0</v>
      </c>
      <c r="H42" s="17">
        <f>_xll.BDH("CHTR US Equity","OTHER_ADJUSTMENTS","FQ4 2019","FQ4 2019","Currency=USD","Period=FQ","BEST_FPERIOD_OVERRIDE=FQ","FILING_STATUS=MR","SCALING_FORMAT=MLN","Sort=A","Dates=H","DateFormat=P","Fill=—","Direction=H","UseDPDF=Y")</f>
        <v>0</v>
      </c>
      <c r="I42" s="17">
        <f>_xll.BDH("CHTR US Equity","OTHER_ADJUSTMENTS","FQ1 2020","FQ1 2020","Currency=USD","Period=FQ","BEST_FPERIOD_OVERRIDE=FQ","FILING_STATUS=MR","SCALING_FORMAT=MLN","Sort=A","Dates=H","DateFormat=P","Fill=—","Direction=H","UseDPDF=Y")</f>
        <v>0</v>
      </c>
      <c r="J42" s="17">
        <f>_xll.BDH("CHTR US Equity","OTHER_ADJUSTMENTS","FQ2 2020","FQ2 2020","Currency=USD","Period=FQ","BEST_FPERIOD_OVERRIDE=FQ","FILING_STATUS=MR","SCALING_FORMAT=MLN","Sort=A","Dates=H","DateFormat=P","Fill=—","Direction=H","UseDPDF=Y")</f>
        <v>0</v>
      </c>
      <c r="K42" s="17"/>
      <c r="L42" s="17"/>
    </row>
    <row r="43" spans="1:12" x14ac:dyDescent="0.35">
      <c r="A43" s="12" t="s">
        <v>100</v>
      </c>
      <c r="B43" s="12" t="s">
        <v>47</v>
      </c>
      <c r="C43" s="10">
        <f>_xll.BDH("CHTR US Equity","EARN_FOR_COMMON","FQ3 2018","FQ3 2018","Currency=USD","Period=FQ","BEST_FPERIOD_OVERRIDE=FQ","FILING_STATUS=MR","SCALING_FORMAT=MLN","FA_ADJUSTED=GAAP","Sort=A","Dates=H","DateFormat=P","Fill=—","Direction=H","UseDPDF=Y")</f>
        <v>493</v>
      </c>
      <c r="D43" s="10">
        <f>_xll.BDH("CHTR US Equity","EARN_FOR_COMMON","FQ4 2018","FQ4 2018","Currency=USD","Period=FQ","BEST_FPERIOD_OVERRIDE=FQ","FILING_STATUS=MR","SCALING_FORMAT=MLN","FA_ADJUSTED=GAAP","Sort=A","Dates=H","DateFormat=P","Fill=—","Direction=H","UseDPDF=Y")</f>
        <v>296</v>
      </c>
      <c r="E43" s="10">
        <f>_xll.BDH("CHTR US Equity","EARN_FOR_COMMON","FQ1 2019","FQ1 2019","Currency=USD","Period=FQ","BEST_FPERIOD_OVERRIDE=FQ","FILING_STATUS=MR","SCALING_FORMAT=MLN","FA_ADJUSTED=GAAP","Sort=A","Dates=H","DateFormat=P","Fill=—","Direction=H","UseDPDF=Y")</f>
        <v>253</v>
      </c>
      <c r="F43" s="10">
        <f>_xll.BDH("CHTR US Equity","EARN_FOR_COMMON","FQ2 2019","FQ2 2019","Currency=USD","Period=FQ","BEST_FPERIOD_OVERRIDE=FQ","FILING_STATUS=MR","SCALING_FORMAT=MLN","FA_ADJUSTED=GAAP","Sort=A","Dates=H","DateFormat=P","Fill=—","Direction=H","UseDPDF=Y")</f>
        <v>314</v>
      </c>
      <c r="G43" s="10">
        <f>_xll.BDH("CHTR US Equity","EARN_FOR_COMMON","FQ3 2019","FQ3 2019","Currency=USD","Period=FQ","BEST_FPERIOD_OVERRIDE=FQ","FILING_STATUS=MR","SCALING_FORMAT=MLN","FA_ADJUSTED=GAAP","Sort=A","Dates=H","DateFormat=P","Fill=—","Direction=H","UseDPDF=Y")</f>
        <v>387</v>
      </c>
      <c r="H43" s="10">
        <f>_xll.BDH("CHTR US Equity","EARN_FOR_COMMON","FQ4 2019","FQ4 2019","Currency=USD","Period=FQ","BEST_FPERIOD_OVERRIDE=FQ","FILING_STATUS=MR","SCALING_FORMAT=MLN","FA_ADJUSTED=GAAP","Sort=A","Dates=H","DateFormat=P","Fill=—","Direction=H","UseDPDF=Y")</f>
        <v>714</v>
      </c>
      <c r="I43" s="10">
        <f>_xll.BDH("CHTR US Equity","EARN_FOR_COMMON","FQ1 2020","FQ1 2020","Currency=USD","Period=FQ","BEST_FPERIOD_OVERRIDE=FQ","FILING_STATUS=MR","SCALING_FORMAT=MLN","FA_ADJUSTED=GAAP","Sort=A","Dates=H","DateFormat=P","Fill=—","Direction=H","UseDPDF=Y")</f>
        <v>396</v>
      </c>
      <c r="J43" s="10">
        <f>_xll.BDH("CHTR US Equity","EARN_FOR_COMMON","FQ2 2020","FQ2 2020","Currency=USD","Period=FQ","BEST_FPERIOD_OVERRIDE=FQ","FILING_STATUS=MR","SCALING_FORMAT=MLN","FA_ADJUSTED=GAAP","Sort=A","Dates=H","DateFormat=P","Fill=—","Direction=H","UseDPDF=Y")</f>
        <v>766</v>
      </c>
      <c r="K43" s="10">
        <v>681</v>
      </c>
      <c r="L43" s="10">
        <v>948.58799999999997</v>
      </c>
    </row>
    <row r="44" spans="1:12" x14ac:dyDescent="0.3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2" x14ac:dyDescent="0.35">
      <c r="A45" s="12" t="s">
        <v>99</v>
      </c>
      <c r="B45" s="12" t="s">
        <v>47</v>
      </c>
      <c r="C45" s="10">
        <f>_xll.BDH("CHTR US Equity","EARN_FOR_COMMON","FQ3 2018","FQ3 2018","Currency=USD","Period=FQ","BEST_FPERIOD_OVERRIDE=FQ","FILING_STATUS=MR","SCALING_FORMAT=MLN","FA_ADJUSTED=Adjusted","Sort=A","Dates=H","DateFormat=P","Fill=—","Direction=H","UseDPDF=Y")</f>
        <v>497.74</v>
      </c>
      <c r="D45" s="10">
        <f>_xll.BDH("CHTR US Equity","EARN_FOR_COMMON","FQ4 2018","FQ4 2018","Currency=USD","Period=FQ","BEST_FPERIOD_OVERRIDE=FQ","FILING_STATUS=MR","SCALING_FORMAT=MLN","FA_ADJUSTED=Adjusted","Sort=A","Dates=H","DateFormat=P","Fill=—","Direction=H","UseDPDF=Y")</f>
        <v>467.43</v>
      </c>
      <c r="E45" s="10">
        <f>_xll.BDH("CHTR US Equity","EARN_FOR_COMMON","FQ1 2019","FQ1 2019","Currency=USD","Period=FQ","BEST_FPERIOD_OVERRIDE=FQ","FILING_STATUS=MR","SCALING_FORMAT=MLN","FA_ADJUSTED=Adjusted","Sort=A","Dates=H","DateFormat=P","Fill=—","Direction=H","UseDPDF=Y")</f>
        <v>278.27999999999997</v>
      </c>
      <c r="F45" s="10">
        <f>_xll.BDH("CHTR US Equity","EARN_FOR_COMMON","FQ2 2019","FQ2 2019","Currency=USD","Period=FQ","BEST_FPERIOD_OVERRIDE=FQ","FILING_STATUS=MR","SCALING_FORMAT=MLN","FA_ADJUSTED=Adjusted","Sort=A","Dates=H","DateFormat=P","Fill=—","Direction=H","UseDPDF=Y")</f>
        <v>456.99</v>
      </c>
      <c r="G45" s="10">
        <f>_xll.BDH("CHTR US Equity","EARN_FOR_COMMON","FQ3 2019","FQ3 2019","Currency=USD","Period=FQ","BEST_FPERIOD_OVERRIDE=FQ","FILING_STATUS=MR","SCALING_FORMAT=MLN","FA_ADJUSTED=Adjusted","Sort=A","Dates=H","DateFormat=P","Fill=—","Direction=H","UseDPDF=Y")</f>
        <v>371.2</v>
      </c>
      <c r="H45" s="10">
        <f>_xll.BDH("CHTR US Equity","EARN_FOR_COMMON","FQ4 2019","FQ4 2019","Currency=USD","Period=FQ","BEST_FPERIOD_OVERRIDE=FQ","FILING_STATUS=MR","SCALING_FORMAT=MLN","FA_ADJUSTED=Adjusted","Sort=A","Dates=H","DateFormat=P","Fill=—","Direction=H","UseDPDF=Y")</f>
        <v>735.33</v>
      </c>
      <c r="I45" s="10">
        <f>_xll.BDH("CHTR US Equity","EARN_FOR_COMMON","FQ1 2020","FQ1 2020","Currency=USD","Period=FQ","BEST_FPERIOD_OVERRIDE=FQ","FILING_STATUS=MR","SCALING_FORMAT=MLN","FA_ADJUSTED=Adjusted","Sort=A","Dates=H","DateFormat=P","Fill=—","Direction=H","UseDPDF=Y")</f>
        <v>674.08</v>
      </c>
      <c r="J45" s="10">
        <f>_xll.BDH("CHTR US Equity","EARN_FOR_COMMON","FQ2 2020","FQ2 2020","Currency=USD","Period=FQ","BEST_FPERIOD_OVERRIDE=FQ","FILING_STATUS=MR","SCALING_FORMAT=MLN","FA_ADJUSTED=Adjusted","Sort=A","Dates=H","DateFormat=P","Fill=—","Direction=H","UseDPDF=Y")</f>
        <v>717.02</v>
      </c>
      <c r="K45" s="10">
        <v>689.05</v>
      </c>
      <c r="L45" s="10">
        <v>969.45</v>
      </c>
    </row>
    <row r="46" spans="1:12" x14ac:dyDescent="0.35">
      <c r="A46" s="16" t="s">
        <v>98</v>
      </c>
      <c r="B46" s="16" t="s">
        <v>97</v>
      </c>
      <c r="C46" s="17">
        <f>_xll.BDH("CHTR US Equity","IS_NET_ABNORMAL_ITEMS","FQ3 2018","FQ3 2018","Currency=USD","Period=FQ","BEST_FPERIOD_OVERRIDE=FQ","FILING_STATUS=MR","SCALING_FORMAT=MLN","Sort=A","Dates=H","DateFormat=P","Fill=—","Direction=H","UseDPDF=Y")</f>
        <v>4.74</v>
      </c>
      <c r="D46" s="17">
        <f>_xll.BDH("CHTR US Equity","IS_NET_ABNORMAL_ITEMS","FQ4 2018","FQ4 2018","Currency=USD","Period=FQ","BEST_FPERIOD_OVERRIDE=FQ","FILING_STATUS=MR","SCALING_FORMAT=MLN","Sort=A","Dates=H","DateFormat=P","Fill=—","Direction=H","UseDPDF=Y")</f>
        <v>171.43</v>
      </c>
      <c r="E46" s="17">
        <f>_xll.BDH("CHTR US Equity","IS_NET_ABNORMAL_ITEMS","FQ1 2019","FQ1 2019","Currency=USD","Period=FQ","BEST_FPERIOD_OVERRIDE=FQ","FILING_STATUS=MR","SCALING_FORMAT=MLN","Sort=A","Dates=H","DateFormat=P","Fill=—","Direction=H","UseDPDF=Y")</f>
        <v>25.28</v>
      </c>
      <c r="F46" s="17">
        <f>_xll.BDH("CHTR US Equity","IS_NET_ABNORMAL_ITEMS","FQ2 2019","FQ2 2019","Currency=USD","Period=FQ","BEST_FPERIOD_OVERRIDE=FQ","FILING_STATUS=MR","SCALING_FORMAT=MLN","Sort=A","Dates=H","DateFormat=P","Fill=—","Direction=H","UseDPDF=Y")</f>
        <v>142.99</v>
      </c>
      <c r="G46" s="17">
        <f>_xll.BDH("CHTR US Equity","IS_NET_ABNORMAL_ITEMS","FQ3 2019","FQ3 2019","Currency=USD","Period=FQ","BEST_FPERIOD_OVERRIDE=FQ","FILING_STATUS=MR","SCALING_FORMAT=MLN","Sort=A","Dates=H","DateFormat=P","Fill=—","Direction=H","UseDPDF=Y")</f>
        <v>-15.8</v>
      </c>
      <c r="H46" s="17">
        <f>_xll.BDH("CHTR US Equity","IS_NET_ABNORMAL_ITEMS","FQ4 2019","FQ4 2019","Currency=USD","Period=FQ","BEST_FPERIOD_OVERRIDE=FQ","FILING_STATUS=MR","SCALING_FORMAT=MLN","Sort=A","Dates=H","DateFormat=P","Fill=—","Direction=H","UseDPDF=Y")</f>
        <v>21.33</v>
      </c>
      <c r="I46" s="17">
        <f>_xll.BDH("CHTR US Equity","IS_NET_ABNORMAL_ITEMS","FQ1 2020","FQ1 2020","Currency=USD","Period=FQ","BEST_FPERIOD_OVERRIDE=FQ","FILING_STATUS=MR","SCALING_FORMAT=MLN","Sort=A","Dates=H","DateFormat=P","Fill=—","Direction=H","UseDPDF=Y")</f>
        <v>278.08</v>
      </c>
      <c r="J46" s="17">
        <f>_xll.BDH("CHTR US Equity","IS_NET_ABNORMAL_ITEMS","FQ2 2020","FQ2 2020","Currency=USD","Period=FQ","BEST_FPERIOD_OVERRIDE=FQ","FILING_STATUS=MR","SCALING_FORMAT=MLN","Sort=A","Dates=H","DateFormat=P","Fill=—","Direction=H","UseDPDF=Y")</f>
        <v>-48.98</v>
      </c>
      <c r="K46" s="17"/>
      <c r="L46" s="17"/>
    </row>
    <row r="47" spans="1:12" x14ac:dyDescent="0.35">
      <c r="A47" s="16" t="s">
        <v>96</v>
      </c>
      <c r="B47" s="16" t="s">
        <v>95</v>
      </c>
      <c r="C47" s="17">
        <f>_xll.BDH("CHTR US Equity","XO_GL_NET_OF_TAX","FQ3 2018","FQ3 2018","Currency=USD","Period=FQ","BEST_FPERIOD_OVERRIDE=FQ","FILING_STATUS=MR","SCALING_FORMAT=MLN","Sort=A","Dates=H","DateFormat=P","Fill=—","Direction=H","UseDPDF=Y")</f>
        <v>0</v>
      </c>
      <c r="D47" s="17">
        <f>_xll.BDH("CHTR US Equity","XO_GL_NET_OF_TAX","FQ4 2018","FQ4 2018","Currency=USD","Period=FQ","BEST_FPERIOD_OVERRIDE=FQ","FILING_STATUS=MR","SCALING_FORMAT=MLN","Sort=A","Dates=H","DateFormat=P","Fill=—","Direction=H","UseDPDF=Y")</f>
        <v>0</v>
      </c>
      <c r="E47" s="17">
        <f>_xll.BDH("CHTR US Equity","XO_GL_NET_OF_TAX","FQ1 2019","FQ1 2019","Currency=USD","Period=FQ","BEST_FPERIOD_OVERRIDE=FQ","FILING_STATUS=MR","SCALING_FORMAT=MLN","Sort=A","Dates=H","DateFormat=P","Fill=—","Direction=H","UseDPDF=Y")</f>
        <v>0</v>
      </c>
      <c r="F47" s="17">
        <f>_xll.BDH("CHTR US Equity","XO_GL_NET_OF_TAX","FQ2 2019","FQ2 2019","Currency=USD","Period=FQ","BEST_FPERIOD_OVERRIDE=FQ","FILING_STATUS=MR","SCALING_FORMAT=MLN","Sort=A","Dates=H","DateFormat=P","Fill=—","Direction=H","UseDPDF=Y")</f>
        <v>0</v>
      </c>
      <c r="G47" s="17">
        <f>_xll.BDH("CHTR US Equity","XO_GL_NET_OF_TAX","FQ3 2019","FQ3 2019","Currency=USD","Period=FQ","BEST_FPERIOD_OVERRIDE=FQ","FILING_STATUS=MR","SCALING_FORMAT=MLN","Sort=A","Dates=H","DateFormat=P","Fill=—","Direction=H","UseDPDF=Y")</f>
        <v>0</v>
      </c>
      <c r="H47" s="17">
        <f>_xll.BDH("CHTR US Equity","XO_GL_NET_OF_TAX","FQ4 2019","FQ4 2019","Currency=USD","Period=FQ","BEST_FPERIOD_OVERRIDE=FQ","FILING_STATUS=MR","SCALING_FORMAT=MLN","Sort=A","Dates=H","DateFormat=P","Fill=—","Direction=H","UseDPDF=Y")</f>
        <v>0</v>
      </c>
      <c r="I47" s="17">
        <f>_xll.BDH("CHTR US Equity","XO_GL_NET_OF_TAX","FQ1 2020","FQ1 2020","Currency=USD","Period=FQ","BEST_FPERIOD_OVERRIDE=FQ","FILING_STATUS=MR","SCALING_FORMAT=MLN","Sort=A","Dates=H","DateFormat=P","Fill=—","Direction=H","UseDPDF=Y")</f>
        <v>0</v>
      </c>
      <c r="J47" s="17">
        <f>_xll.BDH("CHTR US Equity","XO_GL_NET_OF_TAX","FQ2 2020","FQ2 2020","Currency=USD","Period=FQ","BEST_FPERIOD_OVERRIDE=FQ","FILING_STATUS=MR","SCALING_FORMAT=MLN","Sort=A","Dates=H","DateFormat=P","Fill=—","Direction=H","UseDPDF=Y")</f>
        <v>0</v>
      </c>
      <c r="K47" s="17"/>
      <c r="L47" s="17"/>
    </row>
    <row r="48" spans="1:12" x14ac:dyDescent="0.35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1:12" x14ac:dyDescent="0.35">
      <c r="A49" s="16" t="s">
        <v>94</v>
      </c>
      <c r="B49" s="16" t="s">
        <v>93</v>
      </c>
      <c r="C49" s="17">
        <f>_xll.BDH("CHTR US Equity","IS_AVG_NUM_SH_FOR_EPS","FQ3 2018","FQ3 2018","Currency=USD","Period=FQ","BEST_FPERIOD_OVERRIDE=FQ","FILING_STATUS=MR","Sort=A","Dates=H","DateFormat=P","Fill=—","Direction=H","UseDPDF=Y")</f>
        <v>230.55459999999999</v>
      </c>
      <c r="D49" s="17">
        <f>_xll.BDH("CHTR US Equity","IS_AVG_NUM_SH_FOR_EPS","FQ4 2018","FQ4 2018","Currency=USD","Period=FQ","BEST_FPERIOD_OVERRIDE=FQ","FILING_STATUS=MR","Sort=A","Dates=H","DateFormat=P","Fill=—","Direction=H","UseDPDF=Y")</f>
        <v>227.006</v>
      </c>
      <c r="E49" s="17">
        <f>_xll.BDH("CHTR US Equity","IS_AVG_NUM_SH_FOR_EPS","FQ1 2019","FQ1 2019","Currency=USD","Period=FQ","BEST_FPERIOD_OVERRIDE=FQ","FILING_STATUS=MR","Sort=A","Dates=H","DateFormat=P","Fill=—","Direction=H","UseDPDF=Y")</f>
        <v>224.6301</v>
      </c>
      <c r="F49" s="17">
        <f>_xll.BDH("CHTR US Equity","IS_AVG_NUM_SH_FOR_EPS","FQ2 2019","FQ2 2019","Currency=USD","Period=FQ","BEST_FPERIOD_OVERRIDE=FQ","FILING_STATUS=MR","Sort=A","Dates=H","DateFormat=P","Fill=—","Direction=H","UseDPDF=Y")</f>
        <v>222.39230000000001</v>
      </c>
      <c r="G49" s="17">
        <f>_xll.BDH("CHTR US Equity","IS_AVG_NUM_SH_FOR_EPS","FQ3 2019","FQ3 2019","Currency=USD","Period=FQ","BEST_FPERIOD_OVERRIDE=FQ","FILING_STATUS=MR","Sort=A","Dates=H","DateFormat=P","Fill=—","Direction=H","UseDPDF=Y")</f>
        <v>218.4992</v>
      </c>
      <c r="H49" s="17">
        <f>_xll.BDH("CHTR US Equity","IS_AVG_NUM_SH_FOR_EPS","FQ4 2019","FQ4 2019","Currency=USD","Period=FQ","BEST_FPERIOD_OVERRIDE=FQ","FILING_STATUS=MR","Sort=A","Dates=H","DateFormat=P","Fill=—","Direction=H","UseDPDF=Y")</f>
        <v>212.6481</v>
      </c>
      <c r="I49" s="17">
        <f>_xll.BDH("CHTR US Equity","IS_AVG_NUM_SH_FOR_EPS","FQ1 2020","FQ1 2020","Currency=USD","Period=FQ","BEST_FPERIOD_OVERRIDE=FQ","FILING_STATUS=MR","Sort=A","Dates=H","DateFormat=P","Fill=—","Direction=H","UseDPDF=Y")</f>
        <v>207.8313</v>
      </c>
      <c r="J49" s="17">
        <f>_xll.BDH("CHTR US Equity","IS_AVG_NUM_SH_FOR_EPS","FQ2 2020","FQ2 2020","Currency=USD","Period=FQ","BEST_FPERIOD_OVERRIDE=FQ","FILING_STATUS=MR","Sort=A","Dates=H","DateFormat=P","Fill=—","Direction=H","UseDPDF=Y")</f>
        <v>205.7774</v>
      </c>
      <c r="K49" s="17"/>
      <c r="L49" s="17"/>
    </row>
    <row r="50" spans="1:12" x14ac:dyDescent="0.35">
      <c r="A50" s="12" t="s">
        <v>92</v>
      </c>
      <c r="B50" s="12" t="s">
        <v>91</v>
      </c>
      <c r="C50" s="11">
        <f>_xll.BDH("CHTR US Equity","IS_EPS","FQ3 2018","FQ3 2018","Currency=USD","Period=FQ","BEST_FPERIOD_OVERRIDE=FQ","FILING_STATUS=MR","FA_ADJUSTED=GAAP","Sort=A","Dates=H","DateFormat=P","Fill=—","Direction=H","UseDPDF=Y")</f>
        <v>2.14</v>
      </c>
      <c r="D50" s="11">
        <f>_xll.BDH("CHTR US Equity","IS_EPS","FQ4 2018","FQ4 2018","Currency=USD","Period=FQ","BEST_FPERIOD_OVERRIDE=FQ","FILING_STATUS=MR","FA_ADJUSTED=GAAP","Sort=A","Dates=H","DateFormat=P","Fill=—","Direction=H","UseDPDF=Y")</f>
        <v>1.31</v>
      </c>
      <c r="E50" s="11">
        <f>_xll.BDH("CHTR US Equity","IS_EPS","FQ1 2019","FQ1 2019","Currency=USD","Period=FQ","BEST_FPERIOD_OVERRIDE=FQ","FILING_STATUS=MR","FA_ADJUSTED=GAAP","Sort=A","Dates=H","DateFormat=P","Fill=—","Direction=H","UseDPDF=Y")</f>
        <v>1.1299999999999999</v>
      </c>
      <c r="F50" s="11">
        <f>_xll.BDH("CHTR US Equity","IS_EPS","FQ2 2019","FQ2 2019","Currency=USD","Period=FQ","BEST_FPERIOD_OVERRIDE=FQ","FILING_STATUS=MR","FA_ADJUSTED=GAAP","Sort=A","Dates=H","DateFormat=P","Fill=—","Direction=H","UseDPDF=Y")</f>
        <v>1.41</v>
      </c>
      <c r="G50" s="11">
        <f>_xll.BDH("CHTR US Equity","IS_EPS","FQ3 2019","FQ3 2019","Currency=USD","Period=FQ","BEST_FPERIOD_OVERRIDE=FQ","FILING_STATUS=MR","FA_ADJUSTED=GAAP","Sort=A","Dates=H","DateFormat=P","Fill=—","Direction=H","UseDPDF=Y")</f>
        <v>1.77</v>
      </c>
      <c r="H50" s="11">
        <f>_xll.BDH("CHTR US Equity","IS_EPS","FQ4 2019","FQ4 2019","Currency=USD","Period=FQ","BEST_FPERIOD_OVERRIDE=FQ","FILING_STATUS=MR","FA_ADJUSTED=GAAP","Sort=A","Dates=H","DateFormat=P","Fill=—","Direction=H","UseDPDF=Y")</f>
        <v>3.36</v>
      </c>
      <c r="I50" s="11">
        <f>_xll.BDH("CHTR US Equity","IS_EPS","FQ1 2020","FQ1 2020","Currency=USD","Period=FQ","BEST_FPERIOD_OVERRIDE=FQ","FILING_STATUS=MR","FA_ADJUSTED=GAAP","Sort=A","Dates=H","DateFormat=P","Fill=—","Direction=H","UseDPDF=Y")</f>
        <v>1.9100000000000001</v>
      </c>
      <c r="J50" s="11">
        <f>_xll.BDH("CHTR US Equity","IS_EPS","FQ2 2020","FQ2 2020","Currency=USD","Period=FQ","BEST_FPERIOD_OVERRIDE=FQ","FILING_STATUS=MR","FA_ADJUSTED=GAAP","Sort=A","Dates=H","DateFormat=P","Fill=—","Direction=H","UseDPDF=Y")</f>
        <v>3.7199999999999998</v>
      </c>
      <c r="K50" s="11">
        <v>3.2810000000000001</v>
      </c>
      <c r="L50" s="11">
        <v>4.423</v>
      </c>
    </row>
    <row r="51" spans="1:12" x14ac:dyDescent="0.35">
      <c r="A51" s="12" t="s">
        <v>90</v>
      </c>
      <c r="B51" s="12" t="s">
        <v>89</v>
      </c>
      <c r="C51" s="11">
        <f>_xll.BDH("CHTR US Equity","IS_EARN_BEF_XO_ITEMS_PER_SH","FQ3 2018","FQ3 2018","Currency=USD","Period=FQ","BEST_FPERIOD_OVERRIDE=FQ","FILING_STATUS=MR","Sort=A","Dates=H","DateFormat=P","Fill=—","Direction=H","UseDPDF=Y")</f>
        <v>2.14</v>
      </c>
      <c r="D51" s="11">
        <f>_xll.BDH("CHTR US Equity","IS_EARN_BEF_XO_ITEMS_PER_SH","FQ4 2018","FQ4 2018","Currency=USD","Period=FQ","BEST_FPERIOD_OVERRIDE=FQ","FILING_STATUS=MR","Sort=A","Dates=H","DateFormat=P","Fill=—","Direction=H","UseDPDF=Y")</f>
        <v>1.31</v>
      </c>
      <c r="E51" s="11">
        <f>_xll.BDH("CHTR US Equity","IS_EARN_BEF_XO_ITEMS_PER_SH","FQ1 2019","FQ1 2019","Currency=USD","Period=FQ","BEST_FPERIOD_OVERRIDE=FQ","FILING_STATUS=MR","Sort=A","Dates=H","DateFormat=P","Fill=—","Direction=H","UseDPDF=Y")</f>
        <v>1.1299999999999999</v>
      </c>
      <c r="F51" s="11">
        <f>_xll.BDH("CHTR US Equity","IS_EARN_BEF_XO_ITEMS_PER_SH","FQ2 2019","FQ2 2019","Currency=USD","Period=FQ","BEST_FPERIOD_OVERRIDE=FQ","FILING_STATUS=MR","Sort=A","Dates=H","DateFormat=P","Fill=—","Direction=H","UseDPDF=Y")</f>
        <v>1.41</v>
      </c>
      <c r="G51" s="11">
        <f>_xll.BDH("CHTR US Equity","IS_EARN_BEF_XO_ITEMS_PER_SH","FQ3 2019","FQ3 2019","Currency=USD","Period=FQ","BEST_FPERIOD_OVERRIDE=FQ","FILING_STATUS=MR","Sort=A","Dates=H","DateFormat=P","Fill=—","Direction=H","UseDPDF=Y")</f>
        <v>1.77</v>
      </c>
      <c r="H51" s="11">
        <f>_xll.BDH("CHTR US Equity","IS_EARN_BEF_XO_ITEMS_PER_SH","FQ4 2019","FQ4 2019","Currency=USD","Period=FQ","BEST_FPERIOD_OVERRIDE=FQ","FILING_STATUS=MR","Sort=A","Dates=H","DateFormat=P","Fill=—","Direction=H","UseDPDF=Y")</f>
        <v>3.36</v>
      </c>
      <c r="I51" s="11">
        <f>_xll.BDH("CHTR US Equity","IS_EARN_BEF_XO_ITEMS_PER_SH","FQ1 2020","FQ1 2020","Currency=USD","Period=FQ","BEST_FPERIOD_OVERRIDE=FQ","FILING_STATUS=MR","Sort=A","Dates=H","DateFormat=P","Fill=—","Direction=H","UseDPDF=Y")</f>
        <v>1.9100000000000001</v>
      </c>
      <c r="J51" s="11">
        <f>_xll.BDH("CHTR US Equity","IS_EARN_BEF_XO_ITEMS_PER_SH","FQ2 2020","FQ2 2020","Currency=USD","Period=FQ","BEST_FPERIOD_OVERRIDE=FQ","FILING_STATUS=MR","Sort=A","Dates=H","DateFormat=P","Fill=—","Direction=H","UseDPDF=Y")</f>
        <v>3.7199999999999998</v>
      </c>
      <c r="K51" s="11">
        <v>3.2810000000000001</v>
      </c>
      <c r="L51" s="11">
        <v>4.423</v>
      </c>
    </row>
    <row r="52" spans="1:12" x14ac:dyDescent="0.35">
      <c r="A52" s="12" t="s">
        <v>88</v>
      </c>
      <c r="B52" s="12" t="s">
        <v>87</v>
      </c>
      <c r="C52" s="11">
        <f>_xll.BDH("CHTR US Equity","IS_BASIC_EPS_CONT_OPS","FQ3 2018","FQ3 2018","Currency=USD","Period=FQ","BEST_FPERIOD_OVERRIDE=FQ","FILING_STATUS=MR","Sort=A","Dates=H","DateFormat=P","Fill=—","Direction=H","UseDPDF=Y")</f>
        <v>2.1589</v>
      </c>
      <c r="D52" s="11">
        <f>_xll.BDH("CHTR US Equity","IS_BASIC_EPS_CONT_OPS","FQ4 2018","FQ4 2018","Currency=USD","Period=FQ","BEST_FPERIOD_OVERRIDE=FQ","FILING_STATUS=MR","Sort=A","Dates=H","DateFormat=P","Fill=—","Direction=H","UseDPDF=Y")</f>
        <v>2.0590999999999999</v>
      </c>
      <c r="E52" s="11">
        <f>_xll.BDH("CHTR US Equity","IS_BASIC_EPS_CONT_OPS","FQ1 2019","FQ1 2019","Currency=USD","Period=FQ","BEST_FPERIOD_OVERRIDE=FQ","FILING_STATUS=MR","Sort=A","Dates=H","DateFormat=P","Fill=—","Direction=H","UseDPDF=Y")</f>
        <v>1.2387999999999999</v>
      </c>
      <c r="F52" s="11">
        <f>_xll.BDH("CHTR US Equity","IS_BASIC_EPS_CONT_OPS","FQ2 2019","FQ2 2019","Currency=USD","Period=FQ","BEST_FPERIOD_OVERRIDE=FQ","FILING_STATUS=MR","Sort=A","Dates=H","DateFormat=P","Fill=—","Direction=H","UseDPDF=Y")</f>
        <v>2.0548999999999999</v>
      </c>
      <c r="G52" s="11">
        <f>_xll.BDH("CHTR US Equity","IS_BASIC_EPS_CONT_OPS","FQ3 2019","FQ3 2019","Currency=USD","Period=FQ","BEST_FPERIOD_OVERRIDE=FQ","FILING_STATUS=MR","Sort=A","Dates=H","DateFormat=P","Fill=—","Direction=H","UseDPDF=Y")</f>
        <v>1.6989000000000001</v>
      </c>
      <c r="H52" s="11">
        <f>_xll.BDH("CHTR US Equity","IS_BASIC_EPS_CONT_OPS","FQ4 2019","FQ4 2019","Currency=USD","Period=FQ","BEST_FPERIOD_OVERRIDE=FQ","FILING_STATUS=MR","Sort=A","Dates=H","DateFormat=P","Fill=—","Direction=H","UseDPDF=Y")</f>
        <v>3.4580000000000002</v>
      </c>
      <c r="I52" s="11">
        <f>_xll.BDH("CHTR US Equity","IS_BASIC_EPS_CONT_OPS","FQ1 2020","FQ1 2020","Currency=USD","Period=FQ","BEST_FPERIOD_OVERRIDE=FQ","FILING_STATUS=MR","Sort=A","Dates=H","DateFormat=P","Fill=—","Direction=H","UseDPDF=Y")</f>
        <v>3.2433999999999998</v>
      </c>
      <c r="J52" s="11">
        <f>_xll.BDH("CHTR US Equity","IS_BASIC_EPS_CONT_OPS","FQ2 2020","FQ2 2020","Currency=USD","Period=FQ","BEST_FPERIOD_OVERRIDE=FQ","FILING_STATUS=MR","Sort=A","Dates=H","DateFormat=P","Fill=—","Direction=H","UseDPDF=Y")</f>
        <v>3.4843999999999999</v>
      </c>
      <c r="K52" s="11">
        <v>3.0779999999999998</v>
      </c>
      <c r="L52" s="11">
        <v>4.4489999999999998</v>
      </c>
    </row>
    <row r="53" spans="1:12" x14ac:dyDescent="0.3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spans="1:12" x14ac:dyDescent="0.35">
      <c r="A54" s="16" t="s">
        <v>86</v>
      </c>
      <c r="B54" s="16" t="s">
        <v>85</v>
      </c>
      <c r="C54" s="17">
        <f>_xll.BDH("CHTR US Equity","IS_SH_FOR_DILUTED_EPS","FQ3 2018","FQ3 2018","Currency=USD","Period=FQ","BEST_FPERIOD_OVERRIDE=FQ","FILING_STATUS=MR","Sort=A","Dates=H","DateFormat=P","Fill=—","Direction=H","UseDPDF=Y")</f>
        <v>233.60740000000001</v>
      </c>
      <c r="D54" s="17">
        <f>_xll.BDH("CHTR US Equity","IS_SH_FOR_DILUTED_EPS","FQ4 2018","FQ4 2018","Currency=USD","Period=FQ","BEST_FPERIOD_OVERRIDE=FQ","FILING_STATUS=MR","Sort=A","Dates=H","DateFormat=P","Fill=—","Direction=H","UseDPDF=Y")</f>
        <v>230.1319</v>
      </c>
      <c r="E54" s="17">
        <f>_xll.BDH("CHTR US Equity","IS_SH_FOR_DILUTED_EPS","FQ1 2019","FQ1 2019","Currency=USD","Period=FQ","BEST_FPERIOD_OVERRIDE=FQ","FILING_STATUS=MR","Sort=A","Dates=H","DateFormat=P","Fill=—","Direction=H","UseDPDF=Y")</f>
        <v>227.59540000000001</v>
      </c>
      <c r="F54" s="17">
        <f>_xll.BDH("CHTR US Equity","IS_SH_FOR_DILUTED_EPS","FQ2 2019","FQ2 2019","Currency=USD","Period=FQ","BEST_FPERIOD_OVERRIDE=FQ","FILING_STATUS=MR","Sort=A","Dates=H","DateFormat=P","Fill=—","Direction=H","UseDPDF=Y")</f>
        <v>225.94220000000001</v>
      </c>
      <c r="G54" s="17">
        <f>_xll.BDH("CHTR US Equity","IS_SH_FOR_DILUTED_EPS","FQ3 2019","FQ3 2019","Currency=USD","Period=FQ","BEST_FPERIOD_OVERRIDE=FQ","FILING_STATUS=MR","Sort=A","Dates=H","DateFormat=P","Fill=—","Direction=H","UseDPDF=Y")</f>
        <v>222.35589999999999</v>
      </c>
      <c r="H54" s="17">
        <f>_xll.BDH("CHTR US Equity","IS_SH_FOR_DILUTED_EPS","FQ4 2019","FQ4 2019","Currency=USD","Period=FQ","BEST_FPERIOD_OVERRIDE=FQ","FILING_STATUS=MR","Sort=A","Dates=H","DateFormat=P","Fill=—","Direction=H","UseDPDF=Y")</f>
        <v>217.77809999999999</v>
      </c>
      <c r="I54" s="17">
        <f>_xll.BDH("CHTR US Equity","IS_SH_FOR_DILUTED_EPS","FQ1 2020","FQ1 2020","Currency=USD","Period=FQ","BEST_FPERIOD_OVERRIDE=FQ","FILING_STATUS=MR","Sort=A","Dates=H","DateFormat=P","Fill=—","Direction=H","UseDPDF=Y")</f>
        <v>212.81059999999999</v>
      </c>
      <c r="J54" s="17">
        <f>_xll.BDH("CHTR US Equity","IS_SH_FOR_DILUTED_EPS","FQ2 2020","FQ2 2020","Currency=USD","Period=FQ","BEST_FPERIOD_OVERRIDE=FQ","FILING_STATUS=MR","Sort=A","Dates=H","DateFormat=P","Fill=—","Direction=H","UseDPDF=Y")</f>
        <v>210.90690000000001</v>
      </c>
      <c r="K54" s="17"/>
      <c r="L54" s="17"/>
    </row>
    <row r="55" spans="1:12" x14ac:dyDescent="0.35">
      <c r="A55" s="12" t="s">
        <v>84</v>
      </c>
      <c r="B55" s="12" t="s">
        <v>83</v>
      </c>
      <c r="C55" s="11">
        <f>_xll.BDH("CHTR US Equity","IS_DILUTED_EPS","FQ3 2018","FQ3 2018","Currency=USD","Period=FQ","BEST_FPERIOD_OVERRIDE=FQ","FILING_STATUS=MR","FA_ADJUSTED=GAAP","Sort=A","Dates=H","DateFormat=P","Fill=—","Direction=H","UseDPDF=Y")</f>
        <v>2.11</v>
      </c>
      <c r="D55" s="11">
        <f>_xll.BDH("CHTR US Equity","IS_DILUTED_EPS","FQ4 2018","FQ4 2018","Currency=USD","Period=FQ","BEST_FPERIOD_OVERRIDE=FQ","FILING_STATUS=MR","FA_ADJUSTED=GAAP","Sort=A","Dates=H","DateFormat=P","Fill=—","Direction=H","UseDPDF=Y")</f>
        <v>1.29</v>
      </c>
      <c r="E55" s="11">
        <f>_xll.BDH("CHTR US Equity","IS_DILUTED_EPS","FQ1 2019","FQ1 2019","Currency=USD","Period=FQ","BEST_FPERIOD_OVERRIDE=FQ","FILING_STATUS=MR","FA_ADJUSTED=GAAP","Sort=A","Dates=H","DateFormat=P","Fill=—","Direction=H","UseDPDF=Y")</f>
        <v>1.1100000000000001</v>
      </c>
      <c r="F55" s="11">
        <f>_xll.BDH("CHTR US Equity","IS_DILUTED_EPS","FQ2 2019","FQ2 2019","Currency=USD","Period=FQ","BEST_FPERIOD_OVERRIDE=FQ","FILING_STATUS=MR","FA_ADJUSTED=GAAP","Sort=A","Dates=H","DateFormat=P","Fill=—","Direction=H","UseDPDF=Y")</f>
        <v>1.3900000000000001</v>
      </c>
      <c r="G55" s="11">
        <f>_xll.BDH("CHTR US Equity","IS_DILUTED_EPS","FQ3 2019","FQ3 2019","Currency=USD","Period=FQ","BEST_FPERIOD_OVERRIDE=FQ","FILING_STATUS=MR","FA_ADJUSTED=GAAP","Sort=A","Dates=H","DateFormat=P","Fill=—","Direction=H","UseDPDF=Y")</f>
        <v>1.74</v>
      </c>
      <c r="H55" s="11">
        <f>_xll.BDH("CHTR US Equity","IS_DILUTED_EPS","FQ4 2019","FQ4 2019","Currency=USD","Period=FQ","BEST_FPERIOD_OVERRIDE=FQ","FILING_STATUS=MR","FA_ADJUSTED=GAAP","Sort=A","Dates=H","DateFormat=P","Fill=—","Direction=H","UseDPDF=Y")</f>
        <v>3.2800000000000002</v>
      </c>
      <c r="I55" s="11">
        <f>_xll.BDH("CHTR US Equity","IS_DILUTED_EPS","FQ1 2020","FQ1 2020","Currency=USD","Period=FQ","BEST_FPERIOD_OVERRIDE=FQ","FILING_STATUS=MR","FA_ADJUSTED=GAAP","Sort=A","Dates=H","DateFormat=P","Fill=—","Direction=H","UseDPDF=Y")</f>
        <v>1.8599999999999999</v>
      </c>
      <c r="J55" s="11">
        <f>_xll.BDH("CHTR US Equity","IS_DILUTED_EPS","FQ2 2020","FQ2 2020","Currency=USD","Period=FQ","BEST_FPERIOD_OVERRIDE=FQ","FILING_STATUS=MR","FA_ADJUSTED=GAAP","Sort=A","Dates=H","DateFormat=P","Fill=—","Direction=H","UseDPDF=Y")</f>
        <v>3.63</v>
      </c>
      <c r="K55" s="11">
        <v>3.2810000000000001</v>
      </c>
      <c r="L55" s="11">
        <v>4.423</v>
      </c>
    </row>
    <row r="56" spans="1:12" x14ac:dyDescent="0.35">
      <c r="A56" s="12" t="s">
        <v>82</v>
      </c>
      <c r="B56" s="12" t="s">
        <v>81</v>
      </c>
      <c r="C56" s="11">
        <f>_xll.BDH("CHTR US Equity","IS_DIL_EPS_BEF_XO","FQ3 2018","FQ3 2018","Currency=USD","Period=FQ","BEST_FPERIOD_OVERRIDE=FQ","FILING_STATUS=MR","Sort=A","Dates=H","DateFormat=P","Fill=—","Direction=H","UseDPDF=Y")</f>
        <v>2.11</v>
      </c>
      <c r="D56" s="11">
        <f>_xll.BDH("CHTR US Equity","IS_DIL_EPS_BEF_XO","FQ4 2018","FQ4 2018","Currency=USD","Period=FQ","BEST_FPERIOD_OVERRIDE=FQ","FILING_STATUS=MR","Sort=A","Dates=H","DateFormat=P","Fill=—","Direction=H","UseDPDF=Y")</f>
        <v>1.29</v>
      </c>
      <c r="E56" s="11">
        <f>_xll.BDH("CHTR US Equity","IS_DIL_EPS_BEF_XO","FQ1 2019","FQ1 2019","Currency=USD","Period=FQ","BEST_FPERIOD_OVERRIDE=FQ","FILING_STATUS=MR","Sort=A","Dates=H","DateFormat=P","Fill=—","Direction=H","UseDPDF=Y")</f>
        <v>1.1100000000000001</v>
      </c>
      <c r="F56" s="11">
        <f>_xll.BDH("CHTR US Equity","IS_DIL_EPS_BEF_XO","FQ2 2019","FQ2 2019","Currency=USD","Period=FQ","BEST_FPERIOD_OVERRIDE=FQ","FILING_STATUS=MR","Sort=A","Dates=H","DateFormat=P","Fill=—","Direction=H","UseDPDF=Y")</f>
        <v>1.3900000000000001</v>
      </c>
      <c r="G56" s="11">
        <f>_xll.BDH("CHTR US Equity","IS_DIL_EPS_BEF_XO","FQ3 2019","FQ3 2019","Currency=USD","Period=FQ","BEST_FPERIOD_OVERRIDE=FQ","FILING_STATUS=MR","Sort=A","Dates=H","DateFormat=P","Fill=—","Direction=H","UseDPDF=Y")</f>
        <v>1.74</v>
      </c>
      <c r="H56" s="11">
        <f>_xll.BDH("CHTR US Equity","IS_DIL_EPS_BEF_XO","FQ4 2019","FQ4 2019","Currency=USD","Period=FQ","BEST_FPERIOD_OVERRIDE=FQ","FILING_STATUS=MR","Sort=A","Dates=H","DateFormat=P","Fill=—","Direction=H","UseDPDF=Y")</f>
        <v>3.2800000000000002</v>
      </c>
      <c r="I56" s="11">
        <f>_xll.BDH("CHTR US Equity","IS_DIL_EPS_BEF_XO","FQ1 2020","FQ1 2020","Currency=USD","Period=FQ","BEST_FPERIOD_OVERRIDE=FQ","FILING_STATUS=MR","Sort=A","Dates=H","DateFormat=P","Fill=—","Direction=H","UseDPDF=Y")</f>
        <v>1.8599999999999999</v>
      </c>
      <c r="J56" s="11">
        <f>_xll.BDH("CHTR US Equity","IS_DIL_EPS_BEF_XO","FQ2 2020","FQ2 2020","Currency=USD","Period=FQ","BEST_FPERIOD_OVERRIDE=FQ","FILING_STATUS=MR","Sort=A","Dates=H","DateFormat=P","Fill=—","Direction=H","UseDPDF=Y")</f>
        <v>3.63</v>
      </c>
      <c r="K56" s="11">
        <v>3.2810000000000001</v>
      </c>
      <c r="L56" s="11">
        <v>4.423</v>
      </c>
    </row>
    <row r="57" spans="1:12" x14ac:dyDescent="0.35">
      <c r="A57" s="12" t="s">
        <v>80</v>
      </c>
      <c r="B57" s="12" t="s">
        <v>49</v>
      </c>
      <c r="C57" s="11">
        <f>_xll.BDH("CHTR US Equity","IS_DIL_EPS_CONT_OPS","FQ3 2018","FQ3 2018","Currency=USD","Period=FQ","BEST_FPERIOD_OVERRIDE=FQ","FILING_STATUS=MR","Sort=A","Dates=H","DateFormat=P","Fill=—","Direction=H","UseDPDF=Y")</f>
        <v>2.1303000000000001</v>
      </c>
      <c r="D57" s="11">
        <f>_xll.BDH("CHTR US Equity","IS_DIL_EPS_CONT_OPS","FQ4 2018","FQ4 2018","Currency=USD","Period=FQ","BEST_FPERIOD_OVERRIDE=FQ","FILING_STATUS=MR","Sort=A","Dates=H","DateFormat=P","Fill=—","Direction=H","UseDPDF=Y")</f>
        <v>2.0348999999999999</v>
      </c>
      <c r="E57" s="11">
        <f>_xll.BDH("CHTR US Equity","IS_DIL_EPS_CONT_OPS","FQ1 2019","FQ1 2019","Currency=USD","Period=FQ","BEST_FPERIOD_OVERRIDE=FQ","FILING_STATUS=MR","Sort=A","Dates=H","DateFormat=P","Fill=—","Direction=H","UseDPDF=Y")</f>
        <v>1.2211000000000001</v>
      </c>
      <c r="F57" s="11">
        <f>_xll.BDH("CHTR US Equity","IS_DIL_EPS_CONT_OPS","FQ2 2019","FQ2 2019","Currency=USD","Period=FQ","BEST_FPERIOD_OVERRIDE=FQ","FILING_STATUS=MR","Sort=A","Dates=H","DateFormat=P","Fill=—","Direction=H","UseDPDF=Y")</f>
        <v>2.0228999999999999</v>
      </c>
      <c r="G57" s="11">
        <f>_xll.BDH("CHTR US Equity","IS_DIL_EPS_CONT_OPS","FQ3 2019","FQ3 2019","Currency=USD","Period=FQ","BEST_FPERIOD_OVERRIDE=FQ","FILING_STATUS=MR","Sort=A","Dates=H","DateFormat=P","Fill=—","Direction=H","UseDPDF=Y")</f>
        <v>1.6689000000000001</v>
      </c>
      <c r="H57" s="11">
        <f>_xll.BDH("CHTR US Equity","IS_DIL_EPS_CONT_OPS","FQ4 2019","FQ4 2019","Currency=USD","Period=FQ","BEST_FPERIOD_OVERRIDE=FQ","FILING_STATUS=MR","Sort=A","Dates=H","DateFormat=P","Fill=—","Direction=H","UseDPDF=Y")</f>
        <v>3.3778999999999999</v>
      </c>
      <c r="I57" s="11">
        <f>_xll.BDH("CHTR US Equity","IS_DIL_EPS_CONT_OPS","FQ1 2020","FQ1 2020","Currency=USD","Period=FQ","BEST_FPERIOD_OVERRIDE=FQ","FILING_STATUS=MR","Sort=A","Dates=H","DateFormat=P","Fill=—","Direction=H","UseDPDF=Y")</f>
        <v>3.1667000000000001</v>
      </c>
      <c r="J57" s="11">
        <f>_xll.BDH("CHTR US Equity","IS_DIL_EPS_CONT_OPS","FQ2 2020","FQ2 2020","Currency=USD","Period=FQ","BEST_FPERIOD_OVERRIDE=FQ","FILING_STATUS=MR","Sort=A","Dates=H","DateFormat=P","Fill=—","Direction=H","UseDPDF=Y")</f>
        <v>3.3978000000000002</v>
      </c>
      <c r="K57" s="11">
        <v>3.0779999999999998</v>
      </c>
      <c r="L57" s="11">
        <v>4.4489999999999998</v>
      </c>
    </row>
    <row r="58" spans="1:12" x14ac:dyDescent="0.35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spans="1:12" x14ac:dyDescent="0.35">
      <c r="A59" s="12" t="s">
        <v>2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 spans="1:12" x14ac:dyDescent="0.35">
      <c r="A60" s="16" t="s">
        <v>79</v>
      </c>
      <c r="B60" s="16" t="s">
        <v>78</v>
      </c>
      <c r="C60" s="14" t="s">
        <v>77</v>
      </c>
      <c r="D60" s="14" t="s">
        <v>77</v>
      </c>
      <c r="E60" s="14" t="s">
        <v>77</v>
      </c>
      <c r="F60" s="14" t="s">
        <v>77</v>
      </c>
      <c r="G60" s="14" t="s">
        <v>77</v>
      </c>
      <c r="H60" s="14" t="s">
        <v>77</v>
      </c>
      <c r="I60" s="14" t="s">
        <v>77</v>
      </c>
      <c r="J60" s="14" t="s">
        <v>77</v>
      </c>
      <c r="K60" s="14"/>
      <c r="L60" s="14"/>
    </row>
    <row r="61" spans="1:12" x14ac:dyDescent="0.35">
      <c r="A61" s="16" t="s">
        <v>45</v>
      </c>
      <c r="B61" s="16" t="s">
        <v>45</v>
      </c>
      <c r="C61" s="17">
        <f>_xll.BDH("CHTR US Equity","EBITDA","FQ3 2018","FQ3 2018","Currency=USD","Period=FQ","BEST_FPERIOD_OVERRIDE=FQ","FILING_STATUS=MR","SCALING_FORMAT=MLN","FA_ADJUSTED=Adjusted","Sort=A","Dates=H","DateFormat=P","Fill=—","Direction=H","UseDPDF=Y")</f>
        <v>3880</v>
      </c>
      <c r="D61" s="17">
        <f>_xll.BDH("CHTR US Equity","EBITDA","FQ4 2018","FQ4 2018","Currency=USD","Period=FQ","BEST_FPERIOD_OVERRIDE=FQ","FILING_STATUS=MR","SCALING_FORMAT=MLN","FA_ADJUSTED=Adjusted","Sort=A","Dates=H","DateFormat=P","Fill=—","Direction=H","UseDPDF=Y")</f>
        <v>4080</v>
      </c>
      <c r="E61" s="17">
        <f>_xll.BDH("CHTR US Equity","EBITDA","FQ1 2019","FQ1 2019","Currency=USD","Period=FQ","BEST_FPERIOD_OVERRIDE=FQ","FILING_STATUS=MR","SCALING_FORMAT=MLN","FA_ADJUSTED=Adjusted","Sort=A","Dates=H","DateFormat=P","Fill=—","Direction=H","UseDPDF=Y")</f>
        <v>4034</v>
      </c>
      <c r="F61" s="17">
        <f>_xll.BDH("CHTR US Equity","EBITDA","FQ2 2019","FQ2 2019","Currency=USD","Period=FQ","BEST_FPERIOD_OVERRIDE=FQ","FILING_STATUS=MR","SCALING_FORMAT=MLN","FA_ADJUSTED=Adjusted","Sort=A","Dates=H","DateFormat=P","Fill=—","Direction=H","UseDPDF=Y")</f>
        <v>4175</v>
      </c>
      <c r="G61" s="17">
        <f>_xll.BDH("CHTR US Equity","EBITDA","FQ3 2019","FQ3 2019","Currency=USD","Period=FQ","BEST_FPERIOD_OVERRIDE=FQ","FILING_STATUS=MR","SCALING_FORMAT=MLN","FA_ADJUSTED=Adjusted","Sort=A","Dates=H","DateFormat=P","Fill=—","Direction=H","UseDPDF=Y")</f>
        <v>4083</v>
      </c>
      <c r="H61" s="17">
        <f>_xll.BDH("CHTR US Equity","EBITDA","FQ4 2019","FQ4 2019","Currency=USD","Period=FQ","BEST_FPERIOD_OVERRIDE=FQ","FILING_STATUS=MR","SCALING_FORMAT=MLN","FA_ADJUSTED=Adjusted","Sort=A","Dates=H","DateFormat=P","Fill=—","Direction=H","UseDPDF=Y")</f>
        <v>4550</v>
      </c>
      <c r="I61" s="17">
        <f>_xll.BDH("CHTR US Equity","EBITDA","FQ1 2020","FQ1 2020","Currency=USD","Period=FQ","BEST_FPERIOD_OVERRIDE=FQ","FILING_STATUS=MR","SCALING_FORMAT=MLN","FA_ADJUSTED=Adjusted","Sort=A","Dates=H","DateFormat=P","Fill=—","Direction=H","UseDPDF=Y")</f>
        <v>4379</v>
      </c>
      <c r="J61" s="17">
        <f>_xll.BDH("CHTR US Equity","EBITDA","FQ2 2020","FQ2 2020","Currency=USD","Period=FQ","BEST_FPERIOD_OVERRIDE=FQ","FILING_STATUS=MR","SCALING_FORMAT=MLN","FA_ADJUSTED=Adjusted","Sort=A","Dates=H","DateFormat=P","Fill=—","Direction=H","UseDPDF=Y")</f>
        <v>4475</v>
      </c>
      <c r="K61" s="17">
        <v>4438.8100000000004</v>
      </c>
      <c r="L61" s="17">
        <v>4838.3329999999996</v>
      </c>
    </row>
    <row r="62" spans="1:12" x14ac:dyDescent="0.35">
      <c r="A62" s="16" t="s">
        <v>76</v>
      </c>
      <c r="B62" s="16" t="s">
        <v>75</v>
      </c>
      <c r="C62" s="15">
        <f>_xll.BDH("CHTR US Equity","EBITDA_MARGIN","FQ3 2018","FQ3 2018","Currency=USD","Period=FQ","BEST_FPERIOD_OVERRIDE=FQ","FILING_STATUS=MR","FA_ADJUSTED=Adjusted","Sort=A","Dates=H","DateFormat=P","Fill=—","Direction=H","UseDPDF=Y")</f>
        <v>35.428400000000003</v>
      </c>
      <c r="D62" s="15">
        <f>_xll.BDH("CHTR US Equity","EBITDA_MARGIN","FQ4 2018","FQ4 2018","Currency=USD","Period=FQ","BEST_FPERIOD_OVERRIDE=FQ","FILING_STATUS=MR","FA_ADJUSTED=Adjusted","Sort=A","Dates=H","DateFormat=P","Fill=—","Direction=H","UseDPDF=Y")</f>
        <v>36.123199999999997</v>
      </c>
      <c r="E62" s="15">
        <f>_xll.BDH("CHTR US Equity","EBITDA_MARGIN","FQ1 2019","FQ1 2019","Currency=USD","Period=FQ","BEST_FPERIOD_OVERRIDE=FQ","FILING_STATUS=MR","FA_ADJUSTED=Adjusted","Sort=A","Dates=H","DateFormat=P","Fill=—","Direction=H","UseDPDF=Y")</f>
        <v>36.156399999999998</v>
      </c>
      <c r="F62" s="15">
        <f>_xll.BDH("CHTR US Equity","EBITDA_MARGIN","FQ2 2019","FQ2 2019","Currency=USD","Period=FQ","BEST_FPERIOD_OVERRIDE=FQ","FILING_STATUS=MR","FA_ADJUSTED=Adjusted","Sort=A","Dates=H","DateFormat=P","Fill=—","Direction=H","UseDPDF=Y")</f>
        <v>36.191699999999997</v>
      </c>
      <c r="G62" s="15">
        <f>_xll.BDH("CHTR US Equity","EBITDA_MARGIN","FQ3 2019","FQ3 2019","Currency=USD","Period=FQ","BEST_FPERIOD_OVERRIDE=FQ","FILING_STATUS=MR","FA_ADJUSTED=Adjusted","Sort=A","Dates=H","DateFormat=P","Fill=—","Direction=H","UseDPDF=Y")</f>
        <v>36.194000000000003</v>
      </c>
      <c r="H62" s="15">
        <f>_xll.BDH("CHTR US Equity","EBITDA_MARGIN","FQ4 2019","FQ4 2019","Currency=USD","Period=FQ","BEST_FPERIOD_OVERRIDE=FQ","FILING_STATUS=MR","FA_ADJUSTED=Adjusted","Sort=A","Dates=H","DateFormat=P","Fill=—","Direction=H","UseDPDF=Y")</f>
        <v>36.801900000000003</v>
      </c>
      <c r="I62" s="15">
        <f>_xll.BDH("CHTR US Equity","EBITDA_MARGIN","FQ1 2020","FQ1 2020","Currency=USD","Period=FQ","BEST_FPERIOD_OVERRIDE=FQ","FILING_STATUS=MR","FA_ADJUSTED=Adjusted","Sort=A","Dates=H","DateFormat=P","Fill=—","Direction=H","UseDPDF=Y")</f>
        <v>37.124200000000002</v>
      </c>
      <c r="J62" s="15">
        <f>_xll.BDH("CHTR US Equity","EBITDA_MARGIN","FQ2 2020","FQ2 2020","Currency=USD","Period=FQ","BEST_FPERIOD_OVERRIDE=FQ","FILING_STATUS=MR","FA_ADJUSTED=Adjusted","Sort=A","Dates=H","DateFormat=P","Fill=—","Direction=H","UseDPDF=Y")</f>
        <v>37.4895</v>
      </c>
      <c r="K62" s="15">
        <v>38.188150703812298</v>
      </c>
      <c r="L62" s="15">
        <v>38.488576108423501</v>
      </c>
    </row>
    <row r="63" spans="1:12" x14ac:dyDescent="0.35">
      <c r="A63" s="16" t="s">
        <v>74</v>
      </c>
      <c r="B63" s="16" t="s">
        <v>74</v>
      </c>
      <c r="C63" s="17">
        <f>_xll.BDH("CHTR US Equity","EBITA","FQ3 2018","FQ3 2018","Currency=USD","Period=FQ","BEST_FPERIOD_OVERRIDE=FQ","FILING_STATUS=MR","SCALING_FORMAT=MLN","FA_ADJUSTED=Adjusted","Sort=A","Dates=H","DateFormat=P","Fill=—","Direction=H","UseDPDF=Y")</f>
        <v>1981</v>
      </c>
      <c r="D63" s="17">
        <f>_xll.BDH("CHTR US Equity","EBITA","FQ4 2018","FQ4 2018","Currency=USD","Period=FQ","BEST_FPERIOD_OVERRIDE=FQ","FILING_STATUS=MR","SCALING_FORMAT=MLN","FA_ADJUSTED=Adjusted","Sort=A","Dates=H","DateFormat=P","Fill=—","Direction=H","UseDPDF=Y")</f>
        <v>3381</v>
      </c>
      <c r="E63" s="17">
        <f>_xll.BDH("CHTR US Equity","EBITA","FQ1 2019","FQ1 2019","Currency=USD","Period=FQ","BEST_FPERIOD_OVERRIDE=FQ","FILING_STATUS=MR","SCALING_FORMAT=MLN","FA_ADJUSTED=Adjusted","Sort=A","Dates=H","DateFormat=P","Fill=—","Direction=H","UseDPDF=Y")</f>
        <v>1484</v>
      </c>
      <c r="F63" s="17">
        <f>_xll.BDH("CHTR US Equity","EBITA","FQ2 2019","FQ2 2019","Currency=USD","Period=FQ","BEST_FPERIOD_OVERRIDE=FQ","FILING_STATUS=MR","SCALING_FORMAT=MLN","FA_ADJUSTED=Adjusted","Sort=A","Dates=H","DateFormat=P","Fill=—","Direction=H","UseDPDF=Y")</f>
        <v>2223</v>
      </c>
      <c r="G63" s="17">
        <f>_xll.BDH("CHTR US Equity","EBITA","FQ3 2019","FQ3 2019","Currency=USD","Period=FQ","BEST_FPERIOD_OVERRIDE=FQ","FILING_STATUS=MR","SCALING_FORMAT=MLN","FA_ADJUSTED=Adjusted","Sort=A","Dates=H","DateFormat=P","Fill=—","Direction=H","UseDPDF=Y")</f>
        <v>2184</v>
      </c>
      <c r="H63" s="17">
        <f>_xll.BDH("CHTR US Equity","EBITA","FQ4 2019","FQ4 2019","Currency=USD","Period=FQ","BEST_FPERIOD_OVERRIDE=FQ","FILING_STATUS=MR","SCALING_FORMAT=MLN","FA_ADJUSTED=Adjusted","Sort=A","Dates=H","DateFormat=P","Fill=—","Direction=H","UseDPDF=Y")</f>
        <v>3699</v>
      </c>
      <c r="I63" s="17">
        <f>_xll.BDH("CHTR US Equity","EBITA","FQ1 2020","FQ1 2020","Currency=USD","Period=FQ","BEST_FPERIOD_OVERRIDE=FQ","FILING_STATUS=MR","SCALING_FORMAT=MLN","FA_ADJUSTED=Adjusted","Sort=A","Dates=H","DateFormat=P","Fill=—","Direction=H","UseDPDF=Y")</f>
        <v>1882</v>
      </c>
      <c r="J63" s="17">
        <f>_xll.BDH("CHTR US Equity","EBITA","FQ2 2020","FQ2 2020","Currency=USD","Period=FQ","BEST_FPERIOD_OVERRIDE=FQ","FILING_STATUS=MR","SCALING_FORMAT=MLN","FA_ADJUSTED=Adjusted","Sort=A","Dates=H","DateFormat=P","Fill=—","Direction=H","UseDPDF=Y")</f>
        <v>2595</v>
      </c>
      <c r="K63" s="17"/>
      <c r="L63" s="17"/>
    </row>
    <row r="64" spans="1:12" x14ac:dyDescent="0.35">
      <c r="A64" s="16" t="s">
        <v>73</v>
      </c>
      <c r="B64" s="16" t="s">
        <v>73</v>
      </c>
      <c r="C64" s="17">
        <f>_xll.BDH("CHTR US Equity","EBIT","FQ3 2018","FQ3 2018","Currency=USD","Period=FQ","BEST_FPERIOD_OVERRIDE=FQ","FILING_STATUS=MR","SCALING_FORMAT=MLN","FA_ADJUSTED=Adjusted","Sort=A","Dates=H","DateFormat=P","Fill=—","Direction=H","UseDPDF=Y")</f>
        <v>1398</v>
      </c>
      <c r="D64" s="17">
        <f>_xll.BDH("CHTR US Equity","EBIT","FQ4 2018","FQ4 2018","Currency=USD","Period=FQ","BEST_FPERIOD_OVERRIDE=FQ","FILING_STATUS=MR","SCALING_FORMAT=MLN","FA_ADJUSTED=Adjusted","Sort=A","Dates=H","DateFormat=P","Fill=—","Direction=H","UseDPDF=Y")</f>
        <v>1546</v>
      </c>
      <c r="E64" s="17">
        <f>_xll.BDH("CHTR US Equity","EBIT","FQ1 2019","FQ1 2019","Currency=USD","Period=FQ","BEST_FPERIOD_OVERRIDE=FQ","FILING_STATUS=MR","SCALING_FORMAT=MLN","FA_ADJUSTED=Adjusted","Sort=A","Dates=H","DateFormat=P","Fill=—","Direction=H","UseDPDF=Y")</f>
        <v>1420</v>
      </c>
      <c r="F64" s="17">
        <f>_xll.BDH("CHTR US Equity","EBIT","FQ2 2019","FQ2 2019","Currency=USD","Period=FQ","BEST_FPERIOD_OVERRIDE=FQ","FILING_STATUS=MR","SCALING_FORMAT=MLN","FA_ADJUSTED=Adjusted","Sort=A","Dates=H","DateFormat=P","Fill=—","Direction=H","UseDPDF=Y")</f>
        <v>1603</v>
      </c>
      <c r="G64" s="17">
        <f>_xll.BDH("CHTR US Equity","EBIT","FQ3 2019","FQ3 2019","Currency=USD","Period=FQ","BEST_FPERIOD_OVERRIDE=FQ","FILING_STATUS=MR","SCALING_FORMAT=MLN","FA_ADJUSTED=Adjusted","Sort=A","Dates=H","DateFormat=P","Fill=—","Direction=H","UseDPDF=Y")</f>
        <v>1600</v>
      </c>
      <c r="H64" s="17">
        <f>_xll.BDH("CHTR US Equity","EBIT","FQ4 2019","FQ4 2019","Currency=USD","Period=FQ","BEST_FPERIOD_OVERRIDE=FQ","FILING_STATUS=MR","SCALING_FORMAT=MLN","FA_ADJUSTED=Adjusted","Sort=A","Dates=H","DateFormat=P","Fill=—","Direction=H","UseDPDF=Y")</f>
        <v>2023</v>
      </c>
      <c r="I64" s="17">
        <f>_xll.BDH("CHTR US Equity","EBIT","FQ1 2020","FQ1 2020","Currency=USD","Period=FQ","BEST_FPERIOD_OVERRIDE=FQ","FILING_STATUS=MR","SCALING_FORMAT=MLN","FA_ADJUSTED=Adjusted","Sort=A","Dates=H","DateFormat=P","Fill=—","Direction=H","UseDPDF=Y")</f>
        <v>1809</v>
      </c>
      <c r="J64" s="17">
        <f>_xll.BDH("CHTR US Equity","EBIT","FQ2 2020","FQ2 2020","Currency=USD","Period=FQ","BEST_FPERIOD_OVERRIDE=FQ","FILING_STATUS=MR","SCALING_FORMAT=MLN","FA_ADJUSTED=Adjusted","Sort=A","Dates=H","DateFormat=P","Fill=—","Direction=H","UseDPDF=Y")</f>
        <v>1971</v>
      </c>
      <c r="K64" s="17">
        <v>1870.556</v>
      </c>
      <c r="L64" s="17">
        <v>2266.8890000000001</v>
      </c>
    </row>
    <row r="65" spans="1:12" x14ac:dyDescent="0.35">
      <c r="A65" s="16" t="s">
        <v>72</v>
      </c>
      <c r="B65" s="16" t="s">
        <v>71</v>
      </c>
      <c r="C65" s="15">
        <f>_xll.BDH("CHTR US Equity","GROSS_MARGIN","FQ3 2018","FQ3 2018","Currency=USD","Period=FQ","BEST_FPERIOD_OVERRIDE=FQ","FILING_STATUS=MR","FA_ADJUSTED=Adjusted","Sort=A","Dates=H","DateFormat=P","Fill=—","Direction=H","UseDPDF=Y")</f>
        <v>51.597499999999997</v>
      </c>
      <c r="D65" s="15">
        <f>_xll.BDH("CHTR US Equity","GROSS_MARGIN","FQ4 2018","FQ4 2018","Currency=USD","Period=FQ","BEST_FPERIOD_OVERRIDE=FQ","FILING_STATUS=MR","FA_ADJUSTED=Adjusted","Sort=A","Dates=H","DateFormat=P","Fill=—","Direction=H","UseDPDF=Y")</f>
        <v>51.8476</v>
      </c>
      <c r="E65" s="15">
        <f>_xll.BDH("CHTR US Equity","GROSS_MARGIN","FQ1 2019","FQ1 2019","Currency=USD","Period=FQ","BEST_FPERIOD_OVERRIDE=FQ","FILING_STATUS=MR","FA_ADJUSTED=Adjusted","Sort=A","Dates=H","DateFormat=P","Fill=—","Direction=H","UseDPDF=Y")</f>
        <v>50.847799999999999</v>
      </c>
      <c r="F65" s="15">
        <f>_xll.BDH("CHTR US Equity","GROSS_MARGIN","FQ2 2019","FQ2 2019","Currency=USD","Period=FQ","BEST_FPERIOD_OVERRIDE=FQ","FILING_STATUS=MR","FA_ADJUSTED=Adjusted","Sort=A","Dates=H","DateFormat=P","Fill=—","Direction=H","UseDPDF=Y")</f>
        <v>51.811100000000003</v>
      </c>
      <c r="G65" s="15">
        <f>_xll.BDH("CHTR US Equity","GROSS_MARGIN","FQ3 2019","FQ3 2019","Currency=USD","Period=FQ","BEST_FPERIOD_OVERRIDE=FQ","FILING_STATUS=MR","FA_ADJUSTED=Adjusted","Sort=A","Dates=H","DateFormat=P","Fill=—","Direction=H","UseDPDF=Y")</f>
        <v>50.8035</v>
      </c>
      <c r="H65" s="15">
        <f>_xll.BDH("CHTR US Equity","GROSS_MARGIN","FQ4 2019","FQ4 2019","Currency=USD","Period=FQ","BEST_FPERIOD_OVERRIDE=FQ","FILING_STATUS=MR","FA_ADJUSTED=Adjusted","Sort=A","Dates=H","DateFormat=P","Fill=—","Direction=H","UseDPDF=Y")</f>
        <v>52.640099999999997</v>
      </c>
      <c r="I65" s="15">
        <f>_xll.BDH("CHTR US Equity","GROSS_MARGIN","FQ1 2020","FQ1 2020","Currency=USD","Period=FQ","BEST_FPERIOD_OVERRIDE=FQ","FILING_STATUS=MR","FA_ADJUSTED=Adjusted","Sort=A","Dates=H","DateFormat=P","Fill=—","Direction=H","UseDPDF=Y")</f>
        <v>51.737900000000003</v>
      </c>
      <c r="J65" s="15">
        <f>_xll.BDH("CHTR US Equity","GROSS_MARGIN","FQ2 2020","FQ2 2020","Currency=USD","Period=FQ","BEST_FPERIOD_OVERRIDE=FQ","FILING_STATUS=MR","FA_ADJUSTED=Adjusted","Sort=A","Dates=H","DateFormat=P","Fill=—","Direction=H","UseDPDF=Y")</f>
        <v>51.932299999999998</v>
      </c>
      <c r="K65" s="15">
        <v>59.063000000000002</v>
      </c>
      <c r="L65" s="15">
        <v>60.023000000000003</v>
      </c>
    </row>
    <row r="66" spans="1:12" x14ac:dyDescent="0.35">
      <c r="A66" s="16" t="s">
        <v>70</v>
      </c>
      <c r="B66" s="16" t="s">
        <v>69</v>
      </c>
      <c r="C66" s="15">
        <f>_xll.BDH("CHTR US Equity","OPER_MARGIN","FQ3 2018","FQ3 2018","Currency=USD","Period=FQ","BEST_FPERIOD_OVERRIDE=FQ","FILING_STATUS=MR","FA_ADJUSTED=Adjusted","Sort=A","Dates=H","DateFormat=P","Fill=—","Direction=H","UseDPDF=Y")</f>
        <v>12.835100000000001</v>
      </c>
      <c r="D66" s="15">
        <f>_xll.BDH("CHTR US Equity","OPER_MARGIN","FQ4 2018","FQ4 2018","Currency=USD","Period=FQ","BEST_FPERIOD_OVERRIDE=FQ","FILING_STATUS=MR","FA_ADJUSTED=Adjusted","Sort=A","Dates=H","DateFormat=P","Fill=—","Direction=H","UseDPDF=Y")</f>
        <v>13.765499999999999</v>
      </c>
      <c r="E66" s="15">
        <f>_xll.BDH("CHTR US Equity","OPER_MARGIN","FQ1 2019","FQ1 2019","Currency=USD","Period=FQ","BEST_FPERIOD_OVERRIDE=FQ","FILING_STATUS=MR","FA_ADJUSTED=Adjusted","Sort=A","Dates=H","DateFormat=P","Fill=—","Direction=H","UseDPDF=Y")</f>
        <v>12.671799999999999</v>
      </c>
      <c r="F66" s="15">
        <f>_xll.BDH("CHTR US Equity","OPER_MARGIN","FQ2 2019","FQ2 2019","Currency=USD","Period=FQ","BEST_FPERIOD_OVERRIDE=FQ","FILING_STATUS=MR","FA_ADJUSTED=Adjusted","Sort=A","Dates=H","DateFormat=P","Fill=—","Direction=H","UseDPDF=Y")</f>
        <v>14.1271</v>
      </c>
      <c r="G66" s="15">
        <f>_xll.BDH("CHTR US Equity","OPER_MARGIN","FQ3 2019","FQ3 2019","Currency=USD","Period=FQ","BEST_FPERIOD_OVERRIDE=FQ","FILING_STATUS=MR","FA_ADJUSTED=Adjusted","Sort=A","Dates=H","DateFormat=P","Fill=—","Direction=H","UseDPDF=Y")</f>
        <v>13.973800000000001</v>
      </c>
      <c r="H66" s="15">
        <f>_xll.BDH("CHTR US Equity","OPER_MARGIN","FQ4 2019","FQ4 2019","Currency=USD","Period=FQ","BEST_FPERIOD_OVERRIDE=FQ","FILING_STATUS=MR","FA_ADJUSTED=Adjusted","Sort=A","Dates=H","DateFormat=P","Fill=—","Direction=H","UseDPDF=Y")</f>
        <v>17.200900000000001</v>
      </c>
      <c r="I66" s="15">
        <f>_xll.BDH("CHTR US Equity","OPER_MARGIN","FQ1 2020","FQ1 2020","Currency=USD","Period=FQ","BEST_FPERIOD_OVERRIDE=FQ","FILING_STATUS=MR","FA_ADJUSTED=Adjusted","Sort=A","Dates=H","DateFormat=P","Fill=—","Direction=H","UseDPDF=Y")</f>
        <v>15.4115</v>
      </c>
      <c r="J66" s="15">
        <f>_xll.BDH("CHTR US Equity","OPER_MARGIN","FQ2 2020","FQ2 2020","Currency=USD","Period=FQ","BEST_FPERIOD_OVERRIDE=FQ","FILING_STATUS=MR","FA_ADJUSTED=Adjusted","Sort=A","Dates=H","DateFormat=P","Fill=—","Direction=H","UseDPDF=Y")</f>
        <v>16.851900000000001</v>
      </c>
      <c r="K66" s="15">
        <v>15.502351057364599</v>
      </c>
      <c r="L66" s="15">
        <v>18.190345164056101</v>
      </c>
    </row>
    <row r="67" spans="1:12" x14ac:dyDescent="0.35">
      <c r="A67" s="16" t="s">
        <v>68</v>
      </c>
      <c r="B67" s="16" t="s">
        <v>67</v>
      </c>
      <c r="C67" s="15">
        <f>_xll.BDH("CHTR US Equity","PROF_MARGIN","FQ3 2018","FQ3 2018","Currency=USD","Period=FQ","BEST_FPERIOD_OVERRIDE=FQ","FILING_STATUS=MR","FA_ADJUSTED=Adjusted","Sort=A","Dates=H","DateFormat=P","Fill=—","Direction=H","UseDPDF=Y")</f>
        <v>4.5697999999999999</v>
      </c>
      <c r="D67" s="15">
        <f>_xll.BDH("CHTR US Equity","PROF_MARGIN","FQ4 2018","FQ4 2018","Currency=USD","Period=FQ","BEST_FPERIOD_OVERRIDE=FQ","FILING_STATUS=MR","FA_ADJUSTED=Adjusted","Sort=A","Dates=H","DateFormat=P","Fill=—","Direction=H","UseDPDF=Y")</f>
        <v>4.1619999999999999</v>
      </c>
      <c r="E67" s="15">
        <f>_xll.BDH("CHTR US Equity","PROF_MARGIN","FQ1 2019","FQ1 2019","Currency=USD","Period=FQ","BEST_FPERIOD_OVERRIDE=FQ","FILING_STATUS=MR","FA_ADJUSTED=Adjusted","Sort=A","Dates=H","DateFormat=P","Fill=—","Direction=H","UseDPDF=Y")</f>
        <v>2.4832999999999998</v>
      </c>
      <c r="F67" s="15">
        <f>_xll.BDH("CHTR US Equity","PROF_MARGIN","FQ2 2019","FQ2 2019","Currency=USD","Period=FQ","BEST_FPERIOD_OVERRIDE=FQ","FILING_STATUS=MR","FA_ADJUSTED=Adjusted","Sort=A","Dates=H","DateFormat=P","Fill=—","Direction=H","UseDPDF=Y")</f>
        <v>4.0274000000000001</v>
      </c>
      <c r="G67" s="15">
        <f>_xll.BDH("CHTR US Equity","PROF_MARGIN","FQ3 2019","FQ3 2019","Currency=USD","Period=FQ","BEST_FPERIOD_OVERRIDE=FQ","FILING_STATUS=MR","FA_ADJUSTED=Adjusted","Sort=A","Dates=H","DateFormat=P","Fill=—","Direction=H","UseDPDF=Y")</f>
        <v>3.2419000000000002</v>
      </c>
      <c r="H67" s="15">
        <f>_xll.BDH("CHTR US Equity","PROF_MARGIN","FQ4 2019","FQ4 2019","Currency=USD","Period=FQ","BEST_FPERIOD_OVERRIDE=FQ","FILING_STATUS=MR","FA_ADJUSTED=Adjusted","Sort=A","Dates=H","DateFormat=P","Fill=—","Direction=H","UseDPDF=Y")</f>
        <v>6.2523</v>
      </c>
      <c r="I67" s="15">
        <f>_xll.BDH("CHTR US Equity","PROF_MARGIN","FQ1 2020","FQ1 2020","Currency=USD","Period=FQ","BEST_FPERIOD_OVERRIDE=FQ","FILING_STATUS=MR","FA_ADJUSTED=Adjusted","Sort=A","Dates=H","DateFormat=P","Fill=—","Direction=H","UseDPDF=Y")</f>
        <v>5.7427000000000001</v>
      </c>
      <c r="J67" s="15">
        <f>_xll.BDH("CHTR US Equity","PROF_MARGIN","FQ2 2020","FQ2 2020","Currency=USD","Period=FQ","BEST_FPERIOD_OVERRIDE=FQ","FILING_STATUS=MR","FA_ADJUSTED=Adjusted","Sort=A","Dates=H","DateFormat=P","Fill=—","Direction=H","UseDPDF=Y")</f>
        <v>6.1304999999999996</v>
      </c>
      <c r="K67" s="15">
        <v>5.7105454186226297</v>
      </c>
      <c r="L67" s="15">
        <v>7.7792208261164202</v>
      </c>
    </row>
    <row r="68" spans="1:12" x14ac:dyDescent="0.35">
      <c r="A68" s="16" t="s">
        <v>66</v>
      </c>
      <c r="B68" s="16" t="s">
        <v>65</v>
      </c>
      <c r="C68" s="15" t="str">
        <f>_xll.BDH("CHTR US Equity","ACTUAL_SALES_PER_EMPL","FQ3 2018","FQ3 2018","Currency=USD","Period=FQ","BEST_FPERIOD_OVERRIDE=FQ","FILING_STATUS=MR","FA_ADJUSTED=Adjusted","Sort=A","Dates=H","DateFormat=P","Fill=—","Direction=H","UseDPDF=Y")</f>
        <v>—</v>
      </c>
      <c r="D68" s="15">
        <f>_xll.BDH("CHTR US Equity","ACTUAL_SALES_PER_EMPL","FQ4 2018","FQ4 2018","Currency=USD","Period=FQ","BEST_FPERIOD_OVERRIDE=FQ","FILING_STATUS=MR","FA_ADJUSTED=Adjusted","Sort=A","Dates=H","DateFormat=P","Fill=—","Direction=H","UseDPDF=Y")</f>
        <v>114602.0408</v>
      </c>
      <c r="E68" s="15" t="str">
        <f>_xll.BDH("CHTR US Equity","ACTUAL_SALES_PER_EMPL","FQ1 2019","FQ1 2019","Currency=USD","Period=FQ","BEST_FPERIOD_OVERRIDE=FQ","FILING_STATUS=MR","FA_ADJUSTED=Adjusted","Sort=A","Dates=H","DateFormat=P","Fill=—","Direction=H","UseDPDF=Y")</f>
        <v>—</v>
      </c>
      <c r="F68" s="15" t="str">
        <f>_xll.BDH("CHTR US Equity","ACTUAL_SALES_PER_EMPL","FQ2 2019","FQ2 2019","Currency=USD","Period=FQ","BEST_FPERIOD_OVERRIDE=FQ","FILING_STATUS=MR","FA_ADJUSTED=Adjusted","Sort=A","Dates=H","DateFormat=P","Fill=—","Direction=H","UseDPDF=Y")</f>
        <v>—</v>
      </c>
      <c r="G68" s="15" t="str">
        <f>_xll.BDH("CHTR US Equity","ACTUAL_SALES_PER_EMPL","FQ3 2019","FQ3 2019","Currency=USD","Period=FQ","BEST_FPERIOD_OVERRIDE=FQ","FILING_STATUS=MR","FA_ADJUSTED=Adjusted","Sort=A","Dates=H","DateFormat=P","Fill=—","Direction=H","UseDPDF=Y")</f>
        <v>—</v>
      </c>
      <c r="H68" s="15">
        <f>_xll.BDH("CHTR US Equity","ACTUAL_SALES_PER_EMPL","FQ4 2019","FQ4 2019","Currency=USD","Period=FQ","BEST_FPERIOD_OVERRIDE=FQ","FILING_STATUS=MR","FA_ADJUSTED=Adjusted","Sort=A","Dates=H","DateFormat=P","Fill=—","Direction=H","UseDPDF=Y")</f>
        <v>123669.82120000001</v>
      </c>
      <c r="I68" s="15" t="str">
        <f>_xll.BDH("CHTR US Equity","ACTUAL_SALES_PER_EMPL","FQ1 2020","FQ1 2020","Currency=USD","Period=FQ","BEST_FPERIOD_OVERRIDE=FQ","FILING_STATUS=MR","FA_ADJUSTED=Adjusted","Sort=A","Dates=H","DateFormat=P","Fill=—","Direction=H","UseDPDF=Y")</f>
        <v>—</v>
      </c>
      <c r="J68" s="15" t="str">
        <f>_xll.BDH("CHTR US Equity","ACTUAL_SALES_PER_EMPL","FQ2 2020","FQ2 2020","Currency=USD","Period=FQ","BEST_FPERIOD_OVERRIDE=FQ","FILING_STATUS=MR","FA_ADJUSTED=Adjusted","Sort=A","Dates=H","DateFormat=P","Fill=—","Direction=H","UseDPDF=Y")</f>
        <v>—</v>
      </c>
      <c r="K68" s="15"/>
      <c r="L68" s="15"/>
    </row>
    <row r="69" spans="1:12" x14ac:dyDescent="0.35">
      <c r="A69" s="16" t="s">
        <v>64</v>
      </c>
      <c r="B69" s="16" t="s">
        <v>63</v>
      </c>
      <c r="C69" s="15">
        <f>_xll.BDH("CHTR US Equity","EQY_DPS","FQ3 2018","FQ3 2018","Currency=USD","Period=FQ","BEST_FPERIOD_OVERRIDE=FQ","FILING_STATUS=MR","Sort=A","Dates=H","DateFormat=P","Fill=—","Direction=H","UseDPDF=Y")</f>
        <v>0</v>
      </c>
      <c r="D69" s="15">
        <f>_xll.BDH("CHTR US Equity","EQY_DPS","FQ4 2018","FQ4 2018","Currency=USD","Period=FQ","BEST_FPERIOD_OVERRIDE=FQ","FILING_STATUS=MR","Sort=A","Dates=H","DateFormat=P","Fill=—","Direction=H","UseDPDF=Y")</f>
        <v>0</v>
      </c>
      <c r="E69" s="15">
        <f>_xll.BDH("CHTR US Equity","EQY_DPS","FQ1 2019","FQ1 2019","Currency=USD","Period=FQ","BEST_FPERIOD_OVERRIDE=FQ","FILING_STATUS=MR","Sort=A","Dates=H","DateFormat=P","Fill=—","Direction=H","UseDPDF=Y")</f>
        <v>0</v>
      </c>
      <c r="F69" s="15">
        <f>_xll.BDH("CHTR US Equity","EQY_DPS","FQ2 2019","FQ2 2019","Currency=USD","Period=FQ","BEST_FPERIOD_OVERRIDE=FQ","FILING_STATUS=MR","Sort=A","Dates=H","DateFormat=P","Fill=—","Direction=H","UseDPDF=Y")</f>
        <v>0</v>
      </c>
      <c r="G69" s="15">
        <f>_xll.BDH("CHTR US Equity","EQY_DPS","FQ3 2019","FQ3 2019","Currency=USD","Period=FQ","BEST_FPERIOD_OVERRIDE=FQ","FILING_STATUS=MR","Sort=A","Dates=H","DateFormat=P","Fill=—","Direction=H","UseDPDF=Y")</f>
        <v>0</v>
      </c>
      <c r="H69" s="15">
        <f>_xll.BDH("CHTR US Equity","EQY_DPS","FQ4 2019","FQ4 2019","Currency=USD","Period=FQ","BEST_FPERIOD_OVERRIDE=FQ","FILING_STATUS=MR","Sort=A","Dates=H","DateFormat=P","Fill=—","Direction=H","UseDPDF=Y")</f>
        <v>0</v>
      </c>
      <c r="I69" s="15">
        <f>_xll.BDH("CHTR US Equity","EQY_DPS","FQ1 2020","FQ1 2020","Currency=USD","Period=FQ","BEST_FPERIOD_OVERRIDE=FQ","FILING_STATUS=MR","Sort=A","Dates=H","DateFormat=P","Fill=—","Direction=H","UseDPDF=Y")</f>
        <v>0</v>
      </c>
      <c r="J69" s="15">
        <f>_xll.BDH("CHTR US Equity","EQY_DPS","FQ2 2020","FQ2 2020","Currency=USD","Period=FQ","BEST_FPERIOD_OVERRIDE=FQ","FILING_STATUS=MR","Sort=A","Dates=H","DateFormat=P","Fill=—","Direction=H","UseDPDF=Y")</f>
        <v>0</v>
      </c>
      <c r="K69" s="15">
        <v>4.8000000000000001E-2</v>
      </c>
      <c r="L69" s="15">
        <v>4.8000000000000001E-2</v>
      </c>
    </row>
    <row r="70" spans="1:12" x14ac:dyDescent="0.35">
      <c r="A70" s="16" t="s">
        <v>62</v>
      </c>
      <c r="B70" s="16" t="s">
        <v>61</v>
      </c>
      <c r="C70" s="17">
        <f>_xll.BDH("CHTR US Equity","IS_TOT_CASH_COM_DVD","FQ3 2018","FQ3 2018","Currency=USD","Period=FQ","BEST_FPERIOD_OVERRIDE=FQ","FILING_STATUS=MR","SCALING_FORMAT=MLN","Sort=A","Dates=H","DateFormat=P","Fill=—","Direction=H","UseDPDF=Y")</f>
        <v>0</v>
      </c>
      <c r="D70" s="17">
        <f>_xll.BDH("CHTR US Equity","IS_TOT_CASH_COM_DVD","FQ4 2018","FQ4 2018","Currency=USD","Period=FQ","BEST_FPERIOD_OVERRIDE=FQ","FILING_STATUS=MR","SCALING_FORMAT=MLN","Sort=A","Dates=H","DateFormat=P","Fill=—","Direction=H","UseDPDF=Y")</f>
        <v>0</v>
      </c>
      <c r="E70" s="17">
        <f>_xll.BDH("CHTR US Equity","IS_TOT_CASH_COM_DVD","FQ1 2019","FQ1 2019","Currency=USD","Period=FQ","BEST_FPERIOD_OVERRIDE=FQ","FILING_STATUS=MR","SCALING_FORMAT=MLN","Sort=A","Dates=H","DateFormat=P","Fill=—","Direction=H","UseDPDF=Y")</f>
        <v>0</v>
      </c>
      <c r="F70" s="17">
        <f>_xll.BDH("CHTR US Equity","IS_TOT_CASH_COM_DVD","FQ2 2019","FQ2 2019","Currency=USD","Period=FQ","BEST_FPERIOD_OVERRIDE=FQ","FILING_STATUS=MR","SCALING_FORMAT=MLN","Sort=A","Dates=H","DateFormat=P","Fill=—","Direction=H","UseDPDF=Y")</f>
        <v>0</v>
      </c>
      <c r="G70" s="17">
        <f>_xll.BDH("CHTR US Equity","IS_TOT_CASH_COM_DVD","FQ3 2019","FQ3 2019","Currency=USD","Period=FQ","BEST_FPERIOD_OVERRIDE=FQ","FILING_STATUS=MR","SCALING_FORMAT=MLN","Sort=A","Dates=H","DateFormat=P","Fill=—","Direction=H","UseDPDF=Y")</f>
        <v>0</v>
      </c>
      <c r="H70" s="17">
        <f>_xll.BDH("CHTR US Equity","IS_TOT_CASH_COM_DVD","FQ4 2019","FQ4 2019","Currency=USD","Period=FQ","BEST_FPERIOD_OVERRIDE=FQ","FILING_STATUS=MR","SCALING_FORMAT=MLN","Sort=A","Dates=H","DateFormat=P","Fill=—","Direction=H","UseDPDF=Y")</f>
        <v>0</v>
      </c>
      <c r="I70" s="17">
        <f>_xll.BDH("CHTR US Equity","IS_TOT_CASH_COM_DVD","FQ1 2020","FQ1 2020","Currency=USD","Period=FQ","BEST_FPERIOD_OVERRIDE=FQ","FILING_STATUS=MR","SCALING_FORMAT=MLN","Sort=A","Dates=H","DateFormat=P","Fill=—","Direction=H","UseDPDF=Y")</f>
        <v>0</v>
      </c>
      <c r="J70" s="17">
        <f>_xll.BDH("CHTR US Equity","IS_TOT_CASH_COM_DVD","FQ2 2020","FQ2 2020","Currency=USD","Period=FQ","BEST_FPERIOD_OVERRIDE=FQ","FILING_STATUS=MR","SCALING_FORMAT=MLN","Sort=A","Dates=H","DateFormat=P","Fill=—","Direction=H","UseDPDF=Y")</f>
        <v>0</v>
      </c>
      <c r="K70" s="17"/>
      <c r="L70" s="17"/>
    </row>
    <row r="71" spans="1:12" x14ac:dyDescent="0.35">
      <c r="A71" s="16" t="s">
        <v>60</v>
      </c>
      <c r="B71" s="16" t="s">
        <v>59</v>
      </c>
      <c r="C71" s="17">
        <f>_xll.BDH("CHTR US Equity","IS_DEPR_EXP","FQ3 2018","FQ3 2018","Currency=USD","Period=FQ","BEST_FPERIOD_OVERRIDE=FQ","FILING_STATUS=MR","SCALING_FORMAT=MLN","Sort=A","Dates=H","DateFormat=P","Fill=—","Direction=H","UseDPDF=Y")</f>
        <v>1899</v>
      </c>
      <c r="D71" s="17">
        <f>_xll.BDH("CHTR US Equity","IS_DEPR_EXP","FQ4 2018","FQ4 2018","Currency=USD","Period=FQ","BEST_FPERIOD_OVERRIDE=FQ","FILING_STATUS=MR","SCALING_FORMAT=MLN","Sort=A","Dates=H","DateFormat=P","Fill=—","Direction=H","UseDPDF=Y")</f>
        <v>699</v>
      </c>
      <c r="E71" s="17">
        <f>_xll.BDH("CHTR US Equity","IS_DEPR_EXP","FQ1 2019","FQ1 2019","Currency=USD","Period=FQ","BEST_FPERIOD_OVERRIDE=FQ","FILING_STATUS=MR","SCALING_FORMAT=MLN","Sort=A","Dates=H","DateFormat=P","Fill=—","Direction=H","UseDPDF=Y")</f>
        <v>2550</v>
      </c>
      <c r="F71" s="17">
        <f>_xll.BDH("CHTR US Equity","IS_DEPR_EXP","FQ2 2019","FQ2 2019","Currency=USD","Period=FQ","BEST_FPERIOD_OVERRIDE=FQ","FILING_STATUS=MR","SCALING_FORMAT=MLN","Sort=A","Dates=H","DateFormat=P","Fill=—","Direction=H","UseDPDF=Y")</f>
        <v>1952</v>
      </c>
      <c r="G71" s="17">
        <f>_xll.BDH("CHTR US Equity","IS_DEPR_EXP","FQ3 2019","FQ3 2019","Currency=USD","Period=FQ","BEST_FPERIOD_OVERRIDE=FQ","FILING_STATUS=MR","SCALING_FORMAT=MLN","Sort=A","Dates=H","DateFormat=P","Fill=—","Direction=H","UseDPDF=Y")</f>
        <v>1899</v>
      </c>
      <c r="H71" s="17">
        <f>_xll.BDH("CHTR US Equity","IS_DEPR_EXP","FQ4 2019","FQ4 2019","Currency=USD","Period=FQ","BEST_FPERIOD_OVERRIDE=FQ","FILING_STATUS=MR","SCALING_FORMAT=MLN","Sort=A","Dates=H","DateFormat=P","Fill=—","Direction=H","UseDPDF=Y")</f>
        <v>851</v>
      </c>
      <c r="I71" s="17">
        <f>_xll.BDH("CHTR US Equity","IS_DEPR_EXP","FQ1 2020","FQ1 2020","Currency=USD","Period=FQ","BEST_FPERIOD_OVERRIDE=FQ","FILING_STATUS=MR","SCALING_FORMAT=MLN","Sort=A","Dates=H","DateFormat=P","Fill=—","Direction=H","UseDPDF=Y")</f>
        <v>2497</v>
      </c>
      <c r="J71" s="17">
        <f>_xll.BDH("CHTR US Equity","IS_DEPR_EXP","FQ2 2020","FQ2 2020","Currency=USD","Period=FQ","BEST_FPERIOD_OVERRIDE=FQ","FILING_STATUS=MR","SCALING_FORMAT=MLN","Sort=A","Dates=H","DateFormat=P","Fill=—","Direction=H","UseDPDF=Y")</f>
        <v>1880</v>
      </c>
      <c r="K71" s="17"/>
      <c r="L71" s="17"/>
    </row>
    <row r="72" spans="1:12" x14ac:dyDescent="0.35">
      <c r="A72" s="16" t="s">
        <v>58</v>
      </c>
      <c r="B72" s="16" t="s">
        <v>57</v>
      </c>
      <c r="C72" s="17" t="str">
        <f>_xll.BDH("CHTR US Equity","BS_CURR_RENTAL_EXPENSE","FQ3 2018","FQ3 2018","Currency=USD","Period=FQ","BEST_FPERIOD_OVERRIDE=FQ","FILING_STATUS=MR","SCALING_FORMAT=MLN","Sort=A","Dates=H","DateFormat=P","Fill=—","Direction=H","UseDPDF=Y")</f>
        <v>—</v>
      </c>
      <c r="D72" s="17" t="str">
        <f>_xll.BDH("CHTR US Equity","BS_CURR_RENTAL_EXPENSE","FQ4 2018","FQ4 2018","Currency=USD","Period=FQ","BEST_FPERIOD_OVERRIDE=FQ","FILING_STATUS=MR","SCALING_FORMAT=MLN","Sort=A","Dates=H","DateFormat=P","Fill=—","Direction=H","UseDPDF=Y")</f>
        <v>—</v>
      </c>
      <c r="E72" s="17">
        <f>_xll.BDH("CHTR US Equity","BS_CURR_RENTAL_EXPENSE","FQ1 2019","FQ1 2019","Currency=USD","Period=FQ","BEST_FPERIOD_OVERRIDE=FQ","FILING_STATUS=MR","SCALING_FORMAT=MLN","Sort=A","Dates=H","DateFormat=P","Fill=—","Direction=H","UseDPDF=Y")</f>
        <v>100</v>
      </c>
      <c r="F72" s="17">
        <f>_xll.BDH("CHTR US Equity","BS_CURR_RENTAL_EXPENSE","FQ2 2019","FQ2 2019","Currency=USD","Period=FQ","BEST_FPERIOD_OVERRIDE=FQ","FILING_STATUS=MR","SCALING_FORMAT=MLN","Sort=A","Dates=H","DateFormat=P","Fill=—","Direction=H","UseDPDF=Y")</f>
        <v>102</v>
      </c>
      <c r="G72" s="17">
        <f>_xll.BDH("CHTR US Equity","BS_CURR_RENTAL_EXPENSE","FQ3 2019","FQ3 2019","Currency=USD","Period=FQ","BEST_FPERIOD_OVERRIDE=FQ","FILING_STATUS=MR","SCALING_FORMAT=MLN","Sort=A","Dates=H","DateFormat=P","Fill=—","Direction=H","UseDPDF=Y")</f>
        <v>99</v>
      </c>
      <c r="H72" s="17">
        <f>_xll.BDH("CHTR US Equity","BS_CURR_RENTAL_EXPENSE","FQ4 2019","FQ4 2019","Currency=USD","Period=FQ","BEST_FPERIOD_OVERRIDE=FQ","FILING_STATUS=MR","SCALING_FORMAT=MLN","Sort=A","Dates=H","DateFormat=P","Fill=—","Direction=H","UseDPDF=Y")</f>
        <v>100</v>
      </c>
      <c r="I72" s="17">
        <f>_xll.BDH("CHTR US Equity","BS_CURR_RENTAL_EXPENSE","FQ1 2020","FQ1 2020","Currency=USD","Period=FQ","BEST_FPERIOD_OVERRIDE=FQ","FILING_STATUS=MR","SCALING_FORMAT=MLN","Sort=A","Dates=H","DateFormat=P","Fill=—","Direction=H","UseDPDF=Y")</f>
        <v>108</v>
      </c>
      <c r="J72" s="17">
        <f>_xll.BDH("CHTR US Equity","BS_CURR_RENTAL_EXPENSE","FQ2 2020","FQ2 2020","Currency=USD","Period=FQ","BEST_FPERIOD_OVERRIDE=FQ","FILING_STATUS=MR","SCALING_FORMAT=MLN","Sort=A","Dates=H","DateFormat=P","Fill=—","Direction=H","UseDPDF=Y")</f>
        <v>108</v>
      </c>
      <c r="K72" s="17"/>
      <c r="L72" s="17"/>
    </row>
    <row r="73" spans="1:12" x14ac:dyDescent="0.35">
      <c r="A73" s="18" t="s">
        <v>56</v>
      </c>
      <c r="B73" s="18"/>
      <c r="C73" s="18" t="s">
        <v>3</v>
      </c>
      <c r="D73" s="18"/>
      <c r="E73" s="18"/>
      <c r="F73" s="18"/>
      <c r="G73" s="18"/>
      <c r="H73" s="18"/>
      <c r="I73" s="18"/>
      <c r="J73" s="18"/>
      <c r="K73" s="18"/>
      <c r="L7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BA897-0D28-4A89-A7FA-105096868826}">
  <dimension ref="A1:L94"/>
  <sheetViews>
    <sheetView workbookViewId="0"/>
  </sheetViews>
  <sheetFormatPr defaultRowHeight="14.5" x14ac:dyDescent="0.35"/>
  <cols>
    <col min="1" max="1" width="35.1796875" customWidth="1"/>
    <col min="2" max="2" width="0" hidden="1" customWidth="1"/>
    <col min="3" max="12" width="11.81640625" customWidth="1"/>
  </cols>
  <sheetData>
    <row r="1" spans="1:12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" x14ac:dyDescent="0.35">
      <c r="A2" s="2" t="s">
        <v>337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35">
      <c r="A4" s="4" t="s">
        <v>169</v>
      </c>
      <c r="B4" s="4"/>
      <c r="C4" s="5" t="s">
        <v>336</v>
      </c>
      <c r="D4" s="5" t="s">
        <v>335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</row>
    <row r="5" spans="1:12" x14ac:dyDescent="0.35">
      <c r="A5" s="6" t="s">
        <v>16</v>
      </c>
      <c r="B5" s="6"/>
      <c r="C5" s="7" t="s">
        <v>334</v>
      </c>
      <c r="D5" s="7" t="s">
        <v>333</v>
      </c>
      <c r="E5" s="7" t="s">
        <v>17</v>
      </c>
      <c r="F5" s="7" t="s">
        <v>18</v>
      </c>
      <c r="G5" s="7" t="s">
        <v>19</v>
      </c>
      <c r="H5" s="7" t="s">
        <v>20</v>
      </c>
      <c r="I5" s="7" t="s">
        <v>21</v>
      </c>
      <c r="J5" s="7" t="s">
        <v>22</v>
      </c>
      <c r="K5" s="7" t="s">
        <v>23</v>
      </c>
      <c r="L5" s="7" t="s">
        <v>24</v>
      </c>
    </row>
    <row r="6" spans="1:12" x14ac:dyDescent="0.35">
      <c r="A6" s="12" t="s">
        <v>281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35">
      <c r="A7" s="16" t="s">
        <v>332</v>
      </c>
      <c r="B7" s="16" t="s">
        <v>331</v>
      </c>
      <c r="C7" s="17">
        <f>_xll.BDH("CHTR US Equity","C&amp;CE_AND_STI_DETAILED","FQ1 2018","FQ1 2018","Currency=USD","Period=FQ","BEST_FPERIOD_OVERRIDE=FQ","FILING_STATUS=MR","SCALING_FORMAT=MLN","Sort=A","Dates=H","DateFormat=P","Fill=—","Direction=H","UseDPDF=Y")</f>
        <v>576</v>
      </c>
      <c r="D7" s="17">
        <f>_xll.BDH("CHTR US Equity","C&amp;CE_AND_STI_DETAILED","FQ2 2018","FQ2 2018","Currency=USD","Period=FQ","BEST_FPERIOD_OVERRIDE=FQ","FILING_STATUS=MR","SCALING_FORMAT=MLN","Sort=A","Dates=H","DateFormat=P","Fill=—","Direction=H","UseDPDF=Y")</f>
        <v>773</v>
      </c>
      <c r="E7" s="17">
        <f>_xll.BDH("CHTR US Equity","C&amp;CE_AND_STI_DETAILED","FQ3 2018","FQ3 2018","Currency=USD","Period=FQ","BEST_FPERIOD_OVERRIDE=FQ","FILING_STATUS=MR","SCALING_FORMAT=MLN","Sort=A","Dates=H","DateFormat=P","Fill=—","Direction=H","UseDPDF=Y")</f>
        <v>612</v>
      </c>
      <c r="F7" s="17">
        <f>_xll.BDH("CHTR US Equity","C&amp;CE_AND_STI_DETAILED","FQ4 2018","FQ4 2018","Currency=USD","Period=FQ","BEST_FPERIOD_OVERRIDE=FQ","FILING_STATUS=MR","SCALING_FORMAT=MLN","Sort=A","Dates=H","DateFormat=P","Fill=—","Direction=H","UseDPDF=Y")</f>
        <v>551</v>
      </c>
      <c r="G7" s="17">
        <f>_xll.BDH("CHTR US Equity","C&amp;CE_AND_STI_DETAILED","FQ1 2019","FQ1 2019","Currency=USD","Period=FQ","BEST_FPERIOD_OVERRIDE=FQ","FILING_STATUS=MR","SCALING_FORMAT=MLN","Sort=A","Dates=H","DateFormat=P","Fill=—","Direction=H","UseDPDF=Y")</f>
        <v>1451</v>
      </c>
      <c r="H7" s="17">
        <f>_xll.BDH("CHTR US Equity","C&amp;CE_AND_STI_DETAILED","FQ2 2019","FQ2 2019","Currency=USD","Period=FQ","BEST_FPERIOD_OVERRIDE=FQ","FILING_STATUS=MR","SCALING_FORMAT=MLN","Sort=A","Dates=H","DateFormat=P","Fill=—","Direction=H","UseDPDF=Y")</f>
        <v>696</v>
      </c>
      <c r="I7" s="17">
        <f>_xll.BDH("CHTR US Equity","C&amp;CE_AND_STI_DETAILED","FQ3 2019","FQ3 2019","Currency=USD","Period=FQ","BEST_FPERIOD_OVERRIDE=FQ","FILING_STATUS=MR","SCALING_FORMAT=MLN","Sort=A","Dates=H","DateFormat=P","Fill=—","Direction=H","UseDPDF=Y")</f>
        <v>508</v>
      </c>
      <c r="J7" s="17">
        <f>_xll.BDH("CHTR US Equity","C&amp;CE_AND_STI_DETAILED","FQ4 2019","FQ4 2019","Currency=USD","Period=FQ","BEST_FPERIOD_OVERRIDE=FQ","FILING_STATUS=MR","SCALING_FORMAT=MLN","Sort=A","Dates=H","DateFormat=P","Fill=—","Direction=H","UseDPDF=Y")</f>
        <v>3483</v>
      </c>
      <c r="K7" s="17">
        <f>_xll.BDH("CHTR US Equity","C&amp;CE_AND_STI_DETAILED","FQ1 2020","FQ1 2020","Currency=USD","Period=FQ","BEST_FPERIOD_OVERRIDE=FQ","FILING_STATUS=MR","SCALING_FORMAT=MLN","Sort=A","Dates=H","DateFormat=P","Fill=—","Direction=H","UseDPDF=Y")</f>
        <v>2908</v>
      </c>
      <c r="L7" s="17">
        <f>_xll.BDH("CHTR US Equity","C&amp;CE_AND_STI_DETAILED","FQ2 2020","FQ2 2020","Currency=USD","Period=FQ","BEST_FPERIOD_OVERRIDE=FQ","FILING_STATUS=MR","SCALING_FORMAT=MLN","Sort=A","Dates=H","DateFormat=P","Fill=—","Direction=H","UseDPDF=Y")</f>
        <v>2097</v>
      </c>
    </row>
    <row r="8" spans="1:12" x14ac:dyDescent="0.35">
      <c r="A8" s="16" t="s">
        <v>330</v>
      </c>
      <c r="B8" s="16" t="s">
        <v>329</v>
      </c>
      <c r="C8" s="17">
        <f>_xll.BDH("CHTR US Equity","BS_CASH_NEAR_CASH_ITEM","FQ1 2018","FQ1 2018","Currency=USD","Period=FQ","BEST_FPERIOD_OVERRIDE=FQ","FILING_STATUS=MR","SCALING_FORMAT=MLN","Sort=A","Dates=H","DateFormat=P","Fill=—","Direction=H","UseDPDF=Y")</f>
        <v>576</v>
      </c>
      <c r="D8" s="17">
        <f>_xll.BDH("CHTR US Equity","BS_CASH_NEAR_CASH_ITEM","FQ2 2018","FQ2 2018","Currency=USD","Period=FQ","BEST_FPERIOD_OVERRIDE=FQ","FILING_STATUS=MR","SCALING_FORMAT=MLN","Sort=A","Dates=H","DateFormat=P","Fill=—","Direction=H","UseDPDF=Y")</f>
        <v>773</v>
      </c>
      <c r="E8" s="17">
        <f>_xll.BDH("CHTR US Equity","BS_CASH_NEAR_CASH_ITEM","FQ3 2018","FQ3 2018","Currency=USD","Period=FQ","BEST_FPERIOD_OVERRIDE=FQ","FILING_STATUS=MR","SCALING_FORMAT=MLN","Sort=A","Dates=H","DateFormat=P","Fill=—","Direction=H","UseDPDF=Y")</f>
        <v>612</v>
      </c>
      <c r="F8" s="17">
        <f>_xll.BDH("CHTR US Equity","BS_CASH_NEAR_CASH_ITEM","FQ4 2018","FQ4 2018","Currency=USD","Period=FQ","BEST_FPERIOD_OVERRIDE=FQ","FILING_STATUS=MR","SCALING_FORMAT=MLN","Sort=A","Dates=H","DateFormat=P","Fill=—","Direction=H","UseDPDF=Y")</f>
        <v>551</v>
      </c>
      <c r="G8" s="17">
        <f>_xll.BDH("CHTR US Equity","BS_CASH_NEAR_CASH_ITEM","FQ1 2019","FQ1 2019","Currency=USD","Period=FQ","BEST_FPERIOD_OVERRIDE=FQ","FILING_STATUS=MR","SCALING_FORMAT=MLN","Sort=A","Dates=H","DateFormat=P","Fill=—","Direction=H","UseDPDF=Y")</f>
        <v>1451</v>
      </c>
      <c r="H8" s="17">
        <f>_xll.BDH("CHTR US Equity","BS_CASH_NEAR_CASH_ITEM","FQ2 2019","FQ2 2019","Currency=USD","Period=FQ","BEST_FPERIOD_OVERRIDE=FQ","FILING_STATUS=MR","SCALING_FORMAT=MLN","Sort=A","Dates=H","DateFormat=P","Fill=—","Direction=H","UseDPDF=Y")</f>
        <v>696</v>
      </c>
      <c r="I8" s="17">
        <f>_xll.BDH("CHTR US Equity","BS_CASH_NEAR_CASH_ITEM","FQ3 2019","FQ3 2019","Currency=USD","Period=FQ","BEST_FPERIOD_OVERRIDE=FQ","FILING_STATUS=MR","SCALING_FORMAT=MLN","Sort=A","Dates=H","DateFormat=P","Fill=—","Direction=H","UseDPDF=Y")</f>
        <v>508</v>
      </c>
      <c r="J8" s="17">
        <f>_xll.BDH("CHTR US Equity","BS_CASH_NEAR_CASH_ITEM","FQ4 2019","FQ4 2019","Currency=USD","Period=FQ","BEST_FPERIOD_OVERRIDE=FQ","FILING_STATUS=MR","SCALING_FORMAT=MLN","Sort=A","Dates=H","DateFormat=P","Fill=—","Direction=H","UseDPDF=Y")</f>
        <v>3483</v>
      </c>
      <c r="K8" s="17">
        <f>_xll.BDH("CHTR US Equity","BS_CASH_NEAR_CASH_ITEM","FQ1 2020","FQ1 2020","Currency=USD","Period=FQ","BEST_FPERIOD_OVERRIDE=FQ","FILING_STATUS=MR","SCALING_FORMAT=MLN","Sort=A","Dates=H","DateFormat=P","Fill=—","Direction=H","UseDPDF=Y")</f>
        <v>2908</v>
      </c>
      <c r="L8" s="17">
        <f>_xll.BDH("CHTR US Equity","BS_CASH_NEAR_CASH_ITEM","FQ2 2020","FQ2 2020","Currency=USD","Period=FQ","BEST_FPERIOD_OVERRIDE=FQ","FILING_STATUS=MR","SCALING_FORMAT=MLN","Sort=A","Dates=H","DateFormat=P","Fill=—","Direction=H","UseDPDF=Y")</f>
        <v>2097</v>
      </c>
    </row>
    <row r="9" spans="1:12" x14ac:dyDescent="0.35">
      <c r="A9" s="16" t="s">
        <v>328</v>
      </c>
      <c r="B9" s="16" t="s">
        <v>327</v>
      </c>
      <c r="C9" s="17">
        <f>_xll.BDH("CHTR US Equity","BS_MKT_SEC_OTHER_ST_INVEST","FQ1 2018","FQ1 2018","Currency=USD","Period=FQ","BEST_FPERIOD_OVERRIDE=FQ","FILING_STATUS=MR","SCALING_FORMAT=MLN","Sort=A","Dates=H","DateFormat=P","Fill=—","Direction=H","UseDPDF=Y")</f>
        <v>0</v>
      </c>
      <c r="D9" s="17">
        <f>_xll.BDH("CHTR US Equity","BS_MKT_SEC_OTHER_ST_INVEST","FQ2 2018","FQ2 2018","Currency=USD","Period=FQ","BEST_FPERIOD_OVERRIDE=FQ","FILING_STATUS=MR","SCALING_FORMAT=MLN","Sort=A","Dates=H","DateFormat=P","Fill=—","Direction=H","UseDPDF=Y")</f>
        <v>0</v>
      </c>
      <c r="E9" s="17">
        <f>_xll.BDH("CHTR US Equity","BS_MKT_SEC_OTHER_ST_INVEST","FQ3 2018","FQ3 2018","Currency=USD","Period=FQ","BEST_FPERIOD_OVERRIDE=FQ","FILING_STATUS=MR","SCALING_FORMAT=MLN","Sort=A","Dates=H","DateFormat=P","Fill=—","Direction=H","UseDPDF=Y")</f>
        <v>0</v>
      </c>
      <c r="F9" s="17">
        <f>_xll.BDH("CHTR US Equity","BS_MKT_SEC_OTHER_ST_INVEST","FQ4 2018","FQ4 2018","Currency=USD","Period=FQ","BEST_FPERIOD_OVERRIDE=FQ","FILING_STATUS=MR","SCALING_FORMAT=MLN","Sort=A","Dates=H","DateFormat=P","Fill=—","Direction=H","UseDPDF=Y")</f>
        <v>0</v>
      </c>
      <c r="G9" s="17">
        <f>_xll.BDH("CHTR US Equity","BS_MKT_SEC_OTHER_ST_INVEST","FQ1 2019","FQ1 2019","Currency=USD","Period=FQ","BEST_FPERIOD_OVERRIDE=FQ","FILING_STATUS=MR","SCALING_FORMAT=MLN","Sort=A","Dates=H","DateFormat=P","Fill=—","Direction=H","UseDPDF=Y")</f>
        <v>0</v>
      </c>
      <c r="H9" s="17">
        <f>_xll.BDH("CHTR US Equity","BS_MKT_SEC_OTHER_ST_INVEST","FQ2 2019","FQ2 2019","Currency=USD","Period=FQ","BEST_FPERIOD_OVERRIDE=FQ","FILING_STATUS=MR","SCALING_FORMAT=MLN","Sort=A","Dates=H","DateFormat=P","Fill=—","Direction=H","UseDPDF=Y")</f>
        <v>0</v>
      </c>
      <c r="I9" s="17">
        <f>_xll.BDH("CHTR US Equity","BS_MKT_SEC_OTHER_ST_INVEST","FQ3 2019","FQ3 2019","Currency=USD","Period=FQ","BEST_FPERIOD_OVERRIDE=FQ","FILING_STATUS=MR","SCALING_FORMAT=MLN","Sort=A","Dates=H","DateFormat=P","Fill=—","Direction=H","UseDPDF=Y")</f>
        <v>0</v>
      </c>
      <c r="J9" s="17">
        <f>_xll.BDH("CHTR US Equity","BS_MKT_SEC_OTHER_ST_INVEST","FQ4 2019","FQ4 2019","Currency=USD","Period=FQ","BEST_FPERIOD_OVERRIDE=FQ","FILING_STATUS=MR","SCALING_FORMAT=MLN","Sort=A","Dates=H","DateFormat=P","Fill=—","Direction=H","UseDPDF=Y")</f>
        <v>0</v>
      </c>
      <c r="K9" s="17">
        <f>_xll.BDH("CHTR US Equity","BS_MKT_SEC_OTHER_ST_INVEST","FQ1 2020","FQ1 2020","Currency=USD","Period=FQ","BEST_FPERIOD_OVERRIDE=FQ","FILING_STATUS=MR","SCALING_FORMAT=MLN","Sort=A","Dates=H","DateFormat=P","Fill=—","Direction=H","UseDPDF=Y")</f>
        <v>0</v>
      </c>
      <c r="L9" s="17">
        <f>_xll.BDH("CHTR US Equity","BS_MKT_SEC_OTHER_ST_INVEST","FQ2 2020","FQ2 2020","Currency=USD","Period=FQ","BEST_FPERIOD_OVERRIDE=FQ","FILING_STATUS=MR","SCALING_FORMAT=MLN","Sort=A","Dates=H","DateFormat=P","Fill=—","Direction=H","UseDPDF=Y")</f>
        <v>0</v>
      </c>
    </row>
    <row r="10" spans="1:12" x14ac:dyDescent="0.35">
      <c r="A10" s="16" t="s">
        <v>326</v>
      </c>
      <c r="B10" s="16" t="s">
        <v>325</v>
      </c>
      <c r="C10" s="17">
        <f>_xll.BDH("CHTR US Equity","BS_ACCT_NOTE_RCV","FQ1 2018","FQ1 2018","Currency=USD","Period=FQ","BEST_FPERIOD_OVERRIDE=FQ","FILING_STATUS=MR","SCALING_FORMAT=MLN","Sort=A","Dates=H","DateFormat=P","Fill=—","Direction=H","UseDPDF=Y")</f>
        <v>1409</v>
      </c>
      <c r="D10" s="17">
        <f>_xll.BDH("CHTR US Equity","BS_ACCT_NOTE_RCV","FQ2 2018","FQ2 2018","Currency=USD","Period=FQ","BEST_FPERIOD_OVERRIDE=FQ","FILING_STATUS=MR","SCALING_FORMAT=MLN","Sort=A","Dates=H","DateFormat=P","Fill=—","Direction=H","UseDPDF=Y")</f>
        <v>1619</v>
      </c>
      <c r="E10" s="17">
        <f>_xll.BDH("CHTR US Equity","BS_ACCT_NOTE_RCV","FQ3 2018","FQ3 2018","Currency=USD","Period=FQ","BEST_FPERIOD_OVERRIDE=FQ","FILING_STATUS=MR","SCALING_FORMAT=MLN","Sort=A","Dates=H","DateFormat=P","Fill=—","Direction=H","UseDPDF=Y")</f>
        <v>1736</v>
      </c>
      <c r="F10" s="17">
        <f>_xll.BDH("CHTR US Equity","BS_ACCT_NOTE_RCV","FQ4 2018","FQ4 2018","Currency=USD","Period=FQ","BEST_FPERIOD_OVERRIDE=FQ","FILING_STATUS=MR","SCALING_FORMAT=MLN","Sort=A","Dates=H","DateFormat=P","Fill=—","Direction=H","UseDPDF=Y")</f>
        <v>1733</v>
      </c>
      <c r="G10" s="17">
        <f>_xll.BDH("CHTR US Equity","BS_ACCT_NOTE_RCV","FQ1 2019","FQ1 2019","Currency=USD","Period=FQ","BEST_FPERIOD_OVERRIDE=FQ","FILING_STATUS=MR","SCALING_FORMAT=MLN","Sort=A","Dates=H","DateFormat=P","Fill=—","Direction=H","UseDPDF=Y")</f>
        <v>1578</v>
      </c>
      <c r="H10" s="17">
        <f>_xll.BDH("CHTR US Equity","BS_ACCT_NOTE_RCV","FQ2 2019","FQ2 2019","Currency=USD","Period=FQ","BEST_FPERIOD_OVERRIDE=FQ","FILING_STATUS=MR","SCALING_FORMAT=MLN","Sort=A","Dates=H","DateFormat=P","Fill=—","Direction=H","UseDPDF=Y")</f>
        <v>2070</v>
      </c>
      <c r="I10" s="17">
        <f>_xll.BDH("CHTR US Equity","BS_ACCT_NOTE_RCV","FQ3 2019","FQ3 2019","Currency=USD","Period=FQ","BEST_FPERIOD_OVERRIDE=FQ","FILING_STATUS=MR","SCALING_FORMAT=MLN","Sort=A","Dates=H","DateFormat=P","Fill=—","Direction=H","UseDPDF=Y")</f>
        <v>2284</v>
      </c>
      <c r="J10" s="17">
        <f>_xll.BDH("CHTR US Equity","BS_ACCT_NOTE_RCV","FQ4 2019","FQ4 2019","Currency=USD","Period=FQ","BEST_FPERIOD_OVERRIDE=FQ","FILING_STATUS=MR","SCALING_FORMAT=MLN","Sort=A","Dates=H","DateFormat=P","Fill=—","Direction=H","UseDPDF=Y")</f>
        <v>2227</v>
      </c>
      <c r="K10" s="17">
        <f>_xll.BDH("CHTR US Equity","BS_ACCT_NOTE_RCV","FQ1 2020","FQ1 2020","Currency=USD","Period=FQ","BEST_FPERIOD_OVERRIDE=FQ","FILING_STATUS=MR","SCALING_FORMAT=MLN","Sort=A","Dates=H","DateFormat=P","Fill=—","Direction=H","UseDPDF=Y")</f>
        <v>2091</v>
      </c>
      <c r="L10" s="17">
        <f>_xll.BDH("CHTR US Equity","BS_ACCT_NOTE_RCV","FQ2 2020","FQ2 2020","Currency=USD","Period=FQ","BEST_FPERIOD_OVERRIDE=FQ","FILING_STATUS=MR","SCALING_FORMAT=MLN","Sort=A","Dates=H","DateFormat=P","Fill=—","Direction=H","UseDPDF=Y")</f>
        <v>1994</v>
      </c>
    </row>
    <row r="11" spans="1:12" x14ac:dyDescent="0.35">
      <c r="A11" s="16" t="s">
        <v>324</v>
      </c>
      <c r="B11" s="16" t="s">
        <v>323</v>
      </c>
      <c r="C11" s="17">
        <f>_xll.BDH("CHTR US Equity","BS_ACCTS_REC_EXCL_NOTES_REC","FQ1 2018","FQ1 2018","Currency=USD","Period=FQ","BEST_FPERIOD_OVERRIDE=FQ","FILING_STATUS=MR","SCALING_FORMAT=MLN","Sort=A","Dates=H","DateFormat=P","Fill=—","Direction=H","UseDPDF=Y")</f>
        <v>1409</v>
      </c>
      <c r="D11" s="17">
        <f>_xll.BDH("CHTR US Equity","BS_ACCTS_REC_EXCL_NOTES_REC","FQ2 2018","FQ2 2018","Currency=USD","Period=FQ","BEST_FPERIOD_OVERRIDE=FQ","FILING_STATUS=MR","SCALING_FORMAT=MLN","Sort=A","Dates=H","DateFormat=P","Fill=—","Direction=H","UseDPDF=Y")</f>
        <v>1619</v>
      </c>
      <c r="E11" s="17">
        <f>_xll.BDH("CHTR US Equity","BS_ACCTS_REC_EXCL_NOTES_REC","FQ3 2018","FQ3 2018","Currency=USD","Period=FQ","BEST_FPERIOD_OVERRIDE=FQ","FILING_STATUS=MR","SCALING_FORMAT=MLN","Sort=A","Dates=H","DateFormat=P","Fill=—","Direction=H","UseDPDF=Y")</f>
        <v>1736</v>
      </c>
      <c r="F11" s="17">
        <f>_xll.BDH("CHTR US Equity","BS_ACCTS_REC_EXCL_NOTES_REC","FQ4 2018","FQ4 2018","Currency=USD","Period=FQ","BEST_FPERIOD_OVERRIDE=FQ","FILING_STATUS=MR","SCALING_FORMAT=MLN","Sort=A","Dates=H","DateFormat=P","Fill=—","Direction=H","UseDPDF=Y")</f>
        <v>1733</v>
      </c>
      <c r="G11" s="17">
        <f>_xll.BDH("CHTR US Equity","BS_ACCTS_REC_EXCL_NOTES_REC","FQ1 2019","FQ1 2019","Currency=USD","Period=FQ","BEST_FPERIOD_OVERRIDE=FQ","FILING_STATUS=MR","SCALING_FORMAT=MLN","Sort=A","Dates=H","DateFormat=P","Fill=—","Direction=H","UseDPDF=Y")</f>
        <v>1578</v>
      </c>
      <c r="H11" s="17">
        <f>_xll.BDH("CHTR US Equity","BS_ACCTS_REC_EXCL_NOTES_REC","FQ2 2019","FQ2 2019","Currency=USD","Period=FQ","BEST_FPERIOD_OVERRIDE=FQ","FILING_STATUS=MR","SCALING_FORMAT=MLN","Sort=A","Dates=H","DateFormat=P","Fill=—","Direction=H","UseDPDF=Y")</f>
        <v>2070</v>
      </c>
      <c r="I11" s="17">
        <f>_xll.BDH("CHTR US Equity","BS_ACCTS_REC_EXCL_NOTES_REC","FQ3 2019","FQ3 2019","Currency=USD","Period=FQ","BEST_FPERIOD_OVERRIDE=FQ","FILING_STATUS=MR","SCALING_FORMAT=MLN","Sort=A","Dates=H","DateFormat=P","Fill=—","Direction=H","UseDPDF=Y")</f>
        <v>2284</v>
      </c>
      <c r="J11" s="17">
        <f>_xll.BDH("CHTR US Equity","BS_ACCTS_REC_EXCL_NOTES_REC","FQ4 2019","FQ4 2019","Currency=USD","Period=FQ","BEST_FPERIOD_OVERRIDE=FQ","FILING_STATUS=MR","SCALING_FORMAT=MLN","Sort=A","Dates=H","DateFormat=P","Fill=—","Direction=H","UseDPDF=Y")</f>
        <v>2227</v>
      </c>
      <c r="K11" s="17">
        <f>_xll.BDH("CHTR US Equity","BS_ACCTS_REC_EXCL_NOTES_REC","FQ1 2020","FQ1 2020","Currency=USD","Period=FQ","BEST_FPERIOD_OVERRIDE=FQ","FILING_STATUS=MR","SCALING_FORMAT=MLN","Sort=A","Dates=H","DateFormat=P","Fill=—","Direction=H","UseDPDF=Y")</f>
        <v>2091</v>
      </c>
      <c r="L11" s="17">
        <f>_xll.BDH("CHTR US Equity","BS_ACCTS_REC_EXCL_NOTES_REC","FQ2 2020","FQ2 2020","Currency=USD","Period=FQ","BEST_FPERIOD_OVERRIDE=FQ","FILING_STATUS=MR","SCALING_FORMAT=MLN","Sort=A","Dates=H","DateFormat=P","Fill=—","Direction=H","UseDPDF=Y")</f>
        <v>1994</v>
      </c>
    </row>
    <row r="12" spans="1:12" x14ac:dyDescent="0.35">
      <c r="A12" s="16" t="s">
        <v>322</v>
      </c>
      <c r="B12" s="16" t="s">
        <v>321</v>
      </c>
      <c r="C12" s="17">
        <f>_xll.BDH("CHTR US Equity","NOTES_RECEIVABLE","FQ1 2018","FQ1 2018","Currency=USD","Period=FQ","BEST_FPERIOD_OVERRIDE=FQ","FILING_STATUS=MR","SCALING_FORMAT=MLN","Sort=A","Dates=H","DateFormat=P","Fill=—","Direction=H","UseDPDF=Y")</f>
        <v>0</v>
      </c>
      <c r="D12" s="17">
        <f>_xll.BDH("CHTR US Equity","NOTES_RECEIVABLE","FQ2 2018","FQ2 2018","Currency=USD","Period=FQ","BEST_FPERIOD_OVERRIDE=FQ","FILING_STATUS=MR","SCALING_FORMAT=MLN","Sort=A","Dates=H","DateFormat=P","Fill=—","Direction=H","UseDPDF=Y")</f>
        <v>0</v>
      </c>
      <c r="E12" s="17">
        <f>_xll.BDH("CHTR US Equity","NOTES_RECEIVABLE","FQ3 2018","FQ3 2018","Currency=USD","Period=FQ","BEST_FPERIOD_OVERRIDE=FQ","FILING_STATUS=MR","SCALING_FORMAT=MLN","Sort=A","Dates=H","DateFormat=P","Fill=—","Direction=H","UseDPDF=Y")</f>
        <v>0</v>
      </c>
      <c r="F12" s="17">
        <f>_xll.BDH("CHTR US Equity","NOTES_RECEIVABLE","FQ4 2018","FQ4 2018","Currency=USD","Period=FQ","BEST_FPERIOD_OVERRIDE=FQ","FILING_STATUS=MR","SCALING_FORMAT=MLN","Sort=A","Dates=H","DateFormat=P","Fill=—","Direction=H","UseDPDF=Y")</f>
        <v>0</v>
      </c>
      <c r="G12" s="17">
        <f>_xll.BDH("CHTR US Equity","NOTES_RECEIVABLE","FQ1 2019","FQ1 2019","Currency=USD","Period=FQ","BEST_FPERIOD_OVERRIDE=FQ","FILING_STATUS=MR","SCALING_FORMAT=MLN","Sort=A","Dates=H","DateFormat=P","Fill=—","Direction=H","UseDPDF=Y")</f>
        <v>0</v>
      </c>
      <c r="H12" s="17">
        <f>_xll.BDH("CHTR US Equity","NOTES_RECEIVABLE","FQ2 2019","FQ2 2019","Currency=USD","Period=FQ","BEST_FPERIOD_OVERRIDE=FQ","FILING_STATUS=MR","SCALING_FORMAT=MLN","Sort=A","Dates=H","DateFormat=P","Fill=—","Direction=H","UseDPDF=Y")</f>
        <v>0</v>
      </c>
      <c r="I12" s="17">
        <f>_xll.BDH("CHTR US Equity","NOTES_RECEIVABLE","FQ3 2019","FQ3 2019","Currency=USD","Period=FQ","BEST_FPERIOD_OVERRIDE=FQ","FILING_STATUS=MR","SCALING_FORMAT=MLN","Sort=A","Dates=H","DateFormat=P","Fill=—","Direction=H","UseDPDF=Y")</f>
        <v>0</v>
      </c>
      <c r="J12" s="17">
        <f>_xll.BDH("CHTR US Equity","NOTES_RECEIVABLE","FQ4 2019","FQ4 2019","Currency=USD","Period=FQ","BEST_FPERIOD_OVERRIDE=FQ","FILING_STATUS=MR","SCALING_FORMAT=MLN","Sort=A","Dates=H","DateFormat=P","Fill=—","Direction=H","UseDPDF=Y")</f>
        <v>0</v>
      </c>
      <c r="K12" s="17">
        <f>_xll.BDH("CHTR US Equity","NOTES_RECEIVABLE","FQ1 2020","FQ1 2020","Currency=USD","Period=FQ","BEST_FPERIOD_OVERRIDE=FQ","FILING_STATUS=MR","SCALING_FORMAT=MLN","Sort=A","Dates=H","DateFormat=P","Fill=—","Direction=H","UseDPDF=Y")</f>
        <v>0</v>
      </c>
      <c r="L12" s="17">
        <f>_xll.BDH("CHTR US Equity","NOTES_RECEIVABLE","FQ2 2020","FQ2 2020","Currency=USD","Period=FQ","BEST_FPERIOD_OVERRIDE=FQ","FILING_STATUS=MR","SCALING_FORMAT=MLN","Sort=A","Dates=H","DateFormat=P","Fill=—","Direction=H","UseDPDF=Y")</f>
        <v>0</v>
      </c>
    </row>
    <row r="13" spans="1:12" x14ac:dyDescent="0.35">
      <c r="A13" s="16" t="s">
        <v>320</v>
      </c>
      <c r="B13" s="16" t="s">
        <v>319</v>
      </c>
      <c r="C13" s="17">
        <f>_xll.BDH("CHTR US Equity","BS_INVENTORIES","FQ1 2018","FQ1 2018","Currency=USD","Period=FQ","BEST_FPERIOD_OVERRIDE=FQ","FILING_STATUS=MR","SCALING_FORMAT=MLN","Sort=A","Dates=H","DateFormat=P","Fill=—","Direction=H","UseDPDF=Y")</f>
        <v>0</v>
      </c>
      <c r="D13" s="17">
        <f>_xll.BDH("CHTR US Equity","BS_INVENTORIES","FQ2 2018","FQ2 2018","Currency=USD","Period=FQ","BEST_FPERIOD_OVERRIDE=FQ","FILING_STATUS=MR","SCALING_FORMAT=MLN","Sort=A","Dates=H","DateFormat=P","Fill=—","Direction=H","UseDPDF=Y")</f>
        <v>0</v>
      </c>
      <c r="E13" s="17">
        <f>_xll.BDH("CHTR US Equity","BS_INVENTORIES","FQ3 2018","FQ3 2018","Currency=USD","Period=FQ","BEST_FPERIOD_OVERRIDE=FQ","FILING_STATUS=MR","SCALING_FORMAT=MLN","Sort=A","Dates=H","DateFormat=P","Fill=—","Direction=H","UseDPDF=Y")</f>
        <v>0</v>
      </c>
      <c r="F13" s="17">
        <f>_xll.BDH("CHTR US Equity","BS_INVENTORIES","FQ4 2018","FQ4 2018","Currency=USD","Period=FQ","BEST_FPERIOD_OVERRIDE=FQ","FILING_STATUS=MR","SCALING_FORMAT=MLN","Sort=A","Dates=H","DateFormat=P","Fill=—","Direction=H","UseDPDF=Y")</f>
        <v>0</v>
      </c>
      <c r="G13" s="17">
        <f>_xll.BDH("CHTR US Equity","BS_INVENTORIES","FQ1 2019","FQ1 2019","Currency=USD","Period=FQ","BEST_FPERIOD_OVERRIDE=FQ","FILING_STATUS=MR","SCALING_FORMAT=MLN","Sort=A","Dates=H","DateFormat=P","Fill=—","Direction=H","UseDPDF=Y")</f>
        <v>0</v>
      </c>
      <c r="H13" s="17">
        <f>_xll.BDH("CHTR US Equity","BS_INVENTORIES","FQ2 2019","FQ2 2019","Currency=USD","Period=FQ","BEST_FPERIOD_OVERRIDE=FQ","FILING_STATUS=MR","SCALING_FORMAT=MLN","Sort=A","Dates=H","DateFormat=P","Fill=—","Direction=H","UseDPDF=Y")</f>
        <v>0</v>
      </c>
      <c r="I13" s="17">
        <f>_xll.BDH("CHTR US Equity","BS_INVENTORIES","FQ3 2019","FQ3 2019","Currency=USD","Period=FQ","BEST_FPERIOD_OVERRIDE=FQ","FILING_STATUS=MR","SCALING_FORMAT=MLN","Sort=A","Dates=H","DateFormat=P","Fill=—","Direction=H","UseDPDF=Y")</f>
        <v>0</v>
      </c>
      <c r="J13" s="17">
        <f>_xll.BDH("CHTR US Equity","BS_INVENTORIES","FQ4 2019","FQ4 2019","Currency=USD","Period=FQ","BEST_FPERIOD_OVERRIDE=FQ","FILING_STATUS=MR","SCALING_FORMAT=MLN","Sort=A","Dates=H","DateFormat=P","Fill=—","Direction=H","UseDPDF=Y")</f>
        <v>0</v>
      </c>
      <c r="K13" s="17">
        <f>_xll.BDH("CHTR US Equity","BS_INVENTORIES","FQ1 2020","FQ1 2020","Currency=USD","Period=FQ","BEST_FPERIOD_OVERRIDE=FQ","FILING_STATUS=MR","SCALING_FORMAT=MLN","Sort=A","Dates=H","DateFormat=P","Fill=—","Direction=H","UseDPDF=Y")</f>
        <v>0</v>
      </c>
      <c r="L13" s="17">
        <f>_xll.BDH("CHTR US Equity","BS_INVENTORIES","FQ2 2020","FQ2 2020","Currency=USD","Period=FQ","BEST_FPERIOD_OVERRIDE=FQ","FILING_STATUS=MR","SCALING_FORMAT=MLN","Sort=A","Dates=H","DateFormat=P","Fill=—","Direction=H","UseDPDF=Y")</f>
        <v>0</v>
      </c>
    </row>
    <row r="14" spans="1:12" x14ac:dyDescent="0.35">
      <c r="A14" s="16" t="s">
        <v>318</v>
      </c>
      <c r="B14" s="16" t="s">
        <v>317</v>
      </c>
      <c r="C14" s="17">
        <f>_xll.BDH("CHTR US Equity","INVTRY_RAW_MATERIALS","FQ1 2018","FQ1 2018","Currency=USD","Period=FQ","BEST_FPERIOD_OVERRIDE=FQ","FILING_STATUS=MR","SCALING_FORMAT=MLN","Sort=A","Dates=H","DateFormat=P","Fill=—","Direction=H","UseDPDF=Y")</f>
        <v>0</v>
      </c>
      <c r="D14" s="17">
        <f>_xll.BDH("CHTR US Equity","INVTRY_RAW_MATERIALS","FQ2 2018","FQ2 2018","Currency=USD","Period=FQ","BEST_FPERIOD_OVERRIDE=FQ","FILING_STATUS=MR","SCALING_FORMAT=MLN","Sort=A","Dates=H","DateFormat=P","Fill=—","Direction=H","UseDPDF=Y")</f>
        <v>0</v>
      </c>
      <c r="E14" s="17">
        <f>_xll.BDH("CHTR US Equity","INVTRY_RAW_MATERIALS","FQ3 2018","FQ3 2018","Currency=USD","Period=FQ","BEST_FPERIOD_OVERRIDE=FQ","FILING_STATUS=MR","SCALING_FORMAT=MLN","Sort=A","Dates=H","DateFormat=P","Fill=—","Direction=H","UseDPDF=Y")</f>
        <v>0</v>
      </c>
      <c r="F14" s="17">
        <f>_xll.BDH("CHTR US Equity","INVTRY_RAW_MATERIALS","FQ4 2018","FQ4 2018","Currency=USD","Period=FQ","BEST_FPERIOD_OVERRIDE=FQ","FILING_STATUS=MR","SCALING_FORMAT=MLN","Sort=A","Dates=H","DateFormat=P","Fill=—","Direction=H","UseDPDF=Y")</f>
        <v>0</v>
      </c>
      <c r="G14" s="17">
        <f>_xll.BDH("CHTR US Equity","INVTRY_RAW_MATERIALS","FQ1 2019","FQ1 2019","Currency=USD","Period=FQ","BEST_FPERIOD_OVERRIDE=FQ","FILING_STATUS=MR","SCALING_FORMAT=MLN","Sort=A","Dates=H","DateFormat=P","Fill=—","Direction=H","UseDPDF=Y")</f>
        <v>0</v>
      </c>
      <c r="H14" s="17">
        <f>_xll.BDH("CHTR US Equity","INVTRY_RAW_MATERIALS","FQ2 2019","FQ2 2019","Currency=USD","Period=FQ","BEST_FPERIOD_OVERRIDE=FQ","FILING_STATUS=MR","SCALING_FORMAT=MLN","Sort=A","Dates=H","DateFormat=P","Fill=—","Direction=H","UseDPDF=Y")</f>
        <v>0</v>
      </c>
      <c r="I14" s="17">
        <f>_xll.BDH("CHTR US Equity","INVTRY_RAW_MATERIALS","FQ3 2019","FQ3 2019","Currency=USD","Period=FQ","BEST_FPERIOD_OVERRIDE=FQ","FILING_STATUS=MR","SCALING_FORMAT=MLN","Sort=A","Dates=H","DateFormat=P","Fill=—","Direction=H","UseDPDF=Y")</f>
        <v>0</v>
      </c>
      <c r="J14" s="17">
        <f>_xll.BDH("CHTR US Equity","INVTRY_RAW_MATERIALS","FQ4 2019","FQ4 2019","Currency=USD","Period=FQ","BEST_FPERIOD_OVERRIDE=FQ","FILING_STATUS=MR","SCALING_FORMAT=MLN","Sort=A","Dates=H","DateFormat=P","Fill=—","Direction=H","UseDPDF=Y")</f>
        <v>0</v>
      </c>
      <c r="K14" s="17">
        <f>_xll.BDH("CHTR US Equity","INVTRY_RAW_MATERIALS","FQ1 2020","FQ1 2020","Currency=USD","Period=FQ","BEST_FPERIOD_OVERRIDE=FQ","FILING_STATUS=MR","SCALING_FORMAT=MLN","Sort=A","Dates=H","DateFormat=P","Fill=—","Direction=H","UseDPDF=Y")</f>
        <v>0</v>
      </c>
      <c r="L14" s="17">
        <f>_xll.BDH("CHTR US Equity","INVTRY_RAW_MATERIALS","FQ2 2020","FQ2 2020","Currency=USD","Period=FQ","BEST_FPERIOD_OVERRIDE=FQ","FILING_STATUS=MR","SCALING_FORMAT=MLN","Sort=A","Dates=H","DateFormat=P","Fill=—","Direction=H","UseDPDF=Y")</f>
        <v>0</v>
      </c>
    </row>
    <row r="15" spans="1:12" x14ac:dyDescent="0.35">
      <c r="A15" s="16" t="s">
        <v>316</v>
      </c>
      <c r="B15" s="16" t="s">
        <v>315</v>
      </c>
      <c r="C15" s="17">
        <f>_xll.BDH("CHTR US Equity","INVTRY_IN_PROGRESS","FQ1 2018","FQ1 2018","Currency=USD","Period=FQ","BEST_FPERIOD_OVERRIDE=FQ","FILING_STATUS=MR","SCALING_FORMAT=MLN","Sort=A","Dates=H","DateFormat=P","Fill=—","Direction=H","UseDPDF=Y")</f>
        <v>0</v>
      </c>
      <c r="D15" s="17">
        <f>_xll.BDH("CHTR US Equity","INVTRY_IN_PROGRESS","FQ2 2018","FQ2 2018","Currency=USD","Period=FQ","BEST_FPERIOD_OVERRIDE=FQ","FILING_STATUS=MR","SCALING_FORMAT=MLN","Sort=A","Dates=H","DateFormat=P","Fill=—","Direction=H","UseDPDF=Y")</f>
        <v>0</v>
      </c>
      <c r="E15" s="17">
        <f>_xll.BDH("CHTR US Equity","INVTRY_IN_PROGRESS","FQ3 2018","FQ3 2018","Currency=USD","Period=FQ","BEST_FPERIOD_OVERRIDE=FQ","FILING_STATUS=MR","SCALING_FORMAT=MLN","Sort=A","Dates=H","DateFormat=P","Fill=—","Direction=H","UseDPDF=Y")</f>
        <v>0</v>
      </c>
      <c r="F15" s="17">
        <f>_xll.BDH("CHTR US Equity","INVTRY_IN_PROGRESS","FQ4 2018","FQ4 2018","Currency=USD","Period=FQ","BEST_FPERIOD_OVERRIDE=FQ","FILING_STATUS=MR","SCALING_FORMAT=MLN","Sort=A","Dates=H","DateFormat=P","Fill=—","Direction=H","UseDPDF=Y")</f>
        <v>0</v>
      </c>
      <c r="G15" s="17">
        <f>_xll.BDH("CHTR US Equity","INVTRY_IN_PROGRESS","FQ1 2019","FQ1 2019","Currency=USD","Period=FQ","BEST_FPERIOD_OVERRIDE=FQ","FILING_STATUS=MR","SCALING_FORMAT=MLN","Sort=A","Dates=H","DateFormat=P","Fill=—","Direction=H","UseDPDF=Y")</f>
        <v>0</v>
      </c>
      <c r="H15" s="17">
        <f>_xll.BDH("CHTR US Equity","INVTRY_IN_PROGRESS","FQ2 2019","FQ2 2019","Currency=USD","Period=FQ","BEST_FPERIOD_OVERRIDE=FQ","FILING_STATUS=MR","SCALING_FORMAT=MLN","Sort=A","Dates=H","DateFormat=P","Fill=—","Direction=H","UseDPDF=Y")</f>
        <v>0</v>
      </c>
      <c r="I15" s="17">
        <f>_xll.BDH("CHTR US Equity","INVTRY_IN_PROGRESS","FQ3 2019","FQ3 2019","Currency=USD","Period=FQ","BEST_FPERIOD_OVERRIDE=FQ","FILING_STATUS=MR","SCALING_FORMAT=MLN","Sort=A","Dates=H","DateFormat=P","Fill=—","Direction=H","UseDPDF=Y")</f>
        <v>0</v>
      </c>
      <c r="J15" s="17">
        <f>_xll.BDH("CHTR US Equity","INVTRY_IN_PROGRESS","FQ4 2019","FQ4 2019","Currency=USD","Period=FQ","BEST_FPERIOD_OVERRIDE=FQ","FILING_STATUS=MR","SCALING_FORMAT=MLN","Sort=A","Dates=H","DateFormat=P","Fill=—","Direction=H","UseDPDF=Y")</f>
        <v>0</v>
      </c>
      <c r="K15" s="17">
        <f>_xll.BDH("CHTR US Equity","INVTRY_IN_PROGRESS","FQ1 2020","FQ1 2020","Currency=USD","Period=FQ","BEST_FPERIOD_OVERRIDE=FQ","FILING_STATUS=MR","SCALING_FORMAT=MLN","Sort=A","Dates=H","DateFormat=P","Fill=—","Direction=H","UseDPDF=Y")</f>
        <v>0</v>
      </c>
      <c r="L15" s="17">
        <f>_xll.BDH("CHTR US Equity","INVTRY_IN_PROGRESS","FQ2 2020","FQ2 2020","Currency=USD","Period=FQ","BEST_FPERIOD_OVERRIDE=FQ","FILING_STATUS=MR","SCALING_FORMAT=MLN","Sort=A","Dates=H","DateFormat=P","Fill=—","Direction=H","UseDPDF=Y")</f>
        <v>0</v>
      </c>
    </row>
    <row r="16" spans="1:12" x14ac:dyDescent="0.35">
      <c r="A16" s="16" t="s">
        <v>314</v>
      </c>
      <c r="B16" s="16" t="s">
        <v>313</v>
      </c>
      <c r="C16" s="17">
        <f>_xll.BDH("CHTR US Equity","INVTRY_FINISHED_GOODS","FQ1 2018","FQ1 2018","Currency=USD","Period=FQ","BEST_FPERIOD_OVERRIDE=FQ","FILING_STATUS=MR","SCALING_FORMAT=MLN","Sort=A","Dates=H","DateFormat=P","Fill=—","Direction=H","UseDPDF=Y")</f>
        <v>0</v>
      </c>
      <c r="D16" s="17">
        <f>_xll.BDH("CHTR US Equity","INVTRY_FINISHED_GOODS","FQ2 2018","FQ2 2018","Currency=USD","Period=FQ","BEST_FPERIOD_OVERRIDE=FQ","FILING_STATUS=MR","SCALING_FORMAT=MLN","Sort=A","Dates=H","DateFormat=P","Fill=—","Direction=H","UseDPDF=Y")</f>
        <v>0</v>
      </c>
      <c r="E16" s="17">
        <f>_xll.BDH("CHTR US Equity","INVTRY_FINISHED_GOODS","FQ3 2018","FQ3 2018","Currency=USD","Period=FQ","BEST_FPERIOD_OVERRIDE=FQ","FILING_STATUS=MR","SCALING_FORMAT=MLN","Sort=A","Dates=H","DateFormat=P","Fill=—","Direction=H","UseDPDF=Y")</f>
        <v>0</v>
      </c>
      <c r="F16" s="17">
        <f>_xll.BDH("CHTR US Equity","INVTRY_FINISHED_GOODS","FQ4 2018","FQ4 2018","Currency=USD","Period=FQ","BEST_FPERIOD_OVERRIDE=FQ","FILING_STATUS=MR","SCALING_FORMAT=MLN","Sort=A","Dates=H","DateFormat=P","Fill=—","Direction=H","UseDPDF=Y")</f>
        <v>0</v>
      </c>
      <c r="G16" s="17">
        <f>_xll.BDH("CHTR US Equity","INVTRY_FINISHED_GOODS","FQ1 2019","FQ1 2019","Currency=USD","Period=FQ","BEST_FPERIOD_OVERRIDE=FQ","FILING_STATUS=MR","SCALING_FORMAT=MLN","Sort=A","Dates=H","DateFormat=P","Fill=—","Direction=H","UseDPDF=Y")</f>
        <v>0</v>
      </c>
      <c r="H16" s="17">
        <f>_xll.BDH("CHTR US Equity","INVTRY_FINISHED_GOODS","FQ2 2019","FQ2 2019","Currency=USD","Period=FQ","BEST_FPERIOD_OVERRIDE=FQ","FILING_STATUS=MR","SCALING_FORMAT=MLN","Sort=A","Dates=H","DateFormat=P","Fill=—","Direction=H","UseDPDF=Y")</f>
        <v>0</v>
      </c>
      <c r="I16" s="17">
        <f>_xll.BDH("CHTR US Equity","INVTRY_FINISHED_GOODS","FQ3 2019","FQ3 2019","Currency=USD","Period=FQ","BEST_FPERIOD_OVERRIDE=FQ","FILING_STATUS=MR","SCALING_FORMAT=MLN","Sort=A","Dates=H","DateFormat=P","Fill=—","Direction=H","UseDPDF=Y")</f>
        <v>0</v>
      </c>
      <c r="J16" s="17">
        <f>_xll.BDH("CHTR US Equity","INVTRY_FINISHED_GOODS","FQ4 2019","FQ4 2019","Currency=USD","Period=FQ","BEST_FPERIOD_OVERRIDE=FQ","FILING_STATUS=MR","SCALING_FORMAT=MLN","Sort=A","Dates=H","DateFormat=P","Fill=—","Direction=H","UseDPDF=Y")</f>
        <v>0</v>
      </c>
      <c r="K16" s="17">
        <f>_xll.BDH("CHTR US Equity","INVTRY_FINISHED_GOODS","FQ1 2020","FQ1 2020","Currency=USD","Period=FQ","BEST_FPERIOD_OVERRIDE=FQ","FILING_STATUS=MR","SCALING_FORMAT=MLN","Sort=A","Dates=H","DateFormat=P","Fill=—","Direction=H","UseDPDF=Y")</f>
        <v>0</v>
      </c>
      <c r="L16" s="17">
        <f>_xll.BDH("CHTR US Equity","INVTRY_FINISHED_GOODS","FQ2 2020","FQ2 2020","Currency=USD","Period=FQ","BEST_FPERIOD_OVERRIDE=FQ","FILING_STATUS=MR","SCALING_FORMAT=MLN","Sort=A","Dates=H","DateFormat=P","Fill=—","Direction=H","UseDPDF=Y")</f>
        <v>0</v>
      </c>
    </row>
    <row r="17" spans="1:12" x14ac:dyDescent="0.35">
      <c r="A17" s="16" t="s">
        <v>312</v>
      </c>
      <c r="B17" s="16" t="s">
        <v>311</v>
      </c>
      <c r="C17" s="17">
        <f>_xll.BDH("CHTR US Equity","BS_OTHER_INV","FQ1 2018","FQ1 2018","Currency=USD","Period=FQ","BEST_FPERIOD_OVERRIDE=FQ","FILING_STATUS=MR","SCALING_FORMAT=MLN","Sort=A","Dates=H","DateFormat=P","Fill=—","Direction=H","UseDPDF=Y")</f>
        <v>0</v>
      </c>
      <c r="D17" s="17">
        <f>_xll.BDH("CHTR US Equity","BS_OTHER_INV","FQ2 2018","FQ2 2018","Currency=USD","Period=FQ","BEST_FPERIOD_OVERRIDE=FQ","FILING_STATUS=MR","SCALING_FORMAT=MLN","Sort=A","Dates=H","DateFormat=P","Fill=—","Direction=H","UseDPDF=Y")</f>
        <v>0</v>
      </c>
      <c r="E17" s="17">
        <f>_xll.BDH("CHTR US Equity","BS_OTHER_INV","FQ3 2018","FQ3 2018","Currency=USD","Period=FQ","BEST_FPERIOD_OVERRIDE=FQ","FILING_STATUS=MR","SCALING_FORMAT=MLN","Sort=A","Dates=H","DateFormat=P","Fill=—","Direction=H","UseDPDF=Y")</f>
        <v>0</v>
      </c>
      <c r="F17" s="17">
        <f>_xll.BDH("CHTR US Equity","BS_OTHER_INV","FQ4 2018","FQ4 2018","Currency=USD","Period=FQ","BEST_FPERIOD_OVERRIDE=FQ","FILING_STATUS=MR","SCALING_FORMAT=MLN","Sort=A","Dates=H","DateFormat=P","Fill=—","Direction=H","UseDPDF=Y")</f>
        <v>0</v>
      </c>
      <c r="G17" s="17">
        <f>_xll.BDH("CHTR US Equity","BS_OTHER_INV","FQ1 2019","FQ1 2019","Currency=USD","Period=FQ","BEST_FPERIOD_OVERRIDE=FQ","FILING_STATUS=MR","SCALING_FORMAT=MLN","Sort=A","Dates=H","DateFormat=P","Fill=—","Direction=H","UseDPDF=Y")</f>
        <v>0</v>
      </c>
      <c r="H17" s="17">
        <f>_xll.BDH("CHTR US Equity","BS_OTHER_INV","FQ2 2019","FQ2 2019","Currency=USD","Period=FQ","BEST_FPERIOD_OVERRIDE=FQ","FILING_STATUS=MR","SCALING_FORMAT=MLN","Sort=A","Dates=H","DateFormat=P","Fill=—","Direction=H","UseDPDF=Y")</f>
        <v>0</v>
      </c>
      <c r="I17" s="17">
        <f>_xll.BDH("CHTR US Equity","BS_OTHER_INV","FQ3 2019","FQ3 2019","Currency=USD","Period=FQ","BEST_FPERIOD_OVERRIDE=FQ","FILING_STATUS=MR","SCALING_FORMAT=MLN","Sort=A","Dates=H","DateFormat=P","Fill=—","Direction=H","UseDPDF=Y")</f>
        <v>0</v>
      </c>
      <c r="J17" s="17">
        <f>_xll.BDH("CHTR US Equity","BS_OTHER_INV","FQ4 2019","FQ4 2019","Currency=USD","Period=FQ","BEST_FPERIOD_OVERRIDE=FQ","FILING_STATUS=MR","SCALING_FORMAT=MLN","Sort=A","Dates=H","DateFormat=P","Fill=—","Direction=H","UseDPDF=Y")</f>
        <v>0</v>
      </c>
      <c r="K17" s="17">
        <f>_xll.BDH("CHTR US Equity","BS_OTHER_INV","FQ1 2020","FQ1 2020","Currency=USD","Period=FQ","BEST_FPERIOD_OVERRIDE=FQ","FILING_STATUS=MR","SCALING_FORMAT=MLN","Sort=A","Dates=H","DateFormat=P","Fill=—","Direction=H","UseDPDF=Y")</f>
        <v>0</v>
      </c>
      <c r="L17" s="17">
        <f>_xll.BDH("CHTR US Equity","BS_OTHER_INV","FQ2 2020","FQ2 2020","Currency=USD","Period=FQ","BEST_FPERIOD_OVERRIDE=FQ","FILING_STATUS=MR","SCALING_FORMAT=MLN","Sort=A","Dates=H","DateFormat=P","Fill=—","Direction=H","UseDPDF=Y")</f>
        <v>0</v>
      </c>
    </row>
    <row r="18" spans="1:12" x14ac:dyDescent="0.35">
      <c r="A18" s="16" t="s">
        <v>310</v>
      </c>
      <c r="B18" s="16" t="s">
        <v>309</v>
      </c>
      <c r="C18" s="17">
        <f>_xll.BDH("CHTR US Equity","OTHER_CURRENT_ASSETS_DETAILED","FQ1 2018","FQ1 2018","Currency=USD","Period=FQ","BEST_FPERIOD_OVERRIDE=FQ","FILING_STATUS=MR","SCALING_FORMAT=MLN","Sort=A","Dates=H","DateFormat=P","Fill=—","Direction=H","UseDPDF=Y")</f>
        <v>413</v>
      </c>
      <c r="D18" s="17">
        <f>_xll.BDH("CHTR US Equity","OTHER_CURRENT_ASSETS_DETAILED","FQ2 2018","FQ2 2018","Currency=USD","Period=FQ","BEST_FPERIOD_OVERRIDE=FQ","FILING_STATUS=MR","SCALING_FORMAT=MLN","Sort=A","Dates=H","DateFormat=P","Fill=—","Direction=H","UseDPDF=Y")</f>
        <v>358</v>
      </c>
      <c r="E18" s="17">
        <f>_xll.BDH("CHTR US Equity","OTHER_CURRENT_ASSETS_DETAILED","FQ3 2018","FQ3 2018","Currency=USD","Period=FQ","BEST_FPERIOD_OVERRIDE=FQ","FILING_STATUS=MR","SCALING_FORMAT=MLN","Sort=A","Dates=H","DateFormat=P","Fill=—","Direction=H","UseDPDF=Y")</f>
        <v>381</v>
      </c>
      <c r="F18" s="17">
        <f>_xll.BDH("CHTR US Equity","OTHER_CURRENT_ASSETS_DETAILED","FQ4 2018","FQ4 2018","Currency=USD","Period=FQ","BEST_FPERIOD_OVERRIDE=FQ","FILING_STATUS=MR","SCALING_FORMAT=MLN","Sort=A","Dates=H","DateFormat=P","Fill=—","Direction=H","UseDPDF=Y")</f>
        <v>446</v>
      </c>
      <c r="G18" s="17">
        <f>_xll.BDH("CHTR US Equity","OTHER_CURRENT_ASSETS_DETAILED","FQ1 2019","FQ1 2019","Currency=USD","Period=FQ","BEST_FPERIOD_OVERRIDE=FQ","FILING_STATUS=MR","SCALING_FORMAT=MLN","Sort=A","Dates=H","DateFormat=P","Fill=—","Direction=H","UseDPDF=Y")</f>
        <v>722</v>
      </c>
      <c r="H18" s="17">
        <f>_xll.BDH("CHTR US Equity","OTHER_CURRENT_ASSETS_DETAILED","FQ2 2019","FQ2 2019","Currency=USD","Period=FQ","BEST_FPERIOD_OVERRIDE=FQ","FILING_STATUS=MR","SCALING_FORMAT=MLN","Sort=A","Dates=H","DateFormat=P","Fill=—","Direction=H","UseDPDF=Y")</f>
        <v>574</v>
      </c>
      <c r="I18" s="17">
        <f>_xll.BDH("CHTR US Equity","OTHER_CURRENT_ASSETS_DETAILED","FQ3 2019","FQ3 2019","Currency=USD","Period=FQ","BEST_FPERIOD_OVERRIDE=FQ","FILING_STATUS=MR","SCALING_FORMAT=MLN","Sort=A","Dates=H","DateFormat=P","Fill=—","Direction=H","UseDPDF=Y")</f>
        <v>596</v>
      </c>
      <c r="J18" s="17">
        <f>_xll.BDH("CHTR US Equity","OTHER_CURRENT_ASSETS_DETAILED","FQ4 2019","FQ4 2019","Currency=USD","Period=FQ","BEST_FPERIOD_OVERRIDE=FQ","FILING_STATUS=MR","SCALING_FORMAT=MLN","Sort=A","Dates=H","DateFormat=P","Fill=—","Direction=H","UseDPDF=Y")</f>
        <v>761</v>
      </c>
      <c r="K18" s="17">
        <f>_xll.BDH("CHTR US Equity","OTHER_CURRENT_ASSETS_DETAILED","FQ1 2020","FQ1 2020","Currency=USD","Period=FQ","BEST_FPERIOD_OVERRIDE=FQ","FILING_STATUS=MR","SCALING_FORMAT=MLN","Sort=A","Dates=H","DateFormat=P","Fill=—","Direction=H","UseDPDF=Y")</f>
        <v>760</v>
      </c>
      <c r="L18" s="17">
        <f>_xll.BDH("CHTR US Equity","OTHER_CURRENT_ASSETS_DETAILED","FQ2 2020","FQ2 2020","Currency=USD","Period=FQ","BEST_FPERIOD_OVERRIDE=FQ","FILING_STATUS=MR","SCALING_FORMAT=MLN","Sort=A","Dates=H","DateFormat=P","Fill=—","Direction=H","UseDPDF=Y")</f>
        <v>674</v>
      </c>
    </row>
    <row r="19" spans="1:12" x14ac:dyDescent="0.35">
      <c r="A19" s="16" t="s">
        <v>287</v>
      </c>
      <c r="B19" s="16" t="s">
        <v>308</v>
      </c>
      <c r="C19" s="17" t="str">
        <f>_xll.BDH("CHTR US Equity","BS_DERIV_&amp;_HEDGING_ASSETS_ST","FQ1 2018","FQ1 2018","Currency=USD","Period=FQ","BEST_FPERIOD_OVERRIDE=FQ","FILING_STATUS=MR","SCALING_FORMAT=MLN","Sort=A","Dates=H","DateFormat=P","Fill=—","Direction=H","UseDPDF=Y")</f>
        <v>—</v>
      </c>
      <c r="D19" s="17" t="str">
        <f>_xll.BDH("CHTR US Equity","BS_DERIV_&amp;_HEDGING_ASSETS_ST","FQ2 2018","FQ2 2018","Currency=USD","Period=FQ","BEST_FPERIOD_OVERRIDE=FQ","FILING_STATUS=MR","SCALING_FORMAT=MLN","Sort=A","Dates=H","DateFormat=P","Fill=—","Direction=H","UseDPDF=Y")</f>
        <v>—</v>
      </c>
      <c r="E19" s="17" t="str">
        <f>_xll.BDH("CHTR US Equity","BS_DERIV_&amp;_HEDGING_ASSETS_ST","FQ3 2018","FQ3 2018","Currency=USD","Period=FQ","BEST_FPERIOD_OVERRIDE=FQ","FILING_STATUS=MR","SCALING_FORMAT=MLN","Sort=A","Dates=H","DateFormat=P","Fill=—","Direction=H","UseDPDF=Y")</f>
        <v>—</v>
      </c>
      <c r="F19" s="17">
        <f>_xll.BDH("CHTR US Equity","BS_DERIV_&amp;_HEDGING_ASSETS_ST","FQ4 2018","FQ4 2018","Currency=USD","Period=FQ","BEST_FPERIOD_OVERRIDE=FQ","FILING_STATUS=MR","SCALING_FORMAT=MLN","Sort=A","Dates=H","DateFormat=P","Fill=—","Direction=H","UseDPDF=Y")</f>
        <v>0</v>
      </c>
      <c r="G19" s="17" t="str">
        <f>_xll.BDH("CHTR US Equity","BS_DERIV_&amp;_HEDGING_ASSETS_ST","FQ1 2019","FQ1 2019","Currency=USD","Period=FQ","BEST_FPERIOD_OVERRIDE=FQ","FILING_STATUS=MR","SCALING_FORMAT=MLN","Sort=A","Dates=H","DateFormat=P","Fill=—","Direction=H","UseDPDF=Y")</f>
        <v>—</v>
      </c>
      <c r="H19" s="17" t="str">
        <f>_xll.BDH("CHTR US Equity","BS_DERIV_&amp;_HEDGING_ASSETS_ST","FQ2 2019","FQ2 2019","Currency=USD","Period=FQ","BEST_FPERIOD_OVERRIDE=FQ","FILING_STATUS=MR","SCALING_FORMAT=MLN","Sort=A","Dates=H","DateFormat=P","Fill=—","Direction=H","UseDPDF=Y")</f>
        <v>—</v>
      </c>
      <c r="I19" s="17" t="str">
        <f>_xll.BDH("CHTR US Equity","BS_DERIV_&amp;_HEDGING_ASSETS_ST","FQ3 2019","FQ3 2019","Currency=USD","Period=FQ","BEST_FPERIOD_OVERRIDE=FQ","FILING_STATUS=MR","SCALING_FORMAT=MLN","Sort=A","Dates=H","DateFormat=P","Fill=—","Direction=H","UseDPDF=Y")</f>
        <v>—</v>
      </c>
      <c r="J19" s="17">
        <f>_xll.BDH("CHTR US Equity","BS_DERIV_&amp;_HEDGING_ASSETS_ST","FQ4 2019","FQ4 2019","Currency=USD","Period=FQ","BEST_FPERIOD_OVERRIDE=FQ","FILING_STATUS=MR","SCALING_FORMAT=MLN","Sort=A","Dates=H","DateFormat=P","Fill=—","Direction=H","UseDPDF=Y")</f>
        <v>0</v>
      </c>
      <c r="K19" s="17" t="str">
        <f>_xll.BDH("CHTR US Equity","BS_DERIV_&amp;_HEDGING_ASSETS_ST","FQ1 2020","FQ1 2020","Currency=USD","Period=FQ","BEST_FPERIOD_OVERRIDE=FQ","FILING_STATUS=MR","SCALING_FORMAT=MLN","Sort=A","Dates=H","DateFormat=P","Fill=—","Direction=H","UseDPDF=Y")</f>
        <v>—</v>
      </c>
      <c r="L19" s="17" t="str">
        <f>_xll.BDH("CHTR US Equity","BS_DERIV_&amp;_HEDGING_ASSETS_ST","FQ2 2020","FQ2 2020","Currency=USD","Period=FQ","BEST_FPERIOD_OVERRIDE=FQ","FILING_STATUS=MR","SCALING_FORMAT=MLN","Sort=A","Dates=H","DateFormat=P","Fill=—","Direction=H","UseDPDF=Y")</f>
        <v>—</v>
      </c>
    </row>
    <row r="20" spans="1:12" x14ac:dyDescent="0.35">
      <c r="A20" s="16" t="s">
        <v>307</v>
      </c>
      <c r="B20" s="16" t="s">
        <v>306</v>
      </c>
      <c r="C20" s="17">
        <f>_xll.BDH("CHTR US Equity","BS_OTHER_CUR_ASSET_LESS_PREPAY","FQ1 2018","FQ1 2018","Currency=USD","Period=FQ","BEST_FPERIOD_OVERRIDE=FQ","FILING_STATUS=MR","SCALING_FORMAT=MLN","Sort=A","Dates=H","DateFormat=P","Fill=—","Direction=H","UseDPDF=Y")</f>
        <v>413</v>
      </c>
      <c r="D20" s="17">
        <f>_xll.BDH("CHTR US Equity","BS_OTHER_CUR_ASSET_LESS_PREPAY","FQ2 2018","FQ2 2018","Currency=USD","Period=FQ","BEST_FPERIOD_OVERRIDE=FQ","FILING_STATUS=MR","SCALING_FORMAT=MLN","Sort=A","Dates=H","DateFormat=P","Fill=—","Direction=H","UseDPDF=Y")</f>
        <v>358</v>
      </c>
      <c r="E20" s="17">
        <f>_xll.BDH("CHTR US Equity","BS_OTHER_CUR_ASSET_LESS_PREPAY","FQ3 2018","FQ3 2018","Currency=USD","Period=FQ","BEST_FPERIOD_OVERRIDE=FQ","FILING_STATUS=MR","SCALING_FORMAT=MLN","Sort=A","Dates=H","DateFormat=P","Fill=—","Direction=H","UseDPDF=Y")</f>
        <v>381</v>
      </c>
      <c r="F20" s="17">
        <f>_xll.BDH("CHTR US Equity","BS_OTHER_CUR_ASSET_LESS_PREPAY","FQ4 2018","FQ4 2018","Currency=USD","Period=FQ","BEST_FPERIOD_OVERRIDE=FQ","FILING_STATUS=MR","SCALING_FORMAT=MLN","Sort=A","Dates=H","DateFormat=P","Fill=—","Direction=H","UseDPDF=Y")</f>
        <v>446</v>
      </c>
      <c r="G20" s="17">
        <f>_xll.BDH("CHTR US Equity","BS_OTHER_CUR_ASSET_LESS_PREPAY","FQ1 2019","FQ1 2019","Currency=USD","Period=FQ","BEST_FPERIOD_OVERRIDE=FQ","FILING_STATUS=MR","SCALING_FORMAT=MLN","Sort=A","Dates=H","DateFormat=P","Fill=—","Direction=H","UseDPDF=Y")</f>
        <v>722</v>
      </c>
      <c r="H20" s="17">
        <f>_xll.BDH("CHTR US Equity","BS_OTHER_CUR_ASSET_LESS_PREPAY","FQ2 2019","FQ2 2019","Currency=USD","Period=FQ","BEST_FPERIOD_OVERRIDE=FQ","FILING_STATUS=MR","SCALING_FORMAT=MLN","Sort=A","Dates=H","DateFormat=P","Fill=—","Direction=H","UseDPDF=Y")</f>
        <v>574</v>
      </c>
      <c r="I20" s="17">
        <f>_xll.BDH("CHTR US Equity","BS_OTHER_CUR_ASSET_LESS_PREPAY","FQ3 2019","FQ3 2019","Currency=USD","Period=FQ","BEST_FPERIOD_OVERRIDE=FQ","FILING_STATUS=MR","SCALING_FORMAT=MLN","Sort=A","Dates=H","DateFormat=P","Fill=—","Direction=H","UseDPDF=Y")</f>
        <v>596</v>
      </c>
      <c r="J20" s="17">
        <f>_xll.BDH("CHTR US Equity","BS_OTHER_CUR_ASSET_LESS_PREPAY","FQ4 2019","FQ4 2019","Currency=USD","Period=FQ","BEST_FPERIOD_OVERRIDE=FQ","FILING_STATUS=MR","SCALING_FORMAT=MLN","Sort=A","Dates=H","DateFormat=P","Fill=—","Direction=H","UseDPDF=Y")</f>
        <v>761</v>
      </c>
      <c r="K20" s="17">
        <f>_xll.BDH("CHTR US Equity","BS_OTHER_CUR_ASSET_LESS_PREPAY","FQ1 2020","FQ1 2020","Currency=USD","Period=FQ","BEST_FPERIOD_OVERRIDE=FQ","FILING_STATUS=MR","SCALING_FORMAT=MLN","Sort=A","Dates=H","DateFormat=P","Fill=—","Direction=H","UseDPDF=Y")</f>
        <v>760</v>
      </c>
      <c r="L20" s="17">
        <f>_xll.BDH("CHTR US Equity","BS_OTHER_CUR_ASSET_LESS_PREPAY","FQ2 2020","FQ2 2020","Currency=USD","Period=FQ","BEST_FPERIOD_OVERRIDE=FQ","FILING_STATUS=MR","SCALING_FORMAT=MLN","Sort=A","Dates=H","DateFormat=P","Fill=—","Direction=H","UseDPDF=Y")</f>
        <v>674</v>
      </c>
    </row>
    <row r="21" spans="1:12" x14ac:dyDescent="0.35">
      <c r="A21" s="12" t="s">
        <v>305</v>
      </c>
      <c r="B21" s="12" t="s">
        <v>304</v>
      </c>
      <c r="C21" s="10">
        <f>_xll.BDH("CHTR US Equity","BS_CUR_ASSET_REPORT","FQ1 2018","FQ1 2018","Currency=USD","Period=FQ","BEST_FPERIOD_OVERRIDE=FQ","FILING_STATUS=MR","SCALING_FORMAT=MLN","Sort=A","Dates=H","DateFormat=P","Fill=—","Direction=H","UseDPDF=Y")</f>
        <v>2398</v>
      </c>
      <c r="D21" s="10">
        <f>_xll.BDH("CHTR US Equity","BS_CUR_ASSET_REPORT","FQ2 2018","FQ2 2018","Currency=USD","Period=FQ","BEST_FPERIOD_OVERRIDE=FQ","FILING_STATUS=MR","SCALING_FORMAT=MLN","Sort=A","Dates=H","DateFormat=P","Fill=—","Direction=H","UseDPDF=Y")</f>
        <v>2750</v>
      </c>
      <c r="E21" s="10">
        <f>_xll.BDH("CHTR US Equity","BS_CUR_ASSET_REPORT","FQ3 2018","FQ3 2018","Currency=USD","Period=FQ","BEST_FPERIOD_OVERRIDE=FQ","FILING_STATUS=MR","SCALING_FORMAT=MLN","Sort=A","Dates=H","DateFormat=P","Fill=—","Direction=H","UseDPDF=Y")</f>
        <v>2729</v>
      </c>
      <c r="F21" s="10">
        <f>_xll.BDH("CHTR US Equity","BS_CUR_ASSET_REPORT","FQ4 2018","FQ4 2018","Currency=USD","Period=FQ","BEST_FPERIOD_OVERRIDE=FQ","FILING_STATUS=MR","SCALING_FORMAT=MLN","Sort=A","Dates=H","DateFormat=P","Fill=—","Direction=H","UseDPDF=Y")</f>
        <v>2730</v>
      </c>
      <c r="G21" s="10">
        <f>_xll.BDH("CHTR US Equity","BS_CUR_ASSET_REPORT","FQ1 2019","FQ1 2019","Currency=USD","Period=FQ","BEST_FPERIOD_OVERRIDE=FQ","FILING_STATUS=MR","SCALING_FORMAT=MLN","Sort=A","Dates=H","DateFormat=P","Fill=—","Direction=H","UseDPDF=Y")</f>
        <v>3751</v>
      </c>
      <c r="H21" s="10">
        <f>_xll.BDH("CHTR US Equity","BS_CUR_ASSET_REPORT","FQ2 2019","FQ2 2019","Currency=USD","Period=FQ","BEST_FPERIOD_OVERRIDE=FQ","FILING_STATUS=MR","SCALING_FORMAT=MLN","Sort=A","Dates=H","DateFormat=P","Fill=—","Direction=H","UseDPDF=Y")</f>
        <v>3340</v>
      </c>
      <c r="I21" s="10">
        <f>_xll.BDH("CHTR US Equity","BS_CUR_ASSET_REPORT","FQ3 2019","FQ3 2019","Currency=USD","Period=FQ","BEST_FPERIOD_OVERRIDE=FQ","FILING_STATUS=MR","SCALING_FORMAT=MLN","Sort=A","Dates=H","DateFormat=P","Fill=—","Direction=H","UseDPDF=Y")</f>
        <v>3388</v>
      </c>
      <c r="J21" s="10">
        <f>_xll.BDH("CHTR US Equity","BS_CUR_ASSET_REPORT","FQ4 2019","FQ4 2019","Currency=USD","Period=FQ","BEST_FPERIOD_OVERRIDE=FQ","FILING_STATUS=MR","SCALING_FORMAT=MLN","Sort=A","Dates=H","DateFormat=P","Fill=—","Direction=H","UseDPDF=Y")</f>
        <v>6471</v>
      </c>
      <c r="K21" s="10">
        <f>_xll.BDH("CHTR US Equity","BS_CUR_ASSET_REPORT","FQ1 2020","FQ1 2020","Currency=USD","Period=FQ","BEST_FPERIOD_OVERRIDE=FQ","FILING_STATUS=MR","SCALING_FORMAT=MLN","Sort=A","Dates=H","DateFormat=P","Fill=—","Direction=H","UseDPDF=Y")</f>
        <v>5759</v>
      </c>
      <c r="L21" s="10">
        <f>_xll.BDH("CHTR US Equity","BS_CUR_ASSET_REPORT","FQ2 2020","FQ2 2020","Currency=USD","Period=FQ","BEST_FPERIOD_OVERRIDE=FQ","FILING_STATUS=MR","SCALING_FORMAT=MLN","Sort=A","Dates=H","DateFormat=P","Fill=—","Direction=H","UseDPDF=Y")</f>
        <v>4765</v>
      </c>
    </row>
    <row r="22" spans="1:12" x14ac:dyDescent="0.35">
      <c r="A22" s="16" t="s">
        <v>303</v>
      </c>
      <c r="B22" s="16" t="s">
        <v>302</v>
      </c>
      <c r="C22" s="17">
        <f>_xll.BDH("CHTR US Equity","BS_NET_FIX_ASSET","FQ1 2018","FQ1 2018","Currency=USD","Period=FQ","BEST_FPERIOD_OVERRIDE=FQ","FILING_STATUS=MR","SCALING_FORMAT=MLN","Sort=A","Dates=H","DateFormat=P","Fill=—","Direction=H","UseDPDF=Y")</f>
        <v>34002</v>
      </c>
      <c r="D22" s="17">
        <f>_xll.BDH("CHTR US Equity","BS_NET_FIX_ASSET","FQ2 2018","FQ2 2018","Currency=USD","Period=FQ","BEST_FPERIOD_OVERRIDE=FQ","FILING_STATUS=MR","SCALING_FORMAT=MLN","Sort=A","Dates=H","DateFormat=P","Fill=—","Direction=H","UseDPDF=Y")</f>
        <v>34411</v>
      </c>
      <c r="E22" s="17">
        <f>_xll.BDH("CHTR US Equity","BS_NET_FIX_ASSET","FQ3 2018","FQ3 2018","Currency=USD","Period=FQ","BEST_FPERIOD_OVERRIDE=FQ","FILING_STATUS=MR","SCALING_FORMAT=MLN","Sort=A","Dates=H","DateFormat=P","Fill=—","Direction=H","UseDPDF=Y")</f>
        <v>34740</v>
      </c>
      <c r="F22" s="17">
        <f>_xll.BDH("CHTR US Equity","BS_NET_FIX_ASSET","FQ4 2018","FQ4 2018","Currency=USD","Period=FQ","BEST_FPERIOD_OVERRIDE=FQ","FILING_STATUS=MR","SCALING_FORMAT=MLN","Sort=A","Dates=H","DateFormat=P","Fill=—","Direction=H","UseDPDF=Y")</f>
        <v>35126</v>
      </c>
      <c r="G22" s="17">
        <f>_xll.BDH("CHTR US Equity","BS_NET_FIX_ASSET","FQ1 2019","FQ1 2019","Currency=USD","Period=FQ","BEST_FPERIOD_OVERRIDE=FQ","FILING_STATUS=MR","SCALING_FORMAT=MLN","Sort=A","Dates=H","DateFormat=P","Fill=—","Direction=H","UseDPDF=Y")</f>
        <v>34859</v>
      </c>
      <c r="H22" s="17">
        <f>_xll.BDH("CHTR US Equity","BS_NET_FIX_ASSET","FQ2 2019","FQ2 2019","Currency=USD","Period=FQ","BEST_FPERIOD_OVERRIDE=FQ","FILING_STATUS=MR","SCALING_FORMAT=MLN","Sort=A","Dates=H","DateFormat=P","Fill=—","Direction=H","UseDPDF=Y")</f>
        <v>35641</v>
      </c>
      <c r="I22" s="17">
        <f>_xll.BDH("CHTR US Equity","BS_NET_FIX_ASSET","FQ3 2019","FQ3 2019","Currency=USD","Period=FQ","BEST_FPERIOD_OVERRIDE=FQ","FILING_STATUS=MR","SCALING_FORMAT=MLN","Sort=A","Dates=H","DateFormat=P","Fill=—","Direction=H","UseDPDF=Y")</f>
        <v>35321</v>
      </c>
      <c r="J22" s="17">
        <f>_xll.BDH("CHTR US Equity","BS_NET_FIX_ASSET","FQ4 2019","FQ4 2019","Currency=USD","Period=FQ","BEST_FPERIOD_OVERRIDE=FQ","FILING_STATUS=MR","SCALING_FORMAT=MLN","Sort=A","Dates=H","DateFormat=P","Fill=—","Direction=H","UseDPDF=Y")</f>
        <v>35683</v>
      </c>
      <c r="K22" s="17">
        <f>_xll.BDH("CHTR US Equity","BS_NET_FIX_ASSET","FQ1 2020","FQ1 2020","Currency=USD","Period=FQ","BEST_FPERIOD_OVERRIDE=FQ","FILING_STATUS=MR","SCALING_FORMAT=MLN","Sort=A","Dates=H","DateFormat=P","Fill=—","Direction=H","UseDPDF=Y")</f>
        <v>35192</v>
      </c>
      <c r="L22" s="17">
        <f>_xll.BDH("CHTR US Equity","BS_NET_FIX_ASSET","FQ2 2020","FQ2 2020","Currency=USD","Period=FQ","BEST_FPERIOD_OVERRIDE=FQ","FILING_STATUS=MR","SCALING_FORMAT=MLN","Sort=A","Dates=H","DateFormat=P","Fill=—","Direction=H","UseDPDF=Y")</f>
        <v>35206</v>
      </c>
    </row>
    <row r="23" spans="1:12" x14ac:dyDescent="0.35">
      <c r="A23" s="16" t="s">
        <v>301</v>
      </c>
      <c r="B23" s="16" t="s">
        <v>300</v>
      </c>
      <c r="C23" s="17">
        <f>_xll.BDH("CHTR US Equity","BS_GROSS_FIX_ASSET","FQ1 2018","FQ1 2018","Currency=USD","Period=FQ","BEST_FPERIOD_OVERRIDE=FQ","FILING_STATUS=MR","SCALING_FORMAT=MLN","Sort=A","Dates=H","DateFormat=P","Fill=—","Direction=H","UseDPDF=Y")</f>
        <v>53798</v>
      </c>
      <c r="D23" s="17">
        <f>_xll.BDH("CHTR US Equity","BS_GROSS_FIX_ASSET","FQ2 2018","FQ2 2018","Currency=USD","Period=FQ","BEST_FPERIOD_OVERRIDE=FQ","FILING_STATUS=MR","SCALING_FORMAT=MLN","Sort=A","Dates=H","DateFormat=P","Fill=—","Direction=H","UseDPDF=Y")</f>
        <v>54462</v>
      </c>
      <c r="E23" s="17">
        <f>_xll.BDH("CHTR US Equity","BS_GROSS_FIX_ASSET","FQ3 2018","FQ3 2018","Currency=USD","Period=FQ","BEST_FPERIOD_OVERRIDE=FQ","FILING_STATUS=MR","SCALING_FORMAT=MLN","Sort=A","Dates=H","DateFormat=P","Fill=—","Direction=H","UseDPDF=Y")</f>
        <v>56253</v>
      </c>
      <c r="F23" s="17">
        <f>_xll.BDH("CHTR US Equity","BS_GROSS_FIX_ASSET","FQ4 2018","FQ4 2018","Currency=USD","Period=FQ","BEST_FPERIOD_OVERRIDE=FQ","FILING_STATUS=MR","SCALING_FORMAT=MLN","Sort=A","Dates=H","DateFormat=P","Fill=—","Direction=H","UseDPDF=Y")</f>
        <v>58201</v>
      </c>
      <c r="G23" s="17">
        <f>_xll.BDH("CHTR US Equity","BS_GROSS_FIX_ASSET","FQ1 2019","FQ1 2019","Currency=USD","Period=FQ","BEST_FPERIOD_OVERRIDE=FQ","FILING_STATUS=MR","SCALING_FORMAT=MLN","Sort=A","Dates=H","DateFormat=P","Fill=—","Direction=H","UseDPDF=Y")</f>
        <v>54655</v>
      </c>
      <c r="H23" s="17">
        <f>_xll.BDH("CHTR US Equity","BS_GROSS_FIX_ASSET","FQ2 2019","FQ2 2019","Currency=USD","Period=FQ","BEST_FPERIOD_OVERRIDE=FQ","FILING_STATUS=MR","SCALING_FORMAT=MLN","Sort=A","Dates=H","DateFormat=P","Fill=—","Direction=H","UseDPDF=Y")</f>
        <v>60645</v>
      </c>
      <c r="I23" s="17">
        <f>_xll.BDH("CHTR US Equity","BS_GROSS_FIX_ASSET","FQ3 2019","FQ3 2019","Currency=USD","Period=FQ","BEST_FPERIOD_OVERRIDE=FQ","FILING_STATUS=MR","SCALING_FORMAT=MLN","Sort=A","Dates=H","DateFormat=P","Fill=—","Direction=H","UseDPDF=Y")</f>
        <v>61686</v>
      </c>
      <c r="J23" s="17">
        <f>_xll.BDH("CHTR US Equity","BS_GROSS_FIX_ASSET","FQ4 2019","FQ4 2019","Currency=USD","Period=FQ","BEST_FPERIOD_OVERRIDE=FQ","FILING_STATUS=MR","SCALING_FORMAT=MLN","Sort=A","Dates=H","DateFormat=P","Fill=—","Direction=H","UseDPDF=Y")</f>
        <v>63339</v>
      </c>
      <c r="K23" s="17">
        <f>_xll.BDH("CHTR US Equity","BS_GROSS_FIX_ASSET","FQ1 2020","FQ1 2020","Currency=USD","Period=FQ","BEST_FPERIOD_OVERRIDE=FQ","FILING_STATUS=MR","SCALING_FORMAT=MLN","Sort=A","Dates=H","DateFormat=P","Fill=—","Direction=H","UseDPDF=Y")</f>
        <v>64230</v>
      </c>
      <c r="L23" s="17">
        <f>_xll.BDH("CHTR US Equity","BS_GROSS_FIX_ASSET","FQ2 2020","FQ2 2020","Currency=USD","Period=FQ","BEST_FPERIOD_OVERRIDE=FQ","FILING_STATUS=MR","SCALING_FORMAT=MLN","Sort=A","Dates=H","DateFormat=P","Fill=—","Direction=H","UseDPDF=Y")</f>
        <v>64344</v>
      </c>
    </row>
    <row r="24" spans="1:12" x14ac:dyDescent="0.35">
      <c r="A24" s="16" t="s">
        <v>299</v>
      </c>
      <c r="B24" s="16" t="s">
        <v>298</v>
      </c>
      <c r="C24" s="17">
        <f>_xll.BDH("CHTR US Equity","BS_ACCUM_DEPR","FQ1 2018","FQ1 2018","Currency=USD","Period=FQ","BEST_FPERIOD_OVERRIDE=FQ","FILING_STATUS=MR","SCALING_FORMAT=MLN","Sort=A","Dates=H","DateFormat=P","Fill=—","Direction=H","UseDPDF=Y")</f>
        <v>19796</v>
      </c>
      <c r="D24" s="17">
        <f>_xll.BDH("CHTR US Equity","BS_ACCUM_DEPR","FQ2 2018","FQ2 2018","Currency=USD","Period=FQ","BEST_FPERIOD_OVERRIDE=FQ","FILING_STATUS=MR","SCALING_FORMAT=MLN","Sort=A","Dates=H","DateFormat=P","Fill=—","Direction=H","UseDPDF=Y")</f>
        <v>20051</v>
      </c>
      <c r="E24" s="17">
        <f>_xll.BDH("CHTR US Equity","BS_ACCUM_DEPR","FQ3 2018","FQ3 2018","Currency=USD","Period=FQ","BEST_FPERIOD_OVERRIDE=FQ","FILING_STATUS=MR","SCALING_FORMAT=MLN","Sort=A","Dates=H","DateFormat=P","Fill=—","Direction=H","UseDPDF=Y")</f>
        <v>21513</v>
      </c>
      <c r="F24" s="17">
        <f>_xll.BDH("CHTR US Equity","BS_ACCUM_DEPR","FQ4 2018","FQ4 2018","Currency=USD","Period=FQ","BEST_FPERIOD_OVERRIDE=FQ","FILING_STATUS=MR","SCALING_FORMAT=MLN","Sort=A","Dates=H","DateFormat=P","Fill=—","Direction=H","UseDPDF=Y")</f>
        <v>23075</v>
      </c>
      <c r="G24" s="17">
        <f>_xll.BDH("CHTR US Equity","BS_ACCUM_DEPR","FQ1 2019","FQ1 2019","Currency=USD","Period=FQ","BEST_FPERIOD_OVERRIDE=FQ","FILING_STATUS=MR","SCALING_FORMAT=MLN","Sort=A","Dates=H","DateFormat=P","Fill=—","Direction=H","UseDPDF=Y")</f>
        <v>19796</v>
      </c>
      <c r="H24" s="17">
        <f>_xll.BDH("CHTR US Equity","BS_ACCUM_DEPR","FQ2 2019","FQ2 2019","Currency=USD","Period=FQ","BEST_FPERIOD_OVERRIDE=FQ","FILING_STATUS=MR","SCALING_FORMAT=MLN","Sort=A","Dates=H","DateFormat=P","Fill=—","Direction=H","UseDPDF=Y")</f>
        <v>25004</v>
      </c>
      <c r="I24" s="17">
        <f>_xll.BDH("CHTR US Equity","BS_ACCUM_DEPR","FQ3 2019","FQ3 2019","Currency=USD","Period=FQ","BEST_FPERIOD_OVERRIDE=FQ","FILING_STATUS=MR","SCALING_FORMAT=MLN","Sort=A","Dates=H","DateFormat=P","Fill=—","Direction=H","UseDPDF=Y")</f>
        <v>26365</v>
      </c>
      <c r="J24" s="17">
        <f>_xll.BDH("CHTR US Equity","BS_ACCUM_DEPR","FQ4 2019","FQ4 2019","Currency=USD","Period=FQ","BEST_FPERIOD_OVERRIDE=FQ","FILING_STATUS=MR","SCALING_FORMAT=MLN","Sort=A","Dates=H","DateFormat=P","Fill=—","Direction=H","UseDPDF=Y")</f>
        <v>27656</v>
      </c>
      <c r="K24" s="17">
        <f>_xll.BDH("CHTR US Equity","BS_ACCUM_DEPR","FQ1 2020","FQ1 2020","Currency=USD","Period=FQ","BEST_FPERIOD_OVERRIDE=FQ","FILING_STATUS=MR","SCALING_FORMAT=MLN","Sort=A","Dates=H","DateFormat=P","Fill=—","Direction=H","UseDPDF=Y")</f>
        <v>29038</v>
      </c>
      <c r="L24" s="17">
        <f>_xll.BDH("CHTR US Equity","BS_ACCUM_DEPR","FQ2 2020","FQ2 2020","Currency=USD","Period=FQ","BEST_FPERIOD_OVERRIDE=FQ","FILING_STATUS=MR","SCALING_FORMAT=MLN","Sort=A","Dates=H","DateFormat=P","Fill=—","Direction=H","UseDPDF=Y")</f>
        <v>29138</v>
      </c>
    </row>
    <row r="25" spans="1:12" x14ac:dyDescent="0.35">
      <c r="A25" s="16" t="s">
        <v>297</v>
      </c>
      <c r="B25" s="16" t="s">
        <v>296</v>
      </c>
      <c r="C25" s="17">
        <f>_xll.BDH("CHTR US Equity","BS_LT_INVEST","FQ1 2018","FQ1 2018","Currency=USD","Period=FQ","BEST_FPERIOD_OVERRIDE=FQ","FILING_STATUS=MR","SCALING_FORMAT=MLN","Sort=A","Dates=H","DateFormat=P","Fill=—","Direction=H","UseDPDF=Y")</f>
        <v>0</v>
      </c>
      <c r="D25" s="17">
        <f>_xll.BDH("CHTR US Equity","BS_LT_INVEST","FQ2 2018","FQ2 2018","Currency=USD","Period=FQ","BEST_FPERIOD_OVERRIDE=FQ","FILING_STATUS=MR","SCALING_FORMAT=MLN","Sort=A","Dates=H","DateFormat=P","Fill=—","Direction=H","UseDPDF=Y")</f>
        <v>0</v>
      </c>
      <c r="E25" s="17">
        <f>_xll.BDH("CHTR US Equity","BS_LT_INVEST","FQ3 2018","FQ3 2018","Currency=USD","Period=FQ","BEST_FPERIOD_OVERRIDE=FQ","FILING_STATUS=MR","SCALING_FORMAT=MLN","Sort=A","Dates=H","DateFormat=P","Fill=—","Direction=H","UseDPDF=Y")</f>
        <v>0</v>
      </c>
      <c r="F25" s="17">
        <f>_xll.BDH("CHTR US Equity","BS_LT_INVEST","FQ4 2018","FQ4 2018","Currency=USD","Period=FQ","BEST_FPERIOD_OVERRIDE=FQ","FILING_STATUS=MR","SCALING_FORMAT=MLN","Sort=A","Dates=H","DateFormat=P","Fill=—","Direction=H","UseDPDF=Y")</f>
        <v>0</v>
      </c>
      <c r="G25" s="17">
        <f>_xll.BDH("CHTR US Equity","BS_LT_INVEST","FQ1 2019","FQ1 2019","Currency=USD","Period=FQ","BEST_FPERIOD_OVERRIDE=FQ","FILING_STATUS=MR","SCALING_FORMAT=MLN","Sort=A","Dates=H","DateFormat=P","Fill=—","Direction=H","UseDPDF=Y")</f>
        <v>0</v>
      </c>
      <c r="H25" s="17">
        <f>_xll.BDH("CHTR US Equity","BS_LT_INVEST","FQ2 2019","FQ2 2019","Currency=USD","Period=FQ","BEST_FPERIOD_OVERRIDE=FQ","FILING_STATUS=MR","SCALING_FORMAT=MLN","Sort=A","Dates=H","DateFormat=P","Fill=—","Direction=H","UseDPDF=Y")</f>
        <v>0</v>
      </c>
      <c r="I25" s="17">
        <f>_xll.BDH("CHTR US Equity","BS_LT_INVEST","FQ3 2019","FQ3 2019","Currency=USD","Period=FQ","BEST_FPERIOD_OVERRIDE=FQ","FILING_STATUS=MR","SCALING_FORMAT=MLN","Sort=A","Dates=H","DateFormat=P","Fill=—","Direction=H","UseDPDF=Y")</f>
        <v>0</v>
      </c>
      <c r="J25" s="17">
        <f>_xll.BDH("CHTR US Equity","BS_LT_INVEST","FQ4 2019","FQ4 2019","Currency=USD","Period=FQ","BEST_FPERIOD_OVERRIDE=FQ","FILING_STATUS=MR","SCALING_FORMAT=MLN","Sort=A","Dates=H","DateFormat=P","Fill=—","Direction=H","UseDPDF=Y")</f>
        <v>0</v>
      </c>
      <c r="K25" s="17">
        <f>_xll.BDH("CHTR US Equity","BS_LT_INVEST","FQ1 2020","FQ1 2020","Currency=USD","Period=FQ","BEST_FPERIOD_OVERRIDE=FQ","FILING_STATUS=MR","SCALING_FORMAT=MLN","Sort=A","Dates=H","DateFormat=P","Fill=—","Direction=H","UseDPDF=Y")</f>
        <v>0</v>
      </c>
      <c r="L25" s="17">
        <f>_xll.BDH("CHTR US Equity","BS_LT_INVEST","FQ2 2020","FQ2 2020","Currency=USD","Period=FQ","BEST_FPERIOD_OVERRIDE=FQ","FILING_STATUS=MR","SCALING_FORMAT=MLN","Sort=A","Dates=H","DateFormat=P","Fill=—","Direction=H","UseDPDF=Y")</f>
        <v>0</v>
      </c>
    </row>
    <row r="26" spans="1:12" x14ac:dyDescent="0.35">
      <c r="A26" s="16" t="s">
        <v>295</v>
      </c>
      <c r="B26" s="16" t="s">
        <v>294</v>
      </c>
      <c r="C26" s="17">
        <f>_xll.BDH("CHTR US Equity","BS_OTHER_ASSETS_DEF_CHRG_OTHER","FQ1 2018","FQ1 2018","Currency=USD","Period=FQ","BEST_FPERIOD_OVERRIDE=FQ","FILING_STATUS=MR","SCALING_FORMAT=MLN","Sort=A","Dates=H","DateFormat=P","Fill=—","Direction=H","UseDPDF=Y")</f>
        <v>109751</v>
      </c>
      <c r="D26" s="17">
        <f>_xll.BDH("CHTR US Equity","BS_OTHER_ASSETS_DEF_CHRG_OTHER","FQ2 2018","FQ2 2018","Currency=USD","Period=FQ","BEST_FPERIOD_OVERRIDE=FQ","FILING_STATUS=MR","SCALING_FORMAT=MLN","Sort=A","Dates=H","DateFormat=P","Fill=—","Direction=H","UseDPDF=Y")</f>
        <v>109090</v>
      </c>
      <c r="E26" s="17">
        <f>_xll.BDH("CHTR US Equity","BS_OTHER_ASSETS_DEF_CHRG_OTHER","FQ3 2018","FQ3 2018","Currency=USD","Period=FQ","BEST_FPERIOD_OVERRIDE=FQ","FILING_STATUS=MR","SCALING_FORMAT=MLN","Sort=A","Dates=H","DateFormat=P","Fill=—","Direction=H","UseDPDF=Y")</f>
        <v>108616</v>
      </c>
      <c r="F26" s="17">
        <f>_xll.BDH("CHTR US Equity","BS_OTHER_ASSETS_DEF_CHRG_OTHER","FQ4 2018","FQ4 2018","Currency=USD","Period=FQ","BEST_FPERIOD_OVERRIDE=FQ","FILING_STATUS=MR","SCALING_FORMAT=MLN","Sort=A","Dates=H","DateFormat=P","Fill=—","Direction=H","UseDPDF=Y")</f>
        <v>108274</v>
      </c>
      <c r="G26" s="17">
        <f>_xll.BDH("CHTR US Equity","BS_OTHER_ASSETS_DEF_CHRG_OTHER","FQ1 2019","FQ1 2019","Currency=USD","Period=FQ","BEST_FPERIOD_OVERRIDE=FQ","FILING_STATUS=MR","SCALING_FORMAT=MLN","Sort=A","Dates=H","DateFormat=P","Fill=—","Direction=H","UseDPDF=Y")</f>
        <v>108647</v>
      </c>
      <c r="H26" s="17">
        <f>_xll.BDH("CHTR US Equity","BS_OTHER_ASSETS_DEF_CHRG_OTHER","FQ2 2019","FQ2 2019","Currency=USD","Period=FQ","BEST_FPERIOD_OVERRIDE=FQ","FILING_STATUS=MR","SCALING_FORMAT=MLN","Sort=A","Dates=H","DateFormat=P","Fill=—","Direction=H","UseDPDF=Y")</f>
        <v>107104</v>
      </c>
      <c r="I26" s="17">
        <f>_xll.BDH("CHTR US Equity","BS_OTHER_ASSETS_DEF_CHRG_OTHER","FQ3 2019","FQ3 2019","Currency=USD","Period=FQ","BEST_FPERIOD_OVERRIDE=FQ","FILING_STATUS=MR","SCALING_FORMAT=MLN","Sort=A","Dates=H","DateFormat=P","Fill=—","Direction=H","UseDPDF=Y")</f>
        <v>106558</v>
      </c>
      <c r="J26" s="17">
        <f>_xll.BDH("CHTR US Equity","BS_OTHER_ASSETS_DEF_CHRG_OTHER","FQ4 2019","FQ4 2019","Currency=USD","Period=FQ","BEST_FPERIOD_OVERRIDE=FQ","FILING_STATUS=MR","SCALING_FORMAT=MLN","Sort=A","Dates=H","DateFormat=P","Fill=—","Direction=H","UseDPDF=Y")</f>
        <v>106034</v>
      </c>
      <c r="K26" s="17">
        <f>_xll.BDH("CHTR US Equity","BS_OTHER_ASSETS_DEF_CHRG_OTHER","FQ1 2020","FQ1 2020","Currency=USD","Period=FQ","BEST_FPERIOD_OVERRIDE=FQ","FILING_STATUS=MR","SCALING_FORMAT=MLN","Sort=A","Dates=H","DateFormat=P","Fill=—","Direction=H","UseDPDF=Y")</f>
        <v>105601</v>
      </c>
      <c r="L26" s="17">
        <f>_xll.BDH("CHTR US Equity","BS_OTHER_ASSETS_DEF_CHRG_OTHER","FQ2 2020","FQ2 2020","Currency=USD","Period=FQ","BEST_FPERIOD_OVERRIDE=FQ","FILING_STATUS=MR","SCALING_FORMAT=MLN","Sort=A","Dates=H","DateFormat=P","Fill=—","Direction=H","UseDPDF=Y")</f>
        <v>105165</v>
      </c>
    </row>
    <row r="27" spans="1:12" x14ac:dyDescent="0.35">
      <c r="A27" s="16" t="s">
        <v>293</v>
      </c>
      <c r="B27" s="16" t="s">
        <v>292</v>
      </c>
      <c r="C27" s="17">
        <f>_xll.BDH("CHTR US Equity","BS_DISCLOSED_INTANGIBLES","FQ1 2018","FQ1 2018","Currency=USD","Period=FQ","BEST_FPERIOD_OVERRIDE=FQ","FILING_STATUS=MR","SCALING_FORMAT=MLN","Sort=A","Dates=H","DateFormat=P","Fill=—","Direction=H","UseDPDF=Y")</f>
        <v>108188</v>
      </c>
      <c r="D27" s="17">
        <f>_xll.BDH("CHTR US Equity","BS_DISCLOSED_INTANGIBLES","FQ2 2018","FQ2 2018","Currency=USD","Period=FQ","BEST_FPERIOD_OVERRIDE=FQ","FILING_STATUS=MR","SCALING_FORMAT=MLN","Sort=A","Dates=H","DateFormat=P","Fill=—","Direction=H","UseDPDF=Y")</f>
        <v>107583</v>
      </c>
      <c r="E27" s="17">
        <f>_xll.BDH("CHTR US Equity","BS_DISCLOSED_INTANGIBLES","FQ3 2018","FQ3 2018","Currency=USD","Period=FQ","BEST_FPERIOD_OVERRIDE=FQ","FILING_STATUS=MR","SCALING_FORMAT=MLN","Sort=A","Dates=H","DateFormat=P","Fill=—","Direction=H","UseDPDF=Y")</f>
        <v>107009</v>
      </c>
      <c r="F27" s="17">
        <f>_xll.BDH("CHTR US Equity","BS_DISCLOSED_INTANGIBLES","FQ4 2018","FQ4 2018","Currency=USD","Period=FQ","BEST_FPERIOD_OVERRIDE=FQ","FILING_STATUS=MR","SCALING_FORMAT=MLN","Sort=A","Dates=H","DateFormat=P","Fill=—","Direction=H","UseDPDF=Y")</f>
        <v>106438</v>
      </c>
      <c r="G27" s="17">
        <f>_xll.BDH("CHTR US Equity","BS_DISCLOSED_INTANGIBLES","FQ1 2019","FQ1 2019","Currency=USD","Period=FQ","BEST_FPERIOD_OVERRIDE=FQ","FILING_STATUS=MR","SCALING_FORMAT=MLN","Sort=A","Dates=H","DateFormat=P","Fill=—","Direction=H","UseDPDF=Y")</f>
        <v>105870</v>
      </c>
      <c r="H27" s="17">
        <f>_xll.BDH("CHTR US Equity","BS_DISCLOSED_INTANGIBLES","FQ2 2019","FQ2 2019","Currency=USD","Period=FQ","BEST_FPERIOD_OVERRIDE=FQ","FILING_STATUS=MR","SCALING_FORMAT=MLN","Sort=A","Dates=H","DateFormat=P","Fill=—","Direction=H","UseDPDF=Y")</f>
        <v>105334</v>
      </c>
      <c r="I27" s="17">
        <f>_xll.BDH("CHTR US Equity","BS_DISCLOSED_INTANGIBLES","FQ3 2019","FQ3 2019","Currency=USD","Period=FQ","BEST_FPERIOD_OVERRIDE=FQ","FILING_STATUS=MR","SCALING_FORMAT=MLN","Sort=A","Dates=H","DateFormat=P","Fill=—","Direction=H","UseDPDF=Y")</f>
        <v>104832</v>
      </c>
      <c r="J27" s="17">
        <f>_xll.BDH("CHTR US Equity","BS_DISCLOSED_INTANGIBLES","FQ4 2019","FQ4 2019","Currency=USD","Period=FQ","BEST_FPERIOD_OVERRIDE=FQ","FILING_STATUS=MR","SCALING_FORMAT=MLN","Sort=A","Dates=H","DateFormat=P","Fill=—","Direction=H","UseDPDF=Y")</f>
        <v>104329</v>
      </c>
      <c r="K27" s="17">
        <f>_xll.BDH("CHTR US Equity","BS_DISCLOSED_INTANGIBLES","FQ1 2020","FQ1 2020","Currency=USD","Period=FQ","BEST_FPERIOD_OVERRIDE=FQ","FILING_STATUS=MR","SCALING_FORMAT=MLN","Sort=A","Dates=H","DateFormat=P","Fill=—","Direction=H","UseDPDF=Y")</f>
        <v>103831</v>
      </c>
      <c r="L27" s="17">
        <f>_xll.BDH("CHTR US Equity","BS_DISCLOSED_INTANGIBLES","FQ2 2020","FQ2 2020","Currency=USD","Period=FQ","BEST_FPERIOD_OVERRIDE=FQ","FILING_STATUS=MR","SCALING_FORMAT=MLN","Sort=A","Dates=H","DateFormat=P","Fill=—","Direction=H","UseDPDF=Y")</f>
        <v>103362</v>
      </c>
    </row>
    <row r="28" spans="1:12" x14ac:dyDescent="0.35">
      <c r="A28" s="8" t="s">
        <v>291</v>
      </c>
      <c r="B28" s="8" t="s">
        <v>290</v>
      </c>
      <c r="C28" s="9">
        <f>_xll.BDH("CHTR US Equity","BS_GOODWILL","FQ1 2018","FQ1 2018","Currency=USD","Period=FQ","BEST_FPERIOD_OVERRIDE=FQ","FILING_STATUS=MR","SCALING_FORMAT=MLN","Sort=A","Dates=H","DateFormat=P","Fill=—","Direction=H","UseDPDF=Y")</f>
        <v>29554</v>
      </c>
      <c r="D28" s="9">
        <f>_xll.BDH("CHTR US Equity","BS_GOODWILL","FQ2 2018","FQ2 2018","Currency=USD","Period=FQ","BEST_FPERIOD_OVERRIDE=FQ","FILING_STATUS=MR","SCALING_FORMAT=MLN","Sort=A","Dates=H","DateFormat=P","Fill=—","Direction=H","UseDPDF=Y")</f>
        <v>29554</v>
      </c>
      <c r="E28" s="9">
        <f>_xll.BDH("CHTR US Equity","BS_GOODWILL","FQ3 2018","FQ3 2018","Currency=USD","Period=FQ","BEST_FPERIOD_OVERRIDE=FQ","FILING_STATUS=MR","SCALING_FORMAT=MLN","Sort=A","Dates=H","DateFormat=P","Fill=—","Direction=H","UseDPDF=Y")</f>
        <v>29554</v>
      </c>
      <c r="F28" s="9">
        <f>_xll.BDH("CHTR US Equity","BS_GOODWILL","FQ4 2018","FQ4 2018","Currency=USD","Period=FQ","BEST_FPERIOD_OVERRIDE=FQ","FILING_STATUS=MR","SCALING_FORMAT=MLN","Sort=A","Dates=H","DateFormat=P","Fill=—","Direction=H","UseDPDF=Y")</f>
        <v>29554</v>
      </c>
      <c r="G28" s="9">
        <f>_xll.BDH("CHTR US Equity","BS_GOODWILL","FQ1 2019","FQ1 2019","Currency=USD","Period=FQ","BEST_FPERIOD_OVERRIDE=FQ","FILING_STATUS=MR","SCALING_FORMAT=MLN","Sort=A","Dates=H","DateFormat=P","Fill=—","Direction=H","UseDPDF=Y")</f>
        <v>29554</v>
      </c>
      <c r="H28" s="9">
        <f>_xll.BDH("CHTR US Equity","BS_GOODWILL","FQ2 2019","FQ2 2019","Currency=USD","Period=FQ","BEST_FPERIOD_OVERRIDE=FQ","FILING_STATUS=MR","SCALING_FORMAT=MLN","Sort=A","Dates=H","DateFormat=P","Fill=—","Direction=H","UseDPDF=Y")</f>
        <v>29554</v>
      </c>
      <c r="I28" s="9">
        <f>_xll.BDH("CHTR US Equity","BS_GOODWILL","FQ3 2019","FQ3 2019","Currency=USD","Period=FQ","BEST_FPERIOD_OVERRIDE=FQ","FILING_STATUS=MR","SCALING_FORMAT=MLN","Sort=A","Dates=H","DateFormat=P","Fill=—","Direction=H","UseDPDF=Y")</f>
        <v>29554</v>
      </c>
      <c r="J28" s="9">
        <f>_xll.BDH("CHTR US Equity","BS_GOODWILL","FQ4 2019","FQ4 2019","Currency=USD","Period=FQ","BEST_FPERIOD_OVERRIDE=FQ","FILING_STATUS=MR","SCALING_FORMAT=MLN","Sort=A","Dates=H","DateFormat=P","Fill=—","Direction=H","UseDPDF=Y")</f>
        <v>29554</v>
      </c>
      <c r="K28" s="9">
        <f>_xll.BDH("CHTR US Equity","BS_GOODWILL","FQ1 2020","FQ1 2020","Currency=USD","Period=FQ","BEST_FPERIOD_OVERRIDE=FQ","FILING_STATUS=MR","SCALING_FORMAT=MLN","Sort=A","Dates=H","DateFormat=P","Fill=—","Direction=H","UseDPDF=Y")</f>
        <v>29554</v>
      </c>
      <c r="L28" s="9">
        <f>_xll.BDH("CHTR US Equity","BS_GOODWILL","FQ2 2020","FQ2 2020","Currency=USD","Period=FQ","BEST_FPERIOD_OVERRIDE=FQ","FILING_STATUS=MR","SCALING_FORMAT=MLN","Sort=A","Dates=H","DateFormat=P","Fill=—","Direction=H","UseDPDF=Y")</f>
        <v>29554</v>
      </c>
    </row>
    <row r="29" spans="1:12" x14ac:dyDescent="0.35">
      <c r="A29" s="8" t="s">
        <v>289</v>
      </c>
      <c r="B29" s="8" t="s">
        <v>288</v>
      </c>
      <c r="C29" s="9">
        <f>_xll.BDH("CHTR US Equity","OTHER_INTANGIBLE_ASSETS_DETAILED","FQ1 2018","FQ1 2018","Currency=USD","Period=FQ","BEST_FPERIOD_OVERRIDE=FQ","FILING_STATUS=MR","SCALING_FORMAT=MLN","Sort=A","Dates=H","DateFormat=P","Fill=—","Direction=H","UseDPDF=Y")</f>
        <v>78634</v>
      </c>
      <c r="D29" s="9">
        <f>_xll.BDH("CHTR US Equity","OTHER_INTANGIBLE_ASSETS_DETAILED","FQ2 2018","FQ2 2018","Currency=USD","Period=FQ","BEST_FPERIOD_OVERRIDE=FQ","FILING_STATUS=MR","SCALING_FORMAT=MLN","Sort=A","Dates=H","DateFormat=P","Fill=—","Direction=H","UseDPDF=Y")</f>
        <v>78029</v>
      </c>
      <c r="E29" s="9">
        <f>_xll.BDH("CHTR US Equity","OTHER_INTANGIBLE_ASSETS_DETAILED","FQ3 2018","FQ3 2018","Currency=USD","Period=FQ","BEST_FPERIOD_OVERRIDE=FQ","FILING_STATUS=MR","SCALING_FORMAT=MLN","Sort=A","Dates=H","DateFormat=P","Fill=—","Direction=H","UseDPDF=Y")</f>
        <v>77455</v>
      </c>
      <c r="F29" s="9">
        <f>_xll.BDH("CHTR US Equity","OTHER_INTANGIBLE_ASSETS_DETAILED","FQ4 2018","FQ4 2018","Currency=USD","Period=FQ","BEST_FPERIOD_OVERRIDE=FQ","FILING_STATUS=MR","SCALING_FORMAT=MLN","Sort=A","Dates=H","DateFormat=P","Fill=—","Direction=H","UseDPDF=Y")</f>
        <v>76884</v>
      </c>
      <c r="G29" s="9">
        <f>_xll.BDH("CHTR US Equity","OTHER_INTANGIBLE_ASSETS_DETAILED","FQ1 2019","FQ1 2019","Currency=USD","Period=FQ","BEST_FPERIOD_OVERRIDE=FQ","FILING_STATUS=MR","SCALING_FORMAT=MLN","Sort=A","Dates=H","DateFormat=P","Fill=—","Direction=H","UseDPDF=Y")</f>
        <v>76316</v>
      </c>
      <c r="H29" s="9">
        <f>_xll.BDH("CHTR US Equity","OTHER_INTANGIBLE_ASSETS_DETAILED","FQ2 2019","FQ2 2019","Currency=USD","Period=FQ","BEST_FPERIOD_OVERRIDE=FQ","FILING_STATUS=MR","SCALING_FORMAT=MLN","Sort=A","Dates=H","DateFormat=P","Fill=—","Direction=H","UseDPDF=Y")</f>
        <v>75780</v>
      </c>
      <c r="I29" s="9">
        <f>_xll.BDH("CHTR US Equity","OTHER_INTANGIBLE_ASSETS_DETAILED","FQ3 2019","FQ3 2019","Currency=USD","Period=FQ","BEST_FPERIOD_OVERRIDE=FQ","FILING_STATUS=MR","SCALING_FORMAT=MLN","Sort=A","Dates=H","DateFormat=P","Fill=—","Direction=H","UseDPDF=Y")</f>
        <v>75278</v>
      </c>
      <c r="J29" s="9">
        <f>_xll.BDH("CHTR US Equity","OTHER_INTANGIBLE_ASSETS_DETAILED","FQ4 2019","FQ4 2019","Currency=USD","Period=FQ","BEST_FPERIOD_OVERRIDE=FQ","FILING_STATUS=MR","SCALING_FORMAT=MLN","Sort=A","Dates=H","DateFormat=P","Fill=—","Direction=H","UseDPDF=Y")</f>
        <v>74775</v>
      </c>
      <c r="K29" s="9">
        <f>_xll.BDH("CHTR US Equity","OTHER_INTANGIBLE_ASSETS_DETAILED","FQ1 2020","FQ1 2020","Currency=USD","Period=FQ","BEST_FPERIOD_OVERRIDE=FQ","FILING_STATUS=MR","SCALING_FORMAT=MLN","Sort=A","Dates=H","DateFormat=P","Fill=—","Direction=H","UseDPDF=Y")</f>
        <v>74277</v>
      </c>
      <c r="L29" s="9">
        <f>_xll.BDH("CHTR US Equity","OTHER_INTANGIBLE_ASSETS_DETAILED","FQ2 2020","FQ2 2020","Currency=USD","Period=FQ","BEST_FPERIOD_OVERRIDE=FQ","FILING_STATUS=MR","SCALING_FORMAT=MLN","Sort=A","Dates=H","DateFormat=P","Fill=—","Direction=H","UseDPDF=Y")</f>
        <v>73808</v>
      </c>
    </row>
    <row r="30" spans="1:12" x14ac:dyDescent="0.35">
      <c r="A30" s="16" t="s">
        <v>287</v>
      </c>
      <c r="B30" s="16" t="s">
        <v>286</v>
      </c>
      <c r="C30" s="17" t="str">
        <f>_xll.BDH("CHTR US Equity","BS_DERIV_&amp;_HEDGING_ASSETS_LT","FQ1 2018","FQ1 2018","Currency=USD","Period=FQ","BEST_FPERIOD_OVERRIDE=FQ","FILING_STATUS=MR","SCALING_FORMAT=MLN","Sort=A","Dates=H","DateFormat=P","Fill=—","Direction=H","UseDPDF=Y")</f>
        <v>—</v>
      </c>
      <c r="D30" s="17" t="str">
        <f>_xll.BDH("CHTR US Equity","BS_DERIV_&amp;_HEDGING_ASSETS_LT","FQ2 2018","FQ2 2018","Currency=USD","Period=FQ","BEST_FPERIOD_OVERRIDE=FQ","FILING_STATUS=MR","SCALING_FORMAT=MLN","Sort=A","Dates=H","DateFormat=P","Fill=—","Direction=H","UseDPDF=Y")</f>
        <v>—</v>
      </c>
      <c r="E30" s="17" t="str">
        <f>_xll.BDH("CHTR US Equity","BS_DERIV_&amp;_HEDGING_ASSETS_LT","FQ3 2018","FQ3 2018","Currency=USD","Period=FQ","BEST_FPERIOD_OVERRIDE=FQ","FILING_STATUS=MR","SCALING_FORMAT=MLN","Sort=A","Dates=H","DateFormat=P","Fill=—","Direction=H","UseDPDF=Y")</f>
        <v>—</v>
      </c>
      <c r="F30" s="17">
        <f>_xll.BDH("CHTR US Equity","BS_DERIV_&amp;_HEDGING_ASSETS_LT","FQ4 2018","FQ4 2018","Currency=USD","Period=FQ","BEST_FPERIOD_OVERRIDE=FQ","FILING_STATUS=MR","SCALING_FORMAT=MLN","Sort=A","Dates=H","DateFormat=P","Fill=—","Direction=H","UseDPDF=Y")</f>
        <v>0</v>
      </c>
      <c r="G30" s="17" t="str">
        <f>_xll.BDH("CHTR US Equity","BS_DERIV_&amp;_HEDGING_ASSETS_LT","FQ1 2019","FQ1 2019","Currency=USD","Period=FQ","BEST_FPERIOD_OVERRIDE=FQ","FILING_STATUS=MR","SCALING_FORMAT=MLN","Sort=A","Dates=H","DateFormat=P","Fill=—","Direction=H","UseDPDF=Y")</f>
        <v>—</v>
      </c>
      <c r="H30" s="17" t="str">
        <f>_xll.BDH("CHTR US Equity","BS_DERIV_&amp;_HEDGING_ASSETS_LT","FQ2 2019","FQ2 2019","Currency=USD","Period=FQ","BEST_FPERIOD_OVERRIDE=FQ","FILING_STATUS=MR","SCALING_FORMAT=MLN","Sort=A","Dates=H","DateFormat=P","Fill=—","Direction=H","UseDPDF=Y")</f>
        <v>—</v>
      </c>
      <c r="I30" s="17" t="str">
        <f>_xll.BDH("CHTR US Equity","BS_DERIV_&amp;_HEDGING_ASSETS_LT","FQ3 2019","FQ3 2019","Currency=USD","Period=FQ","BEST_FPERIOD_OVERRIDE=FQ","FILING_STATUS=MR","SCALING_FORMAT=MLN","Sort=A","Dates=H","DateFormat=P","Fill=—","Direction=H","UseDPDF=Y")</f>
        <v>—</v>
      </c>
      <c r="J30" s="17">
        <f>_xll.BDH("CHTR US Equity","BS_DERIV_&amp;_HEDGING_ASSETS_LT","FQ4 2019","FQ4 2019","Currency=USD","Period=FQ","BEST_FPERIOD_OVERRIDE=FQ","FILING_STATUS=MR","SCALING_FORMAT=MLN","Sort=A","Dates=H","DateFormat=P","Fill=—","Direction=H","UseDPDF=Y")</f>
        <v>0</v>
      </c>
      <c r="K30" s="17" t="str">
        <f>_xll.BDH("CHTR US Equity","BS_DERIV_&amp;_HEDGING_ASSETS_LT","FQ1 2020","FQ1 2020","Currency=USD","Period=FQ","BEST_FPERIOD_OVERRIDE=FQ","FILING_STATUS=MR","SCALING_FORMAT=MLN","Sort=A","Dates=H","DateFormat=P","Fill=—","Direction=H","UseDPDF=Y")</f>
        <v>—</v>
      </c>
      <c r="L30" s="17" t="str">
        <f>_xll.BDH("CHTR US Equity","BS_DERIV_&amp;_HEDGING_ASSETS_LT","FQ2 2020","FQ2 2020","Currency=USD","Period=FQ","BEST_FPERIOD_OVERRIDE=FQ","FILING_STATUS=MR","SCALING_FORMAT=MLN","Sort=A","Dates=H","DateFormat=P","Fill=—","Direction=H","UseDPDF=Y")</f>
        <v>—</v>
      </c>
    </row>
    <row r="31" spans="1:12" x14ac:dyDescent="0.35">
      <c r="A31" s="16" t="s">
        <v>285</v>
      </c>
      <c r="B31" s="16" t="s">
        <v>284</v>
      </c>
      <c r="C31" s="17">
        <f>_xll.BDH("CHTR US Equity","OTHER_NONCURRENT_ASSETS_DETAILED","FQ1 2018","FQ1 2018","Currency=USD","Period=FQ","BEST_FPERIOD_OVERRIDE=FQ","FILING_STATUS=MR","SCALING_FORMAT=MLN","Sort=A","Dates=H","DateFormat=P","Fill=—","Direction=H","UseDPDF=Y")</f>
        <v>1563</v>
      </c>
      <c r="D31" s="17">
        <f>_xll.BDH("CHTR US Equity","OTHER_NONCURRENT_ASSETS_DETAILED","FQ2 2018","FQ2 2018","Currency=USD","Period=FQ","BEST_FPERIOD_OVERRIDE=FQ","FILING_STATUS=MR","SCALING_FORMAT=MLN","Sort=A","Dates=H","DateFormat=P","Fill=—","Direction=H","UseDPDF=Y")</f>
        <v>1507</v>
      </c>
      <c r="E31" s="17">
        <f>_xll.BDH("CHTR US Equity","OTHER_NONCURRENT_ASSETS_DETAILED","FQ3 2018","FQ3 2018","Currency=USD","Period=FQ","BEST_FPERIOD_OVERRIDE=FQ","FILING_STATUS=MR","SCALING_FORMAT=MLN","Sort=A","Dates=H","DateFormat=P","Fill=—","Direction=H","UseDPDF=Y")</f>
        <v>1607</v>
      </c>
      <c r="F31" s="17">
        <f>_xll.BDH("CHTR US Equity","OTHER_NONCURRENT_ASSETS_DETAILED","FQ4 2018","FQ4 2018","Currency=USD","Period=FQ","BEST_FPERIOD_OVERRIDE=FQ","FILING_STATUS=MR","SCALING_FORMAT=MLN","Sort=A","Dates=H","DateFormat=P","Fill=—","Direction=H","UseDPDF=Y")</f>
        <v>1836</v>
      </c>
      <c r="G31" s="17">
        <f>_xll.BDH("CHTR US Equity","OTHER_NONCURRENT_ASSETS_DETAILED","FQ1 2019","FQ1 2019","Currency=USD","Period=FQ","BEST_FPERIOD_OVERRIDE=FQ","FILING_STATUS=MR","SCALING_FORMAT=MLN","Sort=A","Dates=H","DateFormat=P","Fill=—","Direction=H","UseDPDF=Y")</f>
        <v>2777</v>
      </c>
      <c r="H31" s="17">
        <f>_xll.BDH("CHTR US Equity","OTHER_NONCURRENT_ASSETS_DETAILED","FQ2 2019","FQ2 2019","Currency=USD","Period=FQ","BEST_FPERIOD_OVERRIDE=FQ","FILING_STATUS=MR","SCALING_FORMAT=MLN","Sort=A","Dates=H","DateFormat=P","Fill=—","Direction=H","UseDPDF=Y")</f>
        <v>1770</v>
      </c>
      <c r="I31" s="17">
        <f>_xll.BDH("CHTR US Equity","OTHER_NONCURRENT_ASSETS_DETAILED","FQ3 2019","FQ3 2019","Currency=USD","Period=FQ","BEST_FPERIOD_OVERRIDE=FQ","FILING_STATUS=MR","SCALING_FORMAT=MLN","Sort=A","Dates=H","DateFormat=P","Fill=—","Direction=H","UseDPDF=Y")</f>
        <v>1726</v>
      </c>
      <c r="J31" s="17">
        <f>_xll.BDH("CHTR US Equity","OTHER_NONCURRENT_ASSETS_DETAILED","FQ4 2019","FQ4 2019","Currency=USD","Period=FQ","BEST_FPERIOD_OVERRIDE=FQ","FILING_STATUS=MR","SCALING_FORMAT=MLN","Sort=A","Dates=H","DateFormat=P","Fill=—","Direction=H","UseDPDF=Y")</f>
        <v>1705</v>
      </c>
      <c r="K31" s="17">
        <f>_xll.BDH("CHTR US Equity","OTHER_NONCURRENT_ASSETS_DETAILED","FQ1 2020","FQ1 2020","Currency=USD","Period=FQ","BEST_FPERIOD_OVERRIDE=FQ","FILING_STATUS=MR","SCALING_FORMAT=MLN","Sort=A","Dates=H","DateFormat=P","Fill=—","Direction=H","UseDPDF=Y")</f>
        <v>1770</v>
      </c>
      <c r="L31" s="17">
        <f>_xll.BDH("CHTR US Equity","OTHER_NONCURRENT_ASSETS_DETAILED","FQ2 2020","FQ2 2020","Currency=USD","Period=FQ","BEST_FPERIOD_OVERRIDE=FQ","FILING_STATUS=MR","SCALING_FORMAT=MLN","Sort=A","Dates=H","DateFormat=P","Fill=—","Direction=H","UseDPDF=Y")</f>
        <v>1803</v>
      </c>
    </row>
    <row r="32" spans="1:12" x14ac:dyDescent="0.35">
      <c r="A32" s="12" t="s">
        <v>283</v>
      </c>
      <c r="B32" s="12" t="s">
        <v>282</v>
      </c>
      <c r="C32" s="10">
        <f>_xll.BDH("CHTR US Equity","BS_TOT_NON_CUR_ASSET","FQ1 2018","FQ1 2018","Currency=USD","Period=FQ","BEST_FPERIOD_OVERRIDE=FQ","FILING_STATUS=MR","SCALING_FORMAT=MLN","Sort=A","Dates=H","DateFormat=P","Fill=—","Direction=H","UseDPDF=Y")</f>
        <v>143753</v>
      </c>
      <c r="D32" s="10">
        <f>_xll.BDH("CHTR US Equity","BS_TOT_NON_CUR_ASSET","FQ2 2018","FQ2 2018","Currency=USD","Period=FQ","BEST_FPERIOD_OVERRIDE=FQ","FILING_STATUS=MR","SCALING_FORMAT=MLN","Sort=A","Dates=H","DateFormat=P","Fill=—","Direction=H","UseDPDF=Y")</f>
        <v>143501</v>
      </c>
      <c r="E32" s="10">
        <f>_xll.BDH("CHTR US Equity","BS_TOT_NON_CUR_ASSET","FQ3 2018","FQ3 2018","Currency=USD","Period=FQ","BEST_FPERIOD_OVERRIDE=FQ","FILING_STATUS=MR","SCALING_FORMAT=MLN","Sort=A","Dates=H","DateFormat=P","Fill=—","Direction=H","UseDPDF=Y")</f>
        <v>143356</v>
      </c>
      <c r="F32" s="10">
        <f>_xll.BDH("CHTR US Equity","BS_TOT_NON_CUR_ASSET","FQ4 2018","FQ4 2018","Currency=USD","Period=FQ","BEST_FPERIOD_OVERRIDE=FQ","FILING_STATUS=MR","SCALING_FORMAT=MLN","Sort=A","Dates=H","DateFormat=P","Fill=—","Direction=H","UseDPDF=Y")</f>
        <v>143400</v>
      </c>
      <c r="G32" s="10">
        <f>_xll.BDH("CHTR US Equity","BS_TOT_NON_CUR_ASSET","FQ1 2019","FQ1 2019","Currency=USD","Period=FQ","BEST_FPERIOD_OVERRIDE=FQ","FILING_STATUS=MR","SCALING_FORMAT=MLN","Sort=A","Dates=H","DateFormat=P","Fill=—","Direction=H","UseDPDF=Y")</f>
        <v>143506</v>
      </c>
      <c r="H32" s="10">
        <f>_xll.BDH("CHTR US Equity","BS_TOT_NON_CUR_ASSET","FQ2 2019","FQ2 2019","Currency=USD","Period=FQ","BEST_FPERIOD_OVERRIDE=FQ","FILING_STATUS=MR","SCALING_FORMAT=MLN","Sort=A","Dates=H","DateFormat=P","Fill=—","Direction=H","UseDPDF=Y")</f>
        <v>142745</v>
      </c>
      <c r="I32" s="10">
        <f>_xll.BDH("CHTR US Equity","BS_TOT_NON_CUR_ASSET","FQ3 2019","FQ3 2019","Currency=USD","Period=FQ","BEST_FPERIOD_OVERRIDE=FQ","FILING_STATUS=MR","SCALING_FORMAT=MLN","Sort=A","Dates=H","DateFormat=P","Fill=—","Direction=H","UseDPDF=Y")</f>
        <v>141879</v>
      </c>
      <c r="J32" s="10">
        <f>_xll.BDH("CHTR US Equity","BS_TOT_NON_CUR_ASSET","FQ4 2019","FQ4 2019","Currency=USD","Period=FQ","BEST_FPERIOD_OVERRIDE=FQ","FILING_STATUS=MR","SCALING_FORMAT=MLN","Sort=A","Dates=H","DateFormat=P","Fill=—","Direction=H","UseDPDF=Y")</f>
        <v>141717</v>
      </c>
      <c r="K32" s="10">
        <f>_xll.BDH("CHTR US Equity","BS_TOT_NON_CUR_ASSET","FQ1 2020","FQ1 2020","Currency=USD","Period=FQ","BEST_FPERIOD_OVERRIDE=FQ","FILING_STATUS=MR","SCALING_FORMAT=MLN","Sort=A","Dates=H","DateFormat=P","Fill=—","Direction=H","UseDPDF=Y")</f>
        <v>140793</v>
      </c>
      <c r="L32" s="10">
        <f>_xll.BDH("CHTR US Equity","BS_TOT_NON_CUR_ASSET","FQ2 2020","FQ2 2020","Currency=USD","Period=FQ","BEST_FPERIOD_OVERRIDE=FQ","FILING_STATUS=MR","SCALING_FORMAT=MLN","Sort=A","Dates=H","DateFormat=P","Fill=—","Direction=H","UseDPDF=Y")</f>
        <v>140371</v>
      </c>
    </row>
    <row r="33" spans="1:12" x14ac:dyDescent="0.35">
      <c r="A33" s="12" t="s">
        <v>281</v>
      </c>
      <c r="B33" s="12" t="s">
        <v>280</v>
      </c>
      <c r="C33" s="10">
        <f>_xll.BDH("CHTR US Equity","BS_TOT_ASSET","FQ1 2018","FQ1 2018","Currency=USD","Period=FQ","BEST_FPERIOD_OVERRIDE=FQ","FILING_STATUS=MR","SCALING_FORMAT=MLN","Sort=A","Dates=H","DateFormat=P","Fill=—","Direction=H","UseDPDF=Y")</f>
        <v>146151</v>
      </c>
      <c r="D33" s="10">
        <f>_xll.BDH("CHTR US Equity","BS_TOT_ASSET","FQ2 2018","FQ2 2018","Currency=USD","Period=FQ","BEST_FPERIOD_OVERRIDE=FQ","FILING_STATUS=MR","SCALING_FORMAT=MLN","Sort=A","Dates=H","DateFormat=P","Fill=—","Direction=H","UseDPDF=Y")</f>
        <v>146251</v>
      </c>
      <c r="E33" s="10">
        <f>_xll.BDH("CHTR US Equity","BS_TOT_ASSET","FQ3 2018","FQ3 2018","Currency=USD","Period=FQ","BEST_FPERIOD_OVERRIDE=FQ","FILING_STATUS=MR","SCALING_FORMAT=MLN","Sort=A","Dates=H","DateFormat=P","Fill=—","Direction=H","UseDPDF=Y")</f>
        <v>146085</v>
      </c>
      <c r="F33" s="10">
        <f>_xll.BDH("CHTR US Equity","BS_TOT_ASSET","FQ4 2018","FQ4 2018","Currency=USD","Period=FQ","BEST_FPERIOD_OVERRIDE=FQ","FILING_STATUS=MR","SCALING_FORMAT=MLN","Sort=A","Dates=H","DateFormat=P","Fill=—","Direction=H","UseDPDF=Y")</f>
        <v>146130</v>
      </c>
      <c r="G33" s="10">
        <f>_xll.BDH("CHTR US Equity","BS_TOT_ASSET","FQ1 2019","FQ1 2019","Currency=USD","Period=FQ","BEST_FPERIOD_OVERRIDE=FQ","FILING_STATUS=MR","SCALING_FORMAT=MLN","Sort=A","Dates=H","DateFormat=P","Fill=—","Direction=H","UseDPDF=Y")</f>
        <v>147257</v>
      </c>
      <c r="H33" s="10">
        <f>_xll.BDH("CHTR US Equity","BS_TOT_ASSET","FQ2 2019","FQ2 2019","Currency=USD","Period=FQ","BEST_FPERIOD_OVERRIDE=FQ","FILING_STATUS=MR","SCALING_FORMAT=MLN","Sort=A","Dates=H","DateFormat=P","Fill=—","Direction=H","UseDPDF=Y")</f>
        <v>146085</v>
      </c>
      <c r="I33" s="10">
        <f>_xll.BDH("CHTR US Equity","BS_TOT_ASSET","FQ3 2019","FQ3 2019","Currency=USD","Period=FQ","BEST_FPERIOD_OVERRIDE=FQ","FILING_STATUS=MR","SCALING_FORMAT=MLN","Sort=A","Dates=H","DateFormat=P","Fill=—","Direction=H","UseDPDF=Y")</f>
        <v>145267</v>
      </c>
      <c r="J33" s="10">
        <f>_xll.BDH("CHTR US Equity","BS_TOT_ASSET","FQ4 2019","FQ4 2019","Currency=USD","Period=FQ","BEST_FPERIOD_OVERRIDE=FQ","FILING_STATUS=MR","SCALING_FORMAT=MLN","Sort=A","Dates=H","DateFormat=P","Fill=—","Direction=H","UseDPDF=Y")</f>
        <v>148188</v>
      </c>
      <c r="K33" s="10">
        <f>_xll.BDH("CHTR US Equity","BS_TOT_ASSET","FQ1 2020","FQ1 2020","Currency=USD","Period=FQ","BEST_FPERIOD_OVERRIDE=FQ","FILING_STATUS=MR","SCALING_FORMAT=MLN","Sort=A","Dates=H","DateFormat=P","Fill=—","Direction=H","UseDPDF=Y")</f>
        <v>146552</v>
      </c>
      <c r="L33" s="10">
        <f>_xll.BDH("CHTR US Equity","BS_TOT_ASSET","FQ2 2020","FQ2 2020","Currency=USD","Period=FQ","BEST_FPERIOD_OVERRIDE=FQ","FILING_STATUS=MR","SCALING_FORMAT=MLN","Sort=A","Dates=H","DateFormat=P","Fill=—","Direction=H","UseDPDF=Y")</f>
        <v>145136</v>
      </c>
    </row>
    <row r="34" spans="1:12" x14ac:dyDescent="0.3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spans="1:12" x14ac:dyDescent="0.35">
      <c r="A35" s="12" t="s">
        <v>279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2" x14ac:dyDescent="0.35">
      <c r="A36" s="16" t="s">
        <v>278</v>
      </c>
      <c r="B36" s="16" t="s">
        <v>277</v>
      </c>
      <c r="C36" s="17">
        <f>_xll.BDH("CHTR US Equity","ACCT_PAYABLE_&amp;_ACCRUALS_DETAILED","FQ1 2018","FQ1 2018","Currency=USD","Period=FQ","BEST_FPERIOD_OVERRIDE=FQ","FILING_STATUS=MR","SCALING_FORMAT=MLN","Sort=A","Dates=H","DateFormat=P","Fill=—","Direction=H","UseDPDF=Y")</f>
        <v>8262</v>
      </c>
      <c r="D36" s="17">
        <f>_xll.BDH("CHTR US Equity","ACCT_PAYABLE_&amp;_ACCRUALS_DETAILED","FQ2 2018","FQ2 2018","Currency=USD","Period=FQ","BEST_FPERIOD_OVERRIDE=FQ","FILING_STATUS=MR","SCALING_FORMAT=MLN","Sort=A","Dates=H","DateFormat=P","Fill=—","Direction=H","UseDPDF=Y")</f>
        <v>8637</v>
      </c>
      <c r="E36" s="17">
        <f>_xll.BDH("CHTR US Equity","ACCT_PAYABLE_&amp;_ACCRUALS_DETAILED","FQ3 2018","FQ3 2018","Currency=USD","Period=FQ","BEST_FPERIOD_OVERRIDE=FQ","FILING_STATUS=MR","SCALING_FORMAT=MLN","Sort=A","Dates=H","DateFormat=P","Fill=—","Direction=H","UseDPDF=Y")</f>
        <v>8511</v>
      </c>
      <c r="F36" s="17">
        <f>_xll.BDH("CHTR US Equity","ACCT_PAYABLE_&amp;_ACCRUALS_DETAILED","FQ4 2018","FQ4 2018","Currency=USD","Period=FQ","BEST_FPERIOD_OVERRIDE=FQ","FILING_STATUS=MR","SCALING_FORMAT=MLN","Sort=A","Dates=H","DateFormat=P","Fill=—","Direction=H","UseDPDF=Y")</f>
        <v>8568</v>
      </c>
      <c r="G36" s="17">
        <f>_xll.BDH("CHTR US Equity","ACCT_PAYABLE_&amp;_ACCRUALS_DETAILED","FQ1 2019","FQ1 2019","Currency=USD","Period=FQ","BEST_FPERIOD_OVERRIDE=FQ","FILING_STATUS=MR","SCALING_FORMAT=MLN","Sort=A","Dates=H","DateFormat=P","Fill=—","Direction=H","UseDPDF=Y")</f>
        <v>8207</v>
      </c>
      <c r="H36" s="17">
        <f>_xll.BDH("CHTR US Equity","ACCT_PAYABLE_&amp;_ACCRUALS_DETAILED","FQ2 2019","FQ2 2019","Currency=USD","Period=FQ","BEST_FPERIOD_OVERRIDE=FQ","FILING_STATUS=MR","SCALING_FORMAT=MLN","Sort=A","Dates=H","DateFormat=P","Fill=—","Direction=H","UseDPDF=Y")</f>
        <v>8139</v>
      </c>
      <c r="I36" s="17">
        <f>_xll.BDH("CHTR US Equity","ACCT_PAYABLE_&amp;_ACCRUALS_DETAILED","FQ3 2019","FQ3 2019","Currency=USD","Period=FQ","BEST_FPERIOD_OVERRIDE=FQ","FILING_STATUS=MR","SCALING_FORMAT=MLN","Sort=A","Dates=H","DateFormat=P","Fill=—","Direction=H","UseDPDF=Y")</f>
        <v>8256</v>
      </c>
      <c r="J36" s="17">
        <f>_xll.BDH("CHTR US Equity","ACCT_PAYABLE_&amp;_ACCRUALS_DETAILED","FQ4 2019","FQ4 2019","Currency=USD","Period=FQ","BEST_FPERIOD_OVERRIDE=FQ","FILING_STATUS=MR","SCALING_FORMAT=MLN","Sort=A","Dates=H","DateFormat=P","Fill=—","Direction=H","UseDPDF=Y")</f>
        <v>8443</v>
      </c>
      <c r="K36" s="17">
        <f>_xll.BDH("CHTR US Equity","ACCT_PAYABLE_&amp;_ACCRUALS_DETAILED","FQ1 2020","FQ1 2020","Currency=USD","Period=FQ","BEST_FPERIOD_OVERRIDE=FQ","FILING_STATUS=MR","SCALING_FORMAT=MLN","Sort=A","Dates=H","DateFormat=P","Fill=—","Direction=H","UseDPDF=Y")</f>
        <v>8092</v>
      </c>
      <c r="L36" s="17">
        <f>_xll.BDH("CHTR US Equity","ACCT_PAYABLE_&amp;_ACCRUALS_DETAILED","FQ2 2020","FQ2 2020","Currency=USD","Period=FQ","BEST_FPERIOD_OVERRIDE=FQ","FILING_STATUS=MR","SCALING_FORMAT=MLN","Sort=A","Dates=H","DateFormat=P","Fill=—","Direction=H","UseDPDF=Y")</f>
        <v>8213</v>
      </c>
    </row>
    <row r="37" spans="1:12" x14ac:dyDescent="0.35">
      <c r="A37" s="16" t="s">
        <v>276</v>
      </c>
      <c r="B37" s="16" t="s">
        <v>275</v>
      </c>
      <c r="C37" s="17">
        <f>_xll.BDH("CHTR US Equity","BS_ACCT_PAYABLE","FQ1 2018","FQ1 2018","Currency=USD","Period=FQ","BEST_FPERIOD_OVERRIDE=FQ","FILING_STATUS=MR","SCALING_FORMAT=MLN","Sort=A","Dates=H","DateFormat=P","Fill=—","Direction=H","UseDPDF=Y")</f>
        <v>622</v>
      </c>
      <c r="D37" s="17">
        <f>_xll.BDH("CHTR US Equity","BS_ACCT_PAYABLE","FQ2 2018","FQ2 2018","Currency=USD","Period=FQ","BEST_FPERIOD_OVERRIDE=FQ","FILING_STATUS=MR","SCALING_FORMAT=MLN","Sort=A","Dates=H","DateFormat=P","Fill=—","Direction=H","UseDPDF=Y")</f>
        <v>732</v>
      </c>
      <c r="E37" s="17">
        <f>_xll.BDH("CHTR US Equity","BS_ACCT_PAYABLE","FQ3 2018","FQ3 2018","Currency=USD","Period=FQ","BEST_FPERIOD_OVERRIDE=FQ","FILING_STATUS=MR","SCALING_FORMAT=MLN","Sort=A","Dates=H","DateFormat=P","Fill=—","Direction=H","UseDPDF=Y")</f>
        <v>604</v>
      </c>
      <c r="F37" s="17">
        <f>_xll.BDH("CHTR US Equity","BS_ACCT_PAYABLE","FQ4 2018","FQ4 2018","Currency=USD","Period=FQ","BEST_FPERIOD_OVERRIDE=FQ","FILING_STATUS=MR","SCALING_FORMAT=MLN","Sort=A","Dates=H","DateFormat=P","Fill=—","Direction=H","UseDPDF=Y")</f>
        <v>758</v>
      </c>
      <c r="G37" s="17">
        <f>_xll.BDH("CHTR US Equity","BS_ACCT_PAYABLE","FQ1 2019","FQ1 2019","Currency=USD","Period=FQ","BEST_FPERIOD_OVERRIDE=FQ","FILING_STATUS=MR","SCALING_FORMAT=MLN","Sort=A","Dates=H","DateFormat=P","Fill=—","Direction=H","UseDPDF=Y")</f>
        <v>661</v>
      </c>
      <c r="H37" s="17">
        <f>_xll.BDH("CHTR US Equity","BS_ACCT_PAYABLE","FQ2 2019","FQ2 2019","Currency=USD","Period=FQ","BEST_FPERIOD_OVERRIDE=FQ","FILING_STATUS=MR","SCALING_FORMAT=MLN","Sort=A","Dates=H","DateFormat=P","Fill=—","Direction=H","UseDPDF=Y")</f>
        <v>790</v>
      </c>
      <c r="I37" s="17">
        <f>_xll.BDH("CHTR US Equity","BS_ACCT_PAYABLE","FQ3 2019","FQ3 2019","Currency=USD","Period=FQ","BEST_FPERIOD_OVERRIDE=FQ","FILING_STATUS=MR","SCALING_FORMAT=MLN","Sort=A","Dates=H","DateFormat=P","Fill=—","Direction=H","UseDPDF=Y")</f>
        <v>663</v>
      </c>
      <c r="J37" s="17">
        <f>_xll.BDH("CHTR US Equity","BS_ACCT_PAYABLE","FQ4 2019","FQ4 2019","Currency=USD","Period=FQ","BEST_FPERIOD_OVERRIDE=FQ","FILING_STATUS=MR","SCALING_FORMAT=MLN","Sort=A","Dates=H","DateFormat=P","Fill=—","Direction=H","UseDPDF=Y")</f>
        <v>786</v>
      </c>
      <c r="K37" s="17">
        <f>_xll.BDH("CHTR US Equity","BS_ACCT_PAYABLE","FQ1 2020","FQ1 2020","Currency=USD","Period=FQ","BEST_FPERIOD_OVERRIDE=FQ","FILING_STATUS=MR","SCALING_FORMAT=MLN","Sort=A","Dates=H","DateFormat=P","Fill=—","Direction=H","UseDPDF=Y")</f>
        <v>733</v>
      </c>
      <c r="L37" s="17">
        <f>_xll.BDH("CHTR US Equity","BS_ACCT_PAYABLE","FQ2 2020","FQ2 2020","Currency=USD","Period=FQ","BEST_FPERIOD_OVERRIDE=FQ","FILING_STATUS=MR","SCALING_FORMAT=MLN","Sort=A","Dates=H","DateFormat=P","Fill=—","Direction=H","UseDPDF=Y")</f>
        <v>667</v>
      </c>
    </row>
    <row r="38" spans="1:12" x14ac:dyDescent="0.35">
      <c r="A38" s="16" t="s">
        <v>274</v>
      </c>
      <c r="B38" s="16" t="s">
        <v>273</v>
      </c>
      <c r="C38" s="17" t="str">
        <f>_xll.BDH("CHTR US Equity","BS_TAXES_PAYABLE","FQ1 2018","FQ1 2018","Currency=USD","Period=FQ","BEST_FPERIOD_OVERRIDE=FQ","FILING_STATUS=MR","SCALING_FORMAT=MLN","Sort=A","Dates=H","DateFormat=P","Fill=—","Direction=H","UseDPDF=Y")</f>
        <v>—</v>
      </c>
      <c r="D38" s="17" t="str">
        <f>_xll.BDH("CHTR US Equity","BS_TAXES_PAYABLE","FQ2 2018","FQ2 2018","Currency=USD","Period=FQ","BEST_FPERIOD_OVERRIDE=FQ","FILING_STATUS=MR","SCALING_FORMAT=MLN","Sort=A","Dates=H","DateFormat=P","Fill=—","Direction=H","UseDPDF=Y")</f>
        <v>—</v>
      </c>
      <c r="E38" s="17" t="str">
        <f>_xll.BDH("CHTR US Equity","BS_TAXES_PAYABLE","FQ3 2018","FQ3 2018","Currency=USD","Period=FQ","BEST_FPERIOD_OVERRIDE=FQ","FILING_STATUS=MR","SCALING_FORMAT=MLN","Sort=A","Dates=H","DateFormat=P","Fill=—","Direction=H","UseDPDF=Y")</f>
        <v>—</v>
      </c>
      <c r="F38" s="17">
        <f>_xll.BDH("CHTR US Equity","BS_TAXES_PAYABLE","FQ4 2018","FQ4 2018","Currency=USD","Period=FQ","BEST_FPERIOD_OVERRIDE=FQ","FILING_STATUS=MR","SCALING_FORMAT=MLN","Sort=A","Dates=H","DateFormat=P","Fill=—","Direction=H","UseDPDF=Y")</f>
        <v>0</v>
      </c>
      <c r="G38" s="17" t="str">
        <f>_xll.BDH("CHTR US Equity","BS_TAXES_PAYABLE","FQ1 2019","FQ1 2019","Currency=USD","Period=FQ","BEST_FPERIOD_OVERRIDE=FQ","FILING_STATUS=MR","SCALING_FORMAT=MLN","Sort=A","Dates=H","DateFormat=P","Fill=—","Direction=H","UseDPDF=Y")</f>
        <v>—</v>
      </c>
      <c r="H38" s="17" t="str">
        <f>_xll.BDH("CHTR US Equity","BS_TAXES_PAYABLE","FQ2 2019","FQ2 2019","Currency=USD","Period=FQ","BEST_FPERIOD_OVERRIDE=FQ","FILING_STATUS=MR","SCALING_FORMAT=MLN","Sort=A","Dates=H","DateFormat=P","Fill=—","Direction=H","UseDPDF=Y")</f>
        <v>—</v>
      </c>
      <c r="I38" s="17" t="str">
        <f>_xll.BDH("CHTR US Equity","BS_TAXES_PAYABLE","FQ3 2019","FQ3 2019","Currency=USD","Period=FQ","BEST_FPERIOD_OVERRIDE=FQ","FILING_STATUS=MR","SCALING_FORMAT=MLN","Sort=A","Dates=H","DateFormat=P","Fill=—","Direction=H","UseDPDF=Y")</f>
        <v>—</v>
      </c>
      <c r="J38" s="17">
        <f>_xll.BDH("CHTR US Equity","BS_TAXES_PAYABLE","FQ4 2019","FQ4 2019","Currency=USD","Period=FQ","BEST_FPERIOD_OVERRIDE=FQ","FILING_STATUS=MR","SCALING_FORMAT=MLN","Sort=A","Dates=H","DateFormat=P","Fill=—","Direction=H","UseDPDF=Y")</f>
        <v>0</v>
      </c>
      <c r="K38" s="17" t="str">
        <f>_xll.BDH("CHTR US Equity","BS_TAXES_PAYABLE","FQ1 2020","FQ1 2020","Currency=USD","Period=FQ","BEST_FPERIOD_OVERRIDE=FQ","FILING_STATUS=MR","SCALING_FORMAT=MLN","Sort=A","Dates=H","DateFormat=P","Fill=—","Direction=H","UseDPDF=Y")</f>
        <v>—</v>
      </c>
      <c r="L38" s="17" t="str">
        <f>_xll.BDH("CHTR US Equity","BS_TAXES_PAYABLE","FQ2 2020","FQ2 2020","Currency=USD","Period=FQ","BEST_FPERIOD_OVERRIDE=FQ","FILING_STATUS=MR","SCALING_FORMAT=MLN","Sort=A","Dates=H","DateFormat=P","Fill=—","Direction=H","UseDPDF=Y")</f>
        <v>—</v>
      </c>
    </row>
    <row r="39" spans="1:12" x14ac:dyDescent="0.35">
      <c r="A39" s="16" t="s">
        <v>272</v>
      </c>
      <c r="B39" s="16" t="s">
        <v>271</v>
      </c>
      <c r="C39" s="17" t="str">
        <f>_xll.BDH("CHTR US Equity","BS_INTEREST_&amp;_DIVIDENDS_PAYABLE","FQ1 2018","FQ1 2018","Currency=USD","Period=FQ","BEST_FPERIOD_OVERRIDE=FQ","FILING_STATUS=MR","SCALING_FORMAT=MLN","Sort=A","Dates=H","DateFormat=P","Fill=—","Direction=H","UseDPDF=Y")</f>
        <v>—</v>
      </c>
      <c r="D39" s="17" t="str">
        <f>_xll.BDH("CHTR US Equity","BS_INTEREST_&amp;_DIVIDENDS_PAYABLE","FQ2 2018","FQ2 2018","Currency=USD","Period=FQ","BEST_FPERIOD_OVERRIDE=FQ","FILING_STATUS=MR","SCALING_FORMAT=MLN","Sort=A","Dates=H","DateFormat=P","Fill=—","Direction=H","UseDPDF=Y")</f>
        <v>—</v>
      </c>
      <c r="E39" s="17" t="str">
        <f>_xll.BDH("CHTR US Equity","BS_INTEREST_&amp;_DIVIDENDS_PAYABLE","FQ3 2018","FQ3 2018","Currency=USD","Period=FQ","BEST_FPERIOD_OVERRIDE=FQ","FILING_STATUS=MR","SCALING_FORMAT=MLN","Sort=A","Dates=H","DateFormat=P","Fill=—","Direction=H","UseDPDF=Y")</f>
        <v>—</v>
      </c>
      <c r="F39" s="17">
        <f>_xll.BDH("CHTR US Equity","BS_INTEREST_&amp;_DIVIDENDS_PAYABLE","FQ4 2018","FQ4 2018","Currency=USD","Period=FQ","BEST_FPERIOD_OVERRIDE=FQ","FILING_STATUS=MR","SCALING_FORMAT=MLN","Sort=A","Dates=H","DateFormat=P","Fill=—","Direction=H","UseDPDF=Y")</f>
        <v>0</v>
      </c>
      <c r="G39" s="17" t="str">
        <f>_xll.BDH("CHTR US Equity","BS_INTEREST_&amp;_DIVIDENDS_PAYABLE","FQ1 2019","FQ1 2019","Currency=USD","Period=FQ","BEST_FPERIOD_OVERRIDE=FQ","FILING_STATUS=MR","SCALING_FORMAT=MLN","Sort=A","Dates=H","DateFormat=P","Fill=—","Direction=H","UseDPDF=Y")</f>
        <v>—</v>
      </c>
      <c r="H39" s="17" t="str">
        <f>_xll.BDH("CHTR US Equity","BS_INTEREST_&amp;_DIVIDENDS_PAYABLE","FQ2 2019","FQ2 2019","Currency=USD","Period=FQ","BEST_FPERIOD_OVERRIDE=FQ","FILING_STATUS=MR","SCALING_FORMAT=MLN","Sort=A","Dates=H","DateFormat=P","Fill=—","Direction=H","UseDPDF=Y")</f>
        <v>—</v>
      </c>
      <c r="I39" s="17" t="str">
        <f>_xll.BDH("CHTR US Equity","BS_INTEREST_&amp;_DIVIDENDS_PAYABLE","FQ3 2019","FQ3 2019","Currency=USD","Period=FQ","BEST_FPERIOD_OVERRIDE=FQ","FILING_STATUS=MR","SCALING_FORMAT=MLN","Sort=A","Dates=H","DateFormat=P","Fill=—","Direction=H","UseDPDF=Y")</f>
        <v>—</v>
      </c>
      <c r="J39" s="17">
        <f>_xll.BDH("CHTR US Equity","BS_INTEREST_&amp;_DIVIDENDS_PAYABLE","FQ4 2019","FQ4 2019","Currency=USD","Period=FQ","BEST_FPERIOD_OVERRIDE=FQ","FILING_STATUS=MR","SCALING_FORMAT=MLN","Sort=A","Dates=H","DateFormat=P","Fill=—","Direction=H","UseDPDF=Y")</f>
        <v>0</v>
      </c>
      <c r="K39" s="17" t="str">
        <f>_xll.BDH("CHTR US Equity","BS_INTEREST_&amp;_DIVIDENDS_PAYABLE","FQ1 2020","FQ1 2020","Currency=USD","Period=FQ","BEST_FPERIOD_OVERRIDE=FQ","FILING_STATUS=MR","SCALING_FORMAT=MLN","Sort=A","Dates=H","DateFormat=P","Fill=—","Direction=H","UseDPDF=Y")</f>
        <v>—</v>
      </c>
      <c r="L39" s="17" t="str">
        <f>_xll.BDH("CHTR US Equity","BS_INTEREST_&amp;_DIVIDENDS_PAYABLE","FQ2 2020","FQ2 2020","Currency=USD","Period=FQ","BEST_FPERIOD_OVERRIDE=FQ","FILING_STATUS=MR","SCALING_FORMAT=MLN","Sort=A","Dates=H","DateFormat=P","Fill=—","Direction=H","UseDPDF=Y")</f>
        <v>—</v>
      </c>
    </row>
    <row r="40" spans="1:12" x14ac:dyDescent="0.35">
      <c r="A40" s="16" t="s">
        <v>270</v>
      </c>
      <c r="B40" s="16" t="s">
        <v>269</v>
      </c>
      <c r="C40" s="17">
        <f>_xll.BDH("CHTR US Equity","BS_ACCRUAL","FQ1 2018","FQ1 2018","Currency=USD","Period=FQ","BEST_FPERIOD_OVERRIDE=FQ","FILING_STATUS=MR","SCALING_FORMAT=MLN","Sort=A","Dates=H","DateFormat=P","Fill=—","Direction=H","UseDPDF=Y")</f>
        <v>7640</v>
      </c>
      <c r="D40" s="17">
        <f>_xll.BDH("CHTR US Equity","BS_ACCRUAL","FQ2 2018","FQ2 2018","Currency=USD","Period=FQ","BEST_FPERIOD_OVERRIDE=FQ","FILING_STATUS=MR","SCALING_FORMAT=MLN","Sort=A","Dates=H","DateFormat=P","Fill=—","Direction=H","UseDPDF=Y")</f>
        <v>7905</v>
      </c>
      <c r="E40" s="17">
        <f>_xll.BDH("CHTR US Equity","BS_ACCRUAL","FQ3 2018","FQ3 2018","Currency=USD","Period=FQ","BEST_FPERIOD_OVERRIDE=FQ","FILING_STATUS=MR","SCALING_FORMAT=MLN","Sort=A","Dates=H","DateFormat=P","Fill=—","Direction=H","UseDPDF=Y")</f>
        <v>7907</v>
      </c>
      <c r="F40" s="17">
        <f>_xll.BDH("CHTR US Equity","BS_ACCRUAL","FQ4 2018","FQ4 2018","Currency=USD","Period=FQ","BEST_FPERIOD_OVERRIDE=FQ","FILING_STATUS=MR","SCALING_FORMAT=MLN","Sort=A","Dates=H","DateFormat=P","Fill=—","Direction=H","UseDPDF=Y")</f>
        <v>7810</v>
      </c>
      <c r="G40" s="17">
        <f>_xll.BDH("CHTR US Equity","BS_ACCRUAL","FQ1 2019","FQ1 2019","Currency=USD","Period=FQ","BEST_FPERIOD_OVERRIDE=FQ","FILING_STATUS=MR","SCALING_FORMAT=MLN","Sort=A","Dates=H","DateFormat=P","Fill=—","Direction=H","UseDPDF=Y")</f>
        <v>7546</v>
      </c>
      <c r="H40" s="17">
        <f>_xll.BDH("CHTR US Equity","BS_ACCRUAL","FQ2 2019","FQ2 2019","Currency=USD","Period=FQ","BEST_FPERIOD_OVERRIDE=FQ","FILING_STATUS=MR","SCALING_FORMAT=MLN","Sort=A","Dates=H","DateFormat=P","Fill=—","Direction=H","UseDPDF=Y")</f>
        <v>7349</v>
      </c>
      <c r="I40" s="17">
        <f>_xll.BDH("CHTR US Equity","BS_ACCRUAL","FQ3 2019","FQ3 2019","Currency=USD","Period=FQ","BEST_FPERIOD_OVERRIDE=FQ","FILING_STATUS=MR","SCALING_FORMAT=MLN","Sort=A","Dates=H","DateFormat=P","Fill=—","Direction=H","UseDPDF=Y")</f>
        <v>7593</v>
      </c>
      <c r="J40" s="17">
        <f>_xll.BDH("CHTR US Equity","BS_ACCRUAL","FQ4 2019","FQ4 2019","Currency=USD","Period=FQ","BEST_FPERIOD_OVERRIDE=FQ","FILING_STATUS=MR","SCALING_FORMAT=MLN","Sort=A","Dates=H","DateFormat=P","Fill=—","Direction=H","UseDPDF=Y")</f>
        <v>7657</v>
      </c>
      <c r="K40" s="17">
        <f>_xll.BDH("CHTR US Equity","BS_ACCRUAL","FQ1 2020","FQ1 2020","Currency=USD","Period=FQ","BEST_FPERIOD_OVERRIDE=FQ","FILING_STATUS=MR","SCALING_FORMAT=MLN","Sort=A","Dates=H","DateFormat=P","Fill=—","Direction=H","UseDPDF=Y")</f>
        <v>7359</v>
      </c>
      <c r="L40" s="17">
        <f>_xll.BDH("CHTR US Equity","BS_ACCRUAL","FQ2 2020","FQ2 2020","Currency=USD","Period=FQ","BEST_FPERIOD_OVERRIDE=FQ","FILING_STATUS=MR","SCALING_FORMAT=MLN","Sort=A","Dates=H","DateFormat=P","Fill=—","Direction=H","UseDPDF=Y")</f>
        <v>7546</v>
      </c>
    </row>
    <row r="41" spans="1:12" x14ac:dyDescent="0.35">
      <c r="A41" s="16" t="s">
        <v>268</v>
      </c>
      <c r="B41" s="16" t="s">
        <v>267</v>
      </c>
      <c r="C41" s="17">
        <f>_xll.BDH("CHTR US Equity","BS_ST_BORROW","FQ1 2018","FQ1 2018","Currency=USD","Period=FQ","BEST_FPERIOD_OVERRIDE=FQ","FILING_STATUS=MR","SCALING_FORMAT=MLN","Sort=A","Dates=H","DateFormat=P","Fill=—","Direction=H","UseDPDF=Y")</f>
        <v>3340</v>
      </c>
      <c r="D41" s="17">
        <f>_xll.BDH("CHTR US Equity","BS_ST_BORROW","FQ2 2018","FQ2 2018","Currency=USD","Period=FQ","BEST_FPERIOD_OVERRIDE=FQ","FILING_STATUS=MR","SCALING_FORMAT=MLN","Sort=A","Dates=H","DateFormat=P","Fill=—","Direction=H","UseDPDF=Y")</f>
        <v>5387</v>
      </c>
      <c r="E41" s="17">
        <f>_xll.BDH("CHTR US Equity","BS_ST_BORROW","FQ3 2018","FQ3 2018","Currency=USD","Period=FQ","BEST_FPERIOD_OVERRIDE=FQ","FILING_STATUS=MR","SCALING_FORMAT=MLN","Sort=A","Dates=H","DateFormat=P","Fill=—","Direction=H","UseDPDF=Y")</f>
        <v>3339</v>
      </c>
      <c r="F41" s="17">
        <f>_xll.BDH("CHTR US Equity","BS_ST_BORROW","FQ4 2018","FQ4 2018","Currency=USD","Period=FQ","BEST_FPERIOD_OVERRIDE=FQ","FILING_STATUS=MR","SCALING_FORMAT=MLN","Sort=A","Dates=H","DateFormat=P","Fill=—","Direction=H","UseDPDF=Y")</f>
        <v>3290</v>
      </c>
      <c r="G41" s="17">
        <f>_xll.BDH("CHTR US Equity","BS_ST_BORROW","FQ1 2019","FQ1 2019","Currency=USD","Period=FQ","BEST_FPERIOD_OVERRIDE=FQ","FILING_STATUS=MR","SCALING_FORMAT=MLN","Sort=A","Dates=H","DateFormat=P","Fill=—","Direction=H","UseDPDF=Y")</f>
        <v>3743</v>
      </c>
      <c r="H41" s="17">
        <f>_xll.BDH("CHTR US Equity","BS_ST_BORROW","FQ2 2019","FQ2 2019","Currency=USD","Period=FQ","BEST_FPERIOD_OVERRIDE=FQ","FILING_STATUS=MR","SCALING_FORMAT=MLN","Sort=A","Dates=H","DateFormat=P","Fill=—","Direction=H","UseDPDF=Y")</f>
        <v>1736</v>
      </c>
      <c r="I41" s="17">
        <f>_xll.BDH("CHTR US Equity","BS_ST_BORROW","FQ3 2019","FQ3 2019","Currency=USD","Period=FQ","BEST_FPERIOD_OVERRIDE=FQ","FILING_STATUS=MR","SCALING_FORMAT=MLN","Sort=A","Dates=H","DateFormat=P","Fill=—","Direction=H","UseDPDF=Y")</f>
        <v>3726</v>
      </c>
      <c r="J41" s="17">
        <f>_xll.BDH("CHTR US Equity","BS_ST_BORROW","FQ4 2019","FQ4 2019","Currency=USD","Period=FQ","BEST_FPERIOD_OVERRIDE=FQ","FILING_STATUS=MR","SCALING_FORMAT=MLN","Sort=A","Dates=H","DateFormat=P","Fill=—","Direction=H","UseDPDF=Y")</f>
        <v>3718</v>
      </c>
      <c r="K41" s="17">
        <f>_xll.BDH("CHTR US Equity","BS_ST_BORROW","FQ1 2020","FQ1 2020","Currency=USD","Period=FQ","BEST_FPERIOD_OVERRIDE=FQ","FILING_STATUS=MR","SCALING_FORMAT=MLN","Sort=A","Dates=H","DateFormat=P","Fill=—","Direction=H","UseDPDF=Y")</f>
        <v>5123</v>
      </c>
      <c r="L41" s="17">
        <f>_xll.BDH("CHTR US Equity","BS_ST_BORROW","FQ2 2020","FQ2 2020","Currency=USD","Period=FQ","BEST_FPERIOD_OVERRIDE=FQ","FILING_STATUS=MR","SCALING_FORMAT=MLN","Sort=A","Dates=H","DateFormat=P","Fill=—","Direction=H","UseDPDF=Y")</f>
        <v>929</v>
      </c>
    </row>
    <row r="42" spans="1:12" x14ac:dyDescent="0.35">
      <c r="A42" s="16" t="s">
        <v>266</v>
      </c>
      <c r="B42" s="16" t="s">
        <v>265</v>
      </c>
      <c r="C42" s="17">
        <f>_xll.BDH("CHTR US Equity","SHORT_TERM_DEBT_DETAILED","FQ1 2018","FQ1 2018","Currency=USD","Period=FQ","BEST_FPERIOD_OVERRIDE=FQ","FILING_STATUS=MR","SCALING_FORMAT=MLN","Sort=A","Dates=H","DateFormat=P","Fill=—","Direction=H","UseDPDF=Y")</f>
        <v>0</v>
      </c>
      <c r="D42" s="17">
        <f>_xll.BDH("CHTR US Equity","SHORT_TERM_DEBT_DETAILED","FQ2 2018","FQ2 2018","Currency=USD","Period=FQ","BEST_FPERIOD_OVERRIDE=FQ","FILING_STATUS=MR","SCALING_FORMAT=MLN","Sort=A","Dates=H","DateFormat=P","Fill=—","Direction=H","UseDPDF=Y")</f>
        <v>0</v>
      </c>
      <c r="E42" s="17">
        <f>_xll.BDH("CHTR US Equity","SHORT_TERM_DEBT_DETAILED","FQ3 2018","FQ3 2018","Currency=USD","Period=FQ","BEST_FPERIOD_OVERRIDE=FQ","FILING_STATUS=MR","SCALING_FORMAT=MLN","Sort=A","Dates=H","DateFormat=P","Fill=—","Direction=H","UseDPDF=Y")</f>
        <v>0</v>
      </c>
      <c r="F42" s="17">
        <f>_xll.BDH("CHTR US Equity","SHORT_TERM_DEBT_DETAILED","FQ4 2018","FQ4 2018","Currency=USD","Period=FQ","BEST_FPERIOD_OVERRIDE=FQ","FILING_STATUS=MR","SCALING_FORMAT=MLN","Sort=A","Dates=H","DateFormat=P","Fill=—","Direction=H","UseDPDF=Y")</f>
        <v>0</v>
      </c>
      <c r="G42" s="17">
        <f>_xll.BDH("CHTR US Equity","SHORT_TERM_DEBT_DETAILED","FQ1 2019","FQ1 2019","Currency=USD","Period=FQ","BEST_FPERIOD_OVERRIDE=FQ","FILING_STATUS=MR","SCALING_FORMAT=MLN","Sort=A","Dates=H","DateFormat=P","Fill=—","Direction=H","UseDPDF=Y")</f>
        <v>0</v>
      </c>
      <c r="H42" s="17">
        <f>_xll.BDH("CHTR US Equity","SHORT_TERM_DEBT_DETAILED","FQ2 2019","FQ2 2019","Currency=USD","Period=FQ","BEST_FPERIOD_OVERRIDE=FQ","FILING_STATUS=MR","SCALING_FORMAT=MLN","Sort=A","Dates=H","DateFormat=P","Fill=—","Direction=H","UseDPDF=Y")</f>
        <v>0</v>
      </c>
      <c r="I42" s="17">
        <f>_xll.BDH("CHTR US Equity","SHORT_TERM_DEBT_DETAILED","FQ3 2019","FQ3 2019","Currency=USD","Period=FQ","BEST_FPERIOD_OVERRIDE=FQ","FILING_STATUS=MR","SCALING_FORMAT=MLN","Sort=A","Dates=H","DateFormat=P","Fill=—","Direction=H","UseDPDF=Y")</f>
        <v>0</v>
      </c>
      <c r="J42" s="17">
        <f>_xll.BDH("CHTR US Equity","SHORT_TERM_DEBT_DETAILED","FQ4 2019","FQ4 2019","Currency=USD","Period=FQ","BEST_FPERIOD_OVERRIDE=FQ","FILING_STATUS=MR","SCALING_FORMAT=MLN","Sort=A","Dates=H","DateFormat=P","Fill=—","Direction=H","UseDPDF=Y")</f>
        <v>0</v>
      </c>
      <c r="K42" s="17">
        <f>_xll.BDH("CHTR US Equity","SHORT_TERM_DEBT_DETAILED","FQ1 2020","FQ1 2020","Currency=USD","Period=FQ","BEST_FPERIOD_OVERRIDE=FQ","FILING_STATUS=MR","SCALING_FORMAT=MLN","Sort=A","Dates=H","DateFormat=P","Fill=—","Direction=H","UseDPDF=Y")</f>
        <v>0</v>
      </c>
      <c r="L42" s="17">
        <f>_xll.BDH("CHTR US Equity","SHORT_TERM_DEBT_DETAILED","FQ2 2020","FQ2 2020","Currency=USD","Period=FQ","BEST_FPERIOD_OVERRIDE=FQ","FILING_STATUS=MR","SCALING_FORMAT=MLN","Sort=A","Dates=H","DateFormat=P","Fill=—","Direction=H","UseDPDF=Y")</f>
        <v>0</v>
      </c>
    </row>
    <row r="43" spans="1:12" x14ac:dyDescent="0.35">
      <c r="A43" s="16" t="s">
        <v>264</v>
      </c>
      <c r="B43" s="16" t="s">
        <v>263</v>
      </c>
      <c r="C43" s="17" t="str">
        <f>_xll.BDH("CHTR US Equity","ST_CAPITALIZED_LEASE_LIABILITIES","FQ1 2018","FQ1 2018","Currency=USD","Period=FQ","BEST_FPERIOD_OVERRIDE=FQ","FILING_STATUS=MR","SCALING_FORMAT=MLN","Sort=A","Dates=H","DateFormat=P","Fill=—","Direction=H","UseDPDF=Y")</f>
        <v>—</v>
      </c>
      <c r="D43" s="17" t="str">
        <f>_xll.BDH("CHTR US Equity","ST_CAPITALIZED_LEASE_LIABILITIES","FQ2 2018","FQ2 2018","Currency=USD","Period=FQ","BEST_FPERIOD_OVERRIDE=FQ","FILING_STATUS=MR","SCALING_FORMAT=MLN","Sort=A","Dates=H","DateFormat=P","Fill=—","Direction=H","UseDPDF=Y")</f>
        <v>—</v>
      </c>
      <c r="E43" s="17" t="str">
        <f>_xll.BDH("CHTR US Equity","ST_CAPITALIZED_LEASE_LIABILITIES","FQ3 2018","FQ3 2018","Currency=USD","Period=FQ","BEST_FPERIOD_OVERRIDE=FQ","FILING_STATUS=MR","SCALING_FORMAT=MLN","Sort=A","Dates=H","DateFormat=P","Fill=—","Direction=H","UseDPDF=Y")</f>
        <v>—</v>
      </c>
      <c r="F43" s="17" t="str">
        <f>_xll.BDH("CHTR US Equity","ST_CAPITALIZED_LEASE_LIABILITIES","FQ4 2018","FQ4 2018","Currency=USD","Period=FQ","BEST_FPERIOD_OVERRIDE=FQ","FILING_STATUS=MR","SCALING_FORMAT=MLN","Sort=A","Dates=H","DateFormat=P","Fill=—","Direction=H","UseDPDF=Y")</f>
        <v>—</v>
      </c>
      <c r="G43" s="17">
        <f>_xll.BDH("CHTR US Equity","ST_CAPITALIZED_LEASE_LIABILITIES","FQ1 2019","FQ1 2019","Currency=USD","Period=FQ","BEST_FPERIOD_OVERRIDE=FQ","FILING_STATUS=MR","SCALING_FORMAT=MLN","Sort=A","Dates=H","DateFormat=P","Fill=—","Direction=H","UseDPDF=Y")</f>
        <v>211</v>
      </c>
      <c r="H43" s="17">
        <f>_xll.BDH("CHTR US Equity","ST_CAPITALIZED_LEASE_LIABILITIES","FQ2 2019","FQ2 2019","Currency=USD","Period=FQ","BEST_FPERIOD_OVERRIDE=FQ","FILING_STATUS=MR","SCALING_FORMAT=MLN","Sort=A","Dates=H","DateFormat=P","Fill=—","Direction=H","UseDPDF=Y")</f>
        <v>214</v>
      </c>
      <c r="I43" s="17">
        <f>_xll.BDH("CHTR US Equity","ST_CAPITALIZED_LEASE_LIABILITIES","FQ3 2019","FQ3 2019","Currency=USD","Period=FQ","BEST_FPERIOD_OVERRIDE=FQ","FILING_STATUS=MR","SCALING_FORMAT=MLN","Sort=A","Dates=H","DateFormat=P","Fill=—","Direction=H","UseDPDF=Y")</f>
        <v>217</v>
      </c>
      <c r="J43" s="17">
        <f>_xll.BDH("CHTR US Equity","ST_CAPITALIZED_LEASE_LIABILITIES","FQ4 2019","FQ4 2019","Currency=USD","Period=FQ","BEST_FPERIOD_OVERRIDE=FQ","FILING_STATUS=MR","SCALING_FORMAT=MLN","Sort=A","Dates=H","DateFormat=P","Fill=—","Direction=H","UseDPDF=Y")</f>
        <v>218</v>
      </c>
      <c r="K43" s="17">
        <f>_xll.BDH("CHTR US Equity","ST_CAPITALIZED_LEASE_LIABILITIES","FQ1 2020","FQ1 2020","Currency=USD","Period=FQ","BEST_FPERIOD_OVERRIDE=FQ","FILING_STATUS=MR","SCALING_FORMAT=MLN","Sort=A","Dates=H","DateFormat=P","Fill=—","Direction=H","UseDPDF=Y")</f>
        <v>218</v>
      </c>
      <c r="L43" s="17">
        <f>_xll.BDH("CHTR US Equity","ST_CAPITALIZED_LEASE_LIABILITIES","FQ2 2020","FQ2 2020","Currency=USD","Period=FQ","BEST_FPERIOD_OVERRIDE=FQ","FILING_STATUS=MR","SCALING_FORMAT=MLN","Sort=A","Dates=H","DateFormat=P","Fill=—","Direction=H","UseDPDF=Y")</f>
        <v>223</v>
      </c>
    </row>
    <row r="44" spans="1:12" x14ac:dyDescent="0.35">
      <c r="A44" s="8" t="s">
        <v>262</v>
      </c>
      <c r="B44" s="8" t="s">
        <v>261</v>
      </c>
      <c r="C44" s="9" t="str">
        <f>_xll.BDH("CHTR US Equity","ST_CAPITAL_LEASE_OBLIGATIONS","FQ1 2018","FQ1 2018","Currency=USD","Period=FQ","BEST_FPERIOD_OVERRIDE=FQ","FILING_STATUS=MR","SCALING_FORMAT=MLN","Sort=A","Dates=H","DateFormat=P","Fill=—","Direction=H","UseDPDF=Y")</f>
        <v>—</v>
      </c>
      <c r="D44" s="9" t="str">
        <f>_xll.BDH("CHTR US Equity","ST_CAPITAL_LEASE_OBLIGATIONS","FQ2 2018","FQ2 2018","Currency=USD","Period=FQ","BEST_FPERIOD_OVERRIDE=FQ","FILING_STATUS=MR","SCALING_FORMAT=MLN","Sort=A","Dates=H","DateFormat=P","Fill=—","Direction=H","UseDPDF=Y")</f>
        <v>—</v>
      </c>
      <c r="E44" s="9" t="str">
        <f>_xll.BDH("CHTR US Equity","ST_CAPITAL_LEASE_OBLIGATIONS","FQ3 2018","FQ3 2018","Currency=USD","Period=FQ","BEST_FPERIOD_OVERRIDE=FQ","FILING_STATUS=MR","SCALING_FORMAT=MLN","Sort=A","Dates=H","DateFormat=P","Fill=—","Direction=H","UseDPDF=Y")</f>
        <v>—</v>
      </c>
      <c r="F44" s="9" t="str">
        <f>_xll.BDH("CHTR US Equity","ST_CAPITAL_LEASE_OBLIGATIONS","FQ4 2018","FQ4 2018","Currency=USD","Period=FQ","BEST_FPERIOD_OVERRIDE=FQ","FILING_STATUS=MR","SCALING_FORMAT=MLN","Sort=A","Dates=H","DateFormat=P","Fill=—","Direction=H","UseDPDF=Y")</f>
        <v>—</v>
      </c>
      <c r="G44" s="9">
        <f>_xll.BDH("CHTR US Equity","ST_CAPITAL_LEASE_OBLIGATIONS","FQ1 2019","FQ1 2019","Currency=USD","Period=FQ","BEST_FPERIOD_OVERRIDE=FQ","FILING_STATUS=MR","SCALING_FORMAT=MLN","Sort=A","Dates=H","DateFormat=P","Fill=—","Direction=H","UseDPDF=Y")</f>
        <v>6</v>
      </c>
      <c r="H44" s="9">
        <f>_xll.BDH("CHTR US Equity","ST_CAPITAL_LEASE_OBLIGATIONS","FQ2 2019","FQ2 2019","Currency=USD","Period=FQ","BEST_FPERIOD_OVERRIDE=FQ","FILING_STATUS=MR","SCALING_FORMAT=MLN","Sort=A","Dates=H","DateFormat=P","Fill=—","Direction=H","UseDPDF=Y")</f>
        <v>6</v>
      </c>
      <c r="I44" s="9">
        <f>_xll.BDH("CHTR US Equity","ST_CAPITAL_LEASE_OBLIGATIONS","FQ3 2019","FQ3 2019","Currency=USD","Period=FQ","BEST_FPERIOD_OVERRIDE=FQ","FILING_STATUS=MR","SCALING_FORMAT=MLN","Sort=A","Dates=H","DateFormat=P","Fill=—","Direction=H","UseDPDF=Y")</f>
        <v>7</v>
      </c>
      <c r="J44" s="9">
        <f>_xll.BDH("CHTR US Equity","ST_CAPITAL_LEASE_OBLIGATIONS","FQ4 2019","FQ4 2019","Currency=USD","Period=FQ","BEST_FPERIOD_OVERRIDE=FQ","FILING_STATUS=MR","SCALING_FORMAT=MLN","Sort=A","Dates=H","DateFormat=P","Fill=—","Direction=H","UseDPDF=Y")</f>
        <v>4</v>
      </c>
      <c r="K44" s="9" t="str">
        <f>_xll.BDH("CHTR US Equity","ST_CAPITAL_LEASE_OBLIGATIONS","FQ1 2020","FQ1 2020","Currency=USD","Period=FQ","BEST_FPERIOD_OVERRIDE=FQ","FILING_STATUS=MR","SCALING_FORMAT=MLN","Sort=A","Dates=H","DateFormat=P","Fill=—","Direction=H","UseDPDF=Y")</f>
        <v>—</v>
      </c>
      <c r="L44" s="9" t="str">
        <f>_xll.BDH("CHTR US Equity","ST_CAPITAL_LEASE_OBLIGATIONS","FQ2 2020","FQ2 2020","Currency=USD","Period=FQ","BEST_FPERIOD_OVERRIDE=FQ","FILING_STATUS=MR","SCALING_FORMAT=MLN","Sort=A","Dates=H","DateFormat=P","Fill=—","Direction=H","UseDPDF=Y")</f>
        <v>—</v>
      </c>
    </row>
    <row r="45" spans="1:12" x14ac:dyDescent="0.35">
      <c r="A45" s="8" t="s">
        <v>260</v>
      </c>
      <c r="B45" s="8" t="s">
        <v>259</v>
      </c>
      <c r="C45" s="9" t="str">
        <f>_xll.BDH("CHTR US Equity","BS_ST_OPERATING_LEASE_LIABS","FQ1 2018","FQ1 2018","Currency=USD","Period=FQ","BEST_FPERIOD_OVERRIDE=FQ","FILING_STATUS=MR","SCALING_FORMAT=MLN","Sort=A","Dates=H","DateFormat=P","Fill=—","Direction=H","UseDPDF=Y")</f>
        <v>—</v>
      </c>
      <c r="D45" s="9" t="str">
        <f>_xll.BDH("CHTR US Equity","BS_ST_OPERATING_LEASE_LIABS","FQ2 2018","FQ2 2018","Currency=USD","Period=FQ","BEST_FPERIOD_OVERRIDE=FQ","FILING_STATUS=MR","SCALING_FORMAT=MLN","Sort=A","Dates=H","DateFormat=P","Fill=—","Direction=H","UseDPDF=Y")</f>
        <v>—</v>
      </c>
      <c r="E45" s="9" t="str">
        <f>_xll.BDH("CHTR US Equity","BS_ST_OPERATING_LEASE_LIABS","FQ3 2018","FQ3 2018","Currency=USD","Period=FQ","BEST_FPERIOD_OVERRIDE=FQ","FILING_STATUS=MR","SCALING_FORMAT=MLN","Sort=A","Dates=H","DateFormat=P","Fill=—","Direction=H","UseDPDF=Y")</f>
        <v>—</v>
      </c>
      <c r="F45" s="9" t="str">
        <f>_xll.BDH("CHTR US Equity","BS_ST_OPERATING_LEASE_LIABS","FQ4 2018","FQ4 2018","Currency=USD","Period=FQ","BEST_FPERIOD_OVERRIDE=FQ","FILING_STATUS=MR","SCALING_FORMAT=MLN","Sort=A","Dates=H","DateFormat=P","Fill=—","Direction=H","UseDPDF=Y")</f>
        <v>—</v>
      </c>
      <c r="G45" s="9">
        <f>_xll.BDH("CHTR US Equity","BS_ST_OPERATING_LEASE_LIABS","FQ1 2019","FQ1 2019","Currency=USD","Period=FQ","BEST_FPERIOD_OVERRIDE=FQ","FILING_STATUS=MR","SCALING_FORMAT=MLN","Sort=A","Dates=H","DateFormat=P","Fill=—","Direction=H","UseDPDF=Y")</f>
        <v>205</v>
      </c>
      <c r="H45" s="9">
        <f>_xll.BDH("CHTR US Equity","BS_ST_OPERATING_LEASE_LIABS","FQ2 2019","FQ2 2019","Currency=USD","Period=FQ","BEST_FPERIOD_OVERRIDE=FQ","FILING_STATUS=MR","SCALING_FORMAT=MLN","Sort=A","Dates=H","DateFormat=P","Fill=—","Direction=H","UseDPDF=Y")</f>
        <v>208</v>
      </c>
      <c r="I45" s="9">
        <f>_xll.BDH("CHTR US Equity","BS_ST_OPERATING_LEASE_LIABS","FQ3 2019","FQ3 2019","Currency=USD","Period=FQ","BEST_FPERIOD_OVERRIDE=FQ","FILING_STATUS=MR","SCALING_FORMAT=MLN","Sort=A","Dates=H","DateFormat=P","Fill=—","Direction=H","UseDPDF=Y")</f>
        <v>210</v>
      </c>
      <c r="J45" s="9">
        <f>_xll.BDH("CHTR US Equity","BS_ST_OPERATING_LEASE_LIABS","FQ4 2019","FQ4 2019","Currency=USD","Period=FQ","BEST_FPERIOD_OVERRIDE=FQ","FILING_STATUS=MR","SCALING_FORMAT=MLN","Sort=A","Dates=H","DateFormat=P","Fill=—","Direction=H","UseDPDF=Y")</f>
        <v>214</v>
      </c>
      <c r="K45" s="9">
        <f>_xll.BDH("CHTR US Equity","BS_ST_OPERATING_LEASE_LIABS","FQ1 2020","FQ1 2020","Currency=USD","Period=FQ","BEST_FPERIOD_OVERRIDE=FQ","FILING_STATUS=MR","SCALING_FORMAT=MLN","Sort=A","Dates=H","DateFormat=P","Fill=—","Direction=H","UseDPDF=Y")</f>
        <v>218</v>
      </c>
      <c r="L45" s="9">
        <f>_xll.BDH("CHTR US Equity","BS_ST_OPERATING_LEASE_LIABS","FQ2 2020","FQ2 2020","Currency=USD","Period=FQ","BEST_FPERIOD_OVERRIDE=FQ","FILING_STATUS=MR","SCALING_FORMAT=MLN","Sort=A","Dates=H","DateFormat=P","Fill=—","Direction=H","UseDPDF=Y")</f>
        <v>223</v>
      </c>
    </row>
    <row r="46" spans="1:12" x14ac:dyDescent="0.35">
      <c r="A46" s="16" t="s">
        <v>258</v>
      </c>
      <c r="B46" s="16" t="s">
        <v>257</v>
      </c>
      <c r="C46" s="17">
        <f>_xll.BDH("CHTR US Equity","BS_CURR_PORTION_LT_DEBT","FQ1 2018","FQ1 2018","Currency=USD","Period=FQ","BEST_FPERIOD_OVERRIDE=FQ","FILING_STATUS=MR","SCALING_FORMAT=MLN","Sort=A","Dates=H","DateFormat=P","Fill=—","Direction=H","UseDPDF=Y")</f>
        <v>3340</v>
      </c>
      <c r="D46" s="17">
        <f>_xll.BDH("CHTR US Equity","BS_CURR_PORTION_LT_DEBT","FQ2 2018","FQ2 2018","Currency=USD","Period=FQ","BEST_FPERIOD_OVERRIDE=FQ","FILING_STATUS=MR","SCALING_FORMAT=MLN","Sort=A","Dates=H","DateFormat=P","Fill=—","Direction=H","UseDPDF=Y")</f>
        <v>5387</v>
      </c>
      <c r="E46" s="17">
        <f>_xll.BDH("CHTR US Equity","BS_CURR_PORTION_LT_DEBT","FQ3 2018","FQ3 2018","Currency=USD","Period=FQ","BEST_FPERIOD_OVERRIDE=FQ","FILING_STATUS=MR","SCALING_FORMAT=MLN","Sort=A","Dates=H","DateFormat=P","Fill=—","Direction=H","UseDPDF=Y")</f>
        <v>3339</v>
      </c>
      <c r="F46" s="17">
        <f>_xll.BDH("CHTR US Equity","BS_CURR_PORTION_LT_DEBT","FQ4 2018","FQ4 2018","Currency=USD","Period=FQ","BEST_FPERIOD_OVERRIDE=FQ","FILING_STATUS=MR","SCALING_FORMAT=MLN","Sort=A","Dates=H","DateFormat=P","Fill=—","Direction=H","UseDPDF=Y")</f>
        <v>3290</v>
      </c>
      <c r="G46" s="17">
        <f>_xll.BDH("CHTR US Equity","BS_CURR_PORTION_LT_DEBT","FQ1 2019","FQ1 2019","Currency=USD","Period=FQ","BEST_FPERIOD_OVERRIDE=FQ","FILING_STATUS=MR","SCALING_FORMAT=MLN","Sort=A","Dates=H","DateFormat=P","Fill=—","Direction=H","UseDPDF=Y")</f>
        <v>3532</v>
      </c>
      <c r="H46" s="17">
        <f>_xll.BDH("CHTR US Equity","BS_CURR_PORTION_LT_DEBT","FQ2 2019","FQ2 2019","Currency=USD","Period=FQ","BEST_FPERIOD_OVERRIDE=FQ","FILING_STATUS=MR","SCALING_FORMAT=MLN","Sort=A","Dates=H","DateFormat=P","Fill=—","Direction=H","UseDPDF=Y")</f>
        <v>1522</v>
      </c>
      <c r="I46" s="17">
        <f>_xll.BDH("CHTR US Equity","BS_CURR_PORTION_LT_DEBT","FQ3 2019","FQ3 2019","Currency=USD","Period=FQ","BEST_FPERIOD_OVERRIDE=FQ","FILING_STATUS=MR","SCALING_FORMAT=MLN","Sort=A","Dates=H","DateFormat=P","Fill=—","Direction=H","UseDPDF=Y")</f>
        <v>3509</v>
      </c>
      <c r="J46" s="17">
        <f>_xll.BDH("CHTR US Equity","BS_CURR_PORTION_LT_DEBT","FQ4 2019","FQ4 2019","Currency=USD","Period=FQ","BEST_FPERIOD_OVERRIDE=FQ","FILING_STATUS=MR","SCALING_FORMAT=MLN","Sort=A","Dates=H","DateFormat=P","Fill=—","Direction=H","UseDPDF=Y")</f>
        <v>3500</v>
      </c>
      <c r="K46" s="17">
        <f>_xll.BDH("CHTR US Equity","BS_CURR_PORTION_LT_DEBT","FQ1 2020","FQ1 2020","Currency=USD","Period=FQ","BEST_FPERIOD_OVERRIDE=FQ","FILING_STATUS=MR","SCALING_FORMAT=MLN","Sort=A","Dates=H","DateFormat=P","Fill=—","Direction=H","UseDPDF=Y")</f>
        <v>4905</v>
      </c>
      <c r="L46" s="17">
        <f>_xll.BDH("CHTR US Equity","BS_CURR_PORTION_LT_DEBT","FQ2 2020","FQ2 2020","Currency=USD","Period=FQ","BEST_FPERIOD_OVERRIDE=FQ","FILING_STATUS=MR","SCALING_FORMAT=MLN","Sort=A","Dates=H","DateFormat=P","Fill=—","Direction=H","UseDPDF=Y")</f>
        <v>706</v>
      </c>
    </row>
    <row r="47" spans="1:12" x14ac:dyDescent="0.35">
      <c r="A47" s="16" t="s">
        <v>256</v>
      </c>
      <c r="B47" s="16" t="s">
        <v>255</v>
      </c>
      <c r="C47" s="17">
        <f>_xll.BDH("CHTR US Equity","OTHER_CURRENT_LIABS_SUB_DETAILED","FQ1 2018","FQ1 2018","Currency=USD","Period=FQ","BEST_FPERIOD_OVERRIDE=FQ","FILING_STATUS=MR","SCALING_FORMAT=MLN","Sort=A","Dates=H","DateFormat=P","Fill=—","Direction=H","UseDPDF=Y")</f>
        <v>0</v>
      </c>
      <c r="D47" s="17">
        <f>_xll.BDH("CHTR US Equity","OTHER_CURRENT_LIABS_SUB_DETAILED","FQ2 2018","FQ2 2018","Currency=USD","Period=FQ","BEST_FPERIOD_OVERRIDE=FQ","FILING_STATUS=MR","SCALING_FORMAT=MLN","Sort=A","Dates=H","DateFormat=P","Fill=—","Direction=H","UseDPDF=Y")</f>
        <v>0</v>
      </c>
      <c r="E47" s="17">
        <f>_xll.BDH("CHTR US Equity","OTHER_CURRENT_LIABS_SUB_DETAILED","FQ3 2018","FQ3 2018","Currency=USD","Period=FQ","BEST_FPERIOD_OVERRIDE=FQ","FILING_STATUS=MR","SCALING_FORMAT=MLN","Sort=A","Dates=H","DateFormat=P","Fill=—","Direction=H","UseDPDF=Y")</f>
        <v>0</v>
      </c>
      <c r="F47" s="17">
        <f>_xll.BDH("CHTR US Equity","OTHER_CURRENT_LIABS_SUB_DETAILED","FQ4 2018","FQ4 2018","Currency=USD","Period=FQ","BEST_FPERIOD_OVERRIDE=FQ","FILING_STATUS=MR","SCALING_FORMAT=MLN","Sort=A","Dates=H","DateFormat=P","Fill=—","Direction=H","UseDPDF=Y")</f>
        <v>237</v>
      </c>
      <c r="G47" s="17">
        <f>_xll.BDH("CHTR US Equity","OTHER_CURRENT_LIABS_SUB_DETAILED","FQ1 2019","FQ1 2019","Currency=USD","Period=FQ","BEST_FPERIOD_OVERRIDE=FQ","FILING_STATUS=MR","SCALING_FORMAT=MLN","Sort=A","Dates=H","DateFormat=P","Fill=—","Direction=H","UseDPDF=Y")</f>
        <v>0</v>
      </c>
      <c r="H47" s="17">
        <f>_xll.BDH("CHTR US Equity","OTHER_CURRENT_LIABS_SUB_DETAILED","FQ2 2019","FQ2 2019","Currency=USD","Period=FQ","BEST_FPERIOD_OVERRIDE=FQ","FILING_STATUS=MR","SCALING_FORMAT=MLN","Sort=A","Dates=H","DateFormat=P","Fill=—","Direction=H","UseDPDF=Y")</f>
        <v>0</v>
      </c>
      <c r="I47" s="17">
        <f>_xll.BDH("CHTR US Equity","OTHER_CURRENT_LIABS_SUB_DETAILED","FQ3 2019","FQ3 2019","Currency=USD","Period=FQ","BEST_FPERIOD_OVERRIDE=FQ","FILING_STATUS=MR","SCALING_FORMAT=MLN","Sort=A","Dates=H","DateFormat=P","Fill=—","Direction=H","UseDPDF=Y")</f>
        <v>0</v>
      </c>
      <c r="J47" s="17">
        <f>_xll.BDH("CHTR US Equity","OTHER_CURRENT_LIABS_SUB_DETAILED","FQ4 2019","FQ4 2019","Currency=USD","Period=FQ","BEST_FPERIOD_OVERRIDE=FQ","FILING_STATUS=MR","SCALING_FORMAT=MLN","Sort=A","Dates=H","DateFormat=P","Fill=—","Direction=H","UseDPDF=Y")</f>
        <v>224</v>
      </c>
      <c r="K47" s="17">
        <f>_xll.BDH("CHTR US Equity","OTHER_CURRENT_LIABS_SUB_DETAILED","FQ1 2020","FQ1 2020","Currency=USD","Period=FQ","BEST_FPERIOD_OVERRIDE=FQ","FILING_STATUS=MR","SCALING_FORMAT=MLN","Sort=A","Dates=H","DateFormat=P","Fill=—","Direction=H","UseDPDF=Y")</f>
        <v>0</v>
      </c>
      <c r="L47" s="17">
        <f>_xll.BDH("CHTR US Equity","OTHER_CURRENT_LIABS_SUB_DETAILED","FQ2 2020","FQ2 2020","Currency=USD","Period=FQ","BEST_FPERIOD_OVERRIDE=FQ","FILING_STATUS=MR","SCALING_FORMAT=MLN","Sort=A","Dates=H","DateFormat=P","Fill=—","Direction=H","UseDPDF=Y")</f>
        <v>0</v>
      </c>
    </row>
    <row r="48" spans="1:12" x14ac:dyDescent="0.35">
      <c r="A48" s="16" t="s">
        <v>228</v>
      </c>
      <c r="B48" s="16" t="s">
        <v>254</v>
      </c>
      <c r="C48" s="17" t="str">
        <f>_xll.BDH("CHTR US Equity","ST_DEFERRED_REVENUE","FQ1 2018","FQ1 2018","Currency=USD","Period=FQ","BEST_FPERIOD_OVERRIDE=FQ","FILING_STATUS=MR","SCALING_FORMAT=MLN","Sort=A","Dates=H","DateFormat=P","Fill=—","Direction=H","UseDPDF=Y")</f>
        <v>—</v>
      </c>
      <c r="D48" s="17" t="str">
        <f>_xll.BDH("CHTR US Equity","ST_DEFERRED_REVENUE","FQ2 2018","FQ2 2018","Currency=USD","Period=FQ","BEST_FPERIOD_OVERRIDE=FQ","FILING_STATUS=MR","SCALING_FORMAT=MLN","Sort=A","Dates=H","DateFormat=P","Fill=—","Direction=H","UseDPDF=Y")</f>
        <v>—</v>
      </c>
      <c r="E48" s="17" t="str">
        <f>_xll.BDH("CHTR US Equity","ST_DEFERRED_REVENUE","FQ3 2018","FQ3 2018","Currency=USD","Period=FQ","BEST_FPERIOD_OVERRIDE=FQ","FILING_STATUS=MR","SCALING_FORMAT=MLN","Sort=A","Dates=H","DateFormat=P","Fill=—","Direction=H","UseDPDF=Y")</f>
        <v>—</v>
      </c>
      <c r="F48" s="17">
        <f>_xll.BDH("CHTR US Equity","ST_DEFERRED_REVENUE","FQ4 2018","FQ4 2018","Currency=USD","Period=FQ","BEST_FPERIOD_OVERRIDE=FQ","FILING_STATUS=MR","SCALING_FORMAT=MLN","Sort=A","Dates=H","DateFormat=P","Fill=—","Direction=H","UseDPDF=Y")</f>
        <v>0</v>
      </c>
      <c r="G48" s="17" t="str">
        <f>_xll.BDH("CHTR US Equity","ST_DEFERRED_REVENUE","FQ1 2019","FQ1 2019","Currency=USD","Period=FQ","BEST_FPERIOD_OVERRIDE=FQ","FILING_STATUS=MR","SCALING_FORMAT=MLN","Sort=A","Dates=H","DateFormat=P","Fill=—","Direction=H","UseDPDF=Y")</f>
        <v>—</v>
      </c>
      <c r="H48" s="17" t="str">
        <f>_xll.BDH("CHTR US Equity","ST_DEFERRED_REVENUE","FQ2 2019","FQ2 2019","Currency=USD","Period=FQ","BEST_FPERIOD_OVERRIDE=FQ","FILING_STATUS=MR","SCALING_FORMAT=MLN","Sort=A","Dates=H","DateFormat=P","Fill=—","Direction=H","UseDPDF=Y")</f>
        <v>—</v>
      </c>
      <c r="I48" s="17" t="str">
        <f>_xll.BDH("CHTR US Equity","ST_DEFERRED_REVENUE","FQ3 2019","FQ3 2019","Currency=USD","Period=FQ","BEST_FPERIOD_OVERRIDE=FQ","FILING_STATUS=MR","SCALING_FORMAT=MLN","Sort=A","Dates=H","DateFormat=P","Fill=—","Direction=H","UseDPDF=Y")</f>
        <v>—</v>
      </c>
      <c r="J48" s="17">
        <f>_xll.BDH("CHTR US Equity","ST_DEFERRED_REVENUE","FQ4 2019","FQ4 2019","Currency=USD","Period=FQ","BEST_FPERIOD_OVERRIDE=FQ","FILING_STATUS=MR","SCALING_FORMAT=MLN","Sort=A","Dates=H","DateFormat=P","Fill=—","Direction=H","UseDPDF=Y")</f>
        <v>0</v>
      </c>
      <c r="K48" s="17" t="str">
        <f>_xll.BDH("CHTR US Equity","ST_DEFERRED_REVENUE","FQ1 2020","FQ1 2020","Currency=USD","Period=FQ","BEST_FPERIOD_OVERRIDE=FQ","FILING_STATUS=MR","SCALING_FORMAT=MLN","Sort=A","Dates=H","DateFormat=P","Fill=—","Direction=H","UseDPDF=Y")</f>
        <v>—</v>
      </c>
      <c r="L48" s="17" t="str">
        <f>_xll.BDH("CHTR US Equity","ST_DEFERRED_REVENUE","FQ2 2020","FQ2 2020","Currency=USD","Period=FQ","BEST_FPERIOD_OVERRIDE=FQ","FILING_STATUS=MR","SCALING_FORMAT=MLN","Sort=A","Dates=H","DateFormat=P","Fill=—","Direction=H","UseDPDF=Y")</f>
        <v>—</v>
      </c>
    </row>
    <row r="49" spans="1:12" x14ac:dyDescent="0.35">
      <c r="A49" s="16" t="s">
        <v>224</v>
      </c>
      <c r="B49" s="16" t="s">
        <v>253</v>
      </c>
      <c r="C49" s="17" t="str">
        <f>_xll.BDH("CHTR US Equity","BS_DERIVATIVE_&amp;_HEDGING_LIABS_ST","FQ1 2018","FQ1 2018","Currency=USD","Period=FQ","BEST_FPERIOD_OVERRIDE=FQ","FILING_STATUS=MR","SCALING_FORMAT=MLN","Sort=A","Dates=H","DateFormat=P","Fill=—","Direction=H","UseDPDF=Y")</f>
        <v>—</v>
      </c>
      <c r="D49" s="17" t="str">
        <f>_xll.BDH("CHTR US Equity","BS_DERIVATIVE_&amp;_HEDGING_LIABS_ST","FQ2 2018","FQ2 2018","Currency=USD","Period=FQ","BEST_FPERIOD_OVERRIDE=FQ","FILING_STATUS=MR","SCALING_FORMAT=MLN","Sort=A","Dates=H","DateFormat=P","Fill=—","Direction=H","UseDPDF=Y")</f>
        <v>—</v>
      </c>
      <c r="E49" s="17" t="str">
        <f>_xll.BDH("CHTR US Equity","BS_DERIVATIVE_&amp;_HEDGING_LIABS_ST","FQ3 2018","FQ3 2018","Currency=USD","Period=FQ","BEST_FPERIOD_OVERRIDE=FQ","FILING_STATUS=MR","SCALING_FORMAT=MLN","Sort=A","Dates=H","DateFormat=P","Fill=—","Direction=H","UseDPDF=Y")</f>
        <v>—</v>
      </c>
      <c r="F49" s="17">
        <f>_xll.BDH("CHTR US Equity","BS_DERIVATIVE_&amp;_HEDGING_LIABS_ST","FQ4 2018","FQ4 2018","Currency=USD","Period=FQ","BEST_FPERIOD_OVERRIDE=FQ","FILING_STATUS=MR","SCALING_FORMAT=MLN","Sort=A","Dates=H","DateFormat=P","Fill=—","Direction=H","UseDPDF=Y")</f>
        <v>237</v>
      </c>
      <c r="G49" s="17" t="str">
        <f>_xll.BDH("CHTR US Equity","BS_DERIVATIVE_&amp;_HEDGING_LIABS_ST","FQ1 2019","FQ1 2019","Currency=USD","Period=FQ","BEST_FPERIOD_OVERRIDE=FQ","FILING_STATUS=MR","SCALING_FORMAT=MLN","Sort=A","Dates=H","DateFormat=P","Fill=—","Direction=H","UseDPDF=Y")</f>
        <v>—</v>
      </c>
      <c r="H49" s="17" t="str">
        <f>_xll.BDH("CHTR US Equity","BS_DERIVATIVE_&amp;_HEDGING_LIABS_ST","FQ2 2019","FQ2 2019","Currency=USD","Period=FQ","BEST_FPERIOD_OVERRIDE=FQ","FILING_STATUS=MR","SCALING_FORMAT=MLN","Sort=A","Dates=H","DateFormat=P","Fill=—","Direction=H","UseDPDF=Y")</f>
        <v>—</v>
      </c>
      <c r="I49" s="17" t="str">
        <f>_xll.BDH("CHTR US Equity","BS_DERIVATIVE_&amp;_HEDGING_LIABS_ST","FQ3 2019","FQ3 2019","Currency=USD","Period=FQ","BEST_FPERIOD_OVERRIDE=FQ","FILING_STATUS=MR","SCALING_FORMAT=MLN","Sort=A","Dates=H","DateFormat=P","Fill=—","Direction=H","UseDPDF=Y")</f>
        <v>—</v>
      </c>
      <c r="J49" s="17">
        <f>_xll.BDH("CHTR US Equity","BS_DERIVATIVE_&amp;_HEDGING_LIABS_ST","FQ4 2019","FQ4 2019","Currency=USD","Period=FQ","BEST_FPERIOD_OVERRIDE=FQ","FILING_STATUS=MR","SCALING_FORMAT=MLN","Sort=A","Dates=H","DateFormat=P","Fill=—","Direction=H","UseDPDF=Y")</f>
        <v>224</v>
      </c>
      <c r="K49" s="17" t="str">
        <f>_xll.BDH("CHTR US Equity","BS_DERIVATIVE_&amp;_HEDGING_LIABS_ST","FQ1 2020","FQ1 2020","Currency=USD","Period=FQ","BEST_FPERIOD_OVERRIDE=FQ","FILING_STATUS=MR","SCALING_FORMAT=MLN","Sort=A","Dates=H","DateFormat=P","Fill=—","Direction=H","UseDPDF=Y")</f>
        <v>—</v>
      </c>
      <c r="L49" s="17" t="str">
        <f>_xll.BDH("CHTR US Equity","BS_DERIVATIVE_&amp;_HEDGING_LIABS_ST","FQ2 2020","FQ2 2020","Currency=USD","Period=FQ","BEST_FPERIOD_OVERRIDE=FQ","FILING_STATUS=MR","SCALING_FORMAT=MLN","Sort=A","Dates=H","DateFormat=P","Fill=—","Direction=H","UseDPDF=Y")</f>
        <v>—</v>
      </c>
    </row>
    <row r="50" spans="1:12" x14ac:dyDescent="0.35">
      <c r="A50" s="16" t="s">
        <v>252</v>
      </c>
      <c r="B50" s="16" t="s">
        <v>251</v>
      </c>
      <c r="C50" s="17">
        <f>_xll.BDH("CHTR US Equity","OTHER_CURRENT_LIABS_DETAILED","FQ1 2018","FQ1 2018","Currency=USD","Period=FQ","BEST_FPERIOD_OVERRIDE=FQ","FILING_STATUS=MR","SCALING_FORMAT=MLN","Sort=A","Dates=H","DateFormat=P","Fill=—","Direction=H","UseDPDF=Y")</f>
        <v>0</v>
      </c>
      <c r="D50" s="17">
        <f>_xll.BDH("CHTR US Equity","OTHER_CURRENT_LIABS_DETAILED","FQ2 2018","FQ2 2018","Currency=USD","Period=FQ","BEST_FPERIOD_OVERRIDE=FQ","FILING_STATUS=MR","SCALING_FORMAT=MLN","Sort=A","Dates=H","DateFormat=P","Fill=—","Direction=H","UseDPDF=Y")</f>
        <v>0</v>
      </c>
      <c r="E50" s="17">
        <f>_xll.BDH("CHTR US Equity","OTHER_CURRENT_LIABS_DETAILED","FQ3 2018","FQ3 2018","Currency=USD","Period=FQ","BEST_FPERIOD_OVERRIDE=FQ","FILING_STATUS=MR","SCALING_FORMAT=MLN","Sort=A","Dates=H","DateFormat=P","Fill=—","Direction=H","UseDPDF=Y")</f>
        <v>0</v>
      </c>
      <c r="F50" s="17">
        <f>_xll.BDH("CHTR US Equity","OTHER_CURRENT_LIABS_DETAILED","FQ4 2018","FQ4 2018","Currency=USD","Period=FQ","BEST_FPERIOD_OVERRIDE=FQ","FILING_STATUS=MR","SCALING_FORMAT=MLN","Sort=A","Dates=H","DateFormat=P","Fill=—","Direction=H","UseDPDF=Y")</f>
        <v>0</v>
      </c>
      <c r="G50" s="17">
        <f>_xll.BDH("CHTR US Equity","OTHER_CURRENT_LIABS_DETAILED","FQ1 2019","FQ1 2019","Currency=USD","Period=FQ","BEST_FPERIOD_OVERRIDE=FQ","FILING_STATUS=MR","SCALING_FORMAT=MLN","Sort=A","Dates=H","DateFormat=P","Fill=—","Direction=H","UseDPDF=Y")</f>
        <v>0</v>
      </c>
      <c r="H50" s="17">
        <f>_xll.BDH("CHTR US Equity","OTHER_CURRENT_LIABS_DETAILED","FQ2 2019","FQ2 2019","Currency=USD","Period=FQ","BEST_FPERIOD_OVERRIDE=FQ","FILING_STATUS=MR","SCALING_FORMAT=MLN","Sort=A","Dates=H","DateFormat=P","Fill=—","Direction=H","UseDPDF=Y")</f>
        <v>0</v>
      </c>
      <c r="I50" s="17">
        <f>_xll.BDH("CHTR US Equity","OTHER_CURRENT_LIABS_DETAILED","FQ3 2019","FQ3 2019","Currency=USD","Period=FQ","BEST_FPERIOD_OVERRIDE=FQ","FILING_STATUS=MR","SCALING_FORMAT=MLN","Sort=A","Dates=H","DateFormat=P","Fill=—","Direction=H","UseDPDF=Y")</f>
        <v>0</v>
      </c>
      <c r="J50" s="17">
        <f>_xll.BDH("CHTR US Equity","OTHER_CURRENT_LIABS_DETAILED","FQ4 2019","FQ4 2019","Currency=USD","Period=FQ","BEST_FPERIOD_OVERRIDE=FQ","FILING_STATUS=MR","SCALING_FORMAT=MLN","Sort=A","Dates=H","DateFormat=P","Fill=—","Direction=H","UseDPDF=Y")</f>
        <v>0</v>
      </c>
      <c r="K50" s="17">
        <f>_xll.BDH("CHTR US Equity","OTHER_CURRENT_LIABS_DETAILED","FQ1 2020","FQ1 2020","Currency=USD","Period=FQ","BEST_FPERIOD_OVERRIDE=FQ","FILING_STATUS=MR","SCALING_FORMAT=MLN","Sort=A","Dates=H","DateFormat=P","Fill=—","Direction=H","UseDPDF=Y")</f>
        <v>0</v>
      </c>
      <c r="L50" s="17">
        <f>_xll.BDH("CHTR US Equity","OTHER_CURRENT_LIABS_DETAILED","FQ2 2020","FQ2 2020","Currency=USD","Period=FQ","BEST_FPERIOD_OVERRIDE=FQ","FILING_STATUS=MR","SCALING_FORMAT=MLN","Sort=A","Dates=H","DateFormat=P","Fill=—","Direction=H","UseDPDF=Y")</f>
        <v>0</v>
      </c>
    </row>
    <row r="51" spans="1:12" x14ac:dyDescent="0.35">
      <c r="A51" s="12" t="s">
        <v>250</v>
      </c>
      <c r="B51" s="12" t="s">
        <v>249</v>
      </c>
      <c r="C51" s="10">
        <f>_xll.BDH("CHTR US Equity","BS_CUR_LIAB","FQ1 2018","FQ1 2018","Currency=USD","Period=FQ","BEST_FPERIOD_OVERRIDE=FQ","FILING_STATUS=MR","SCALING_FORMAT=MLN","Sort=A","Dates=H","DateFormat=P","Fill=—","Direction=H","UseDPDF=Y")</f>
        <v>11602</v>
      </c>
      <c r="D51" s="10">
        <f>_xll.BDH("CHTR US Equity","BS_CUR_LIAB","FQ2 2018","FQ2 2018","Currency=USD","Period=FQ","BEST_FPERIOD_OVERRIDE=FQ","FILING_STATUS=MR","SCALING_FORMAT=MLN","Sort=A","Dates=H","DateFormat=P","Fill=—","Direction=H","UseDPDF=Y")</f>
        <v>14024</v>
      </c>
      <c r="E51" s="10">
        <f>_xll.BDH("CHTR US Equity","BS_CUR_LIAB","FQ3 2018","FQ3 2018","Currency=USD","Period=FQ","BEST_FPERIOD_OVERRIDE=FQ","FILING_STATUS=MR","SCALING_FORMAT=MLN","Sort=A","Dates=H","DateFormat=P","Fill=—","Direction=H","UseDPDF=Y")</f>
        <v>11850</v>
      </c>
      <c r="F51" s="10">
        <f>_xll.BDH("CHTR US Equity","BS_CUR_LIAB","FQ4 2018","FQ4 2018","Currency=USD","Period=FQ","BEST_FPERIOD_OVERRIDE=FQ","FILING_STATUS=MR","SCALING_FORMAT=MLN","Sort=A","Dates=H","DateFormat=P","Fill=—","Direction=H","UseDPDF=Y")</f>
        <v>12095</v>
      </c>
      <c r="G51" s="10">
        <f>_xll.BDH("CHTR US Equity","BS_CUR_LIAB","FQ1 2019","FQ1 2019","Currency=USD","Period=FQ","BEST_FPERIOD_OVERRIDE=FQ","FILING_STATUS=MR","SCALING_FORMAT=MLN","Sort=A","Dates=H","DateFormat=P","Fill=—","Direction=H","UseDPDF=Y")</f>
        <v>11950</v>
      </c>
      <c r="H51" s="10">
        <f>_xll.BDH("CHTR US Equity","BS_CUR_LIAB","FQ2 2019","FQ2 2019","Currency=USD","Period=FQ","BEST_FPERIOD_OVERRIDE=FQ","FILING_STATUS=MR","SCALING_FORMAT=MLN","Sort=A","Dates=H","DateFormat=P","Fill=—","Direction=H","UseDPDF=Y")</f>
        <v>9875</v>
      </c>
      <c r="I51" s="10">
        <f>_xll.BDH("CHTR US Equity","BS_CUR_LIAB","FQ3 2019","FQ3 2019","Currency=USD","Period=FQ","BEST_FPERIOD_OVERRIDE=FQ","FILING_STATUS=MR","SCALING_FORMAT=MLN","Sort=A","Dates=H","DateFormat=P","Fill=—","Direction=H","UseDPDF=Y")</f>
        <v>11982</v>
      </c>
      <c r="J51" s="10">
        <f>_xll.BDH("CHTR US Equity","BS_CUR_LIAB","FQ4 2019","FQ4 2019","Currency=USD","Period=FQ","BEST_FPERIOD_OVERRIDE=FQ","FILING_STATUS=MR","SCALING_FORMAT=MLN","Sort=A","Dates=H","DateFormat=P","Fill=—","Direction=H","UseDPDF=Y")</f>
        <v>12385</v>
      </c>
      <c r="K51" s="10">
        <f>_xll.BDH("CHTR US Equity","BS_CUR_LIAB","FQ1 2020","FQ1 2020","Currency=USD","Period=FQ","BEST_FPERIOD_OVERRIDE=FQ","FILING_STATUS=MR","SCALING_FORMAT=MLN","Sort=A","Dates=H","DateFormat=P","Fill=—","Direction=H","UseDPDF=Y")</f>
        <v>13215</v>
      </c>
      <c r="L51" s="10">
        <f>_xll.BDH("CHTR US Equity","BS_CUR_LIAB","FQ2 2020","FQ2 2020","Currency=USD","Period=FQ","BEST_FPERIOD_OVERRIDE=FQ","FILING_STATUS=MR","SCALING_FORMAT=MLN","Sort=A","Dates=H","DateFormat=P","Fill=—","Direction=H","UseDPDF=Y")</f>
        <v>9142</v>
      </c>
    </row>
    <row r="52" spans="1:12" x14ac:dyDescent="0.35">
      <c r="A52" s="16" t="s">
        <v>248</v>
      </c>
      <c r="B52" s="16" t="s">
        <v>247</v>
      </c>
      <c r="C52" s="17">
        <f>_xll.BDH("CHTR US Equity","BS_LT_BORROW","FQ1 2018","FQ1 2018","Currency=USD","Period=FQ","BEST_FPERIOD_OVERRIDE=FQ","FILING_STATUS=MR","SCALING_FORMAT=MLN","Sort=A","Dates=H","DateFormat=P","Fill=—","Direction=H","UseDPDF=Y")</f>
        <v>67609</v>
      </c>
      <c r="D52" s="17">
        <f>_xll.BDH("CHTR US Equity","BS_LT_BORROW","FQ2 2018","FQ2 2018","Currency=USD","Period=FQ","BEST_FPERIOD_OVERRIDE=FQ","FILING_STATUS=MR","SCALING_FORMAT=MLN","Sort=A","Dates=H","DateFormat=P","Fill=—","Direction=H","UseDPDF=Y")</f>
        <v>66730</v>
      </c>
      <c r="E52" s="17">
        <f>_xll.BDH("CHTR US Equity","BS_LT_BORROW","FQ3 2018","FQ3 2018","Currency=USD","Period=FQ","BEST_FPERIOD_OVERRIDE=FQ","FILING_STATUS=MR","SCALING_FORMAT=MLN","Sort=A","Dates=H","DateFormat=P","Fill=—","Direction=H","UseDPDF=Y")</f>
        <v>69135</v>
      </c>
      <c r="F52" s="17">
        <f>_xll.BDH("CHTR US Equity","BS_LT_BORROW","FQ4 2018","FQ4 2018","Currency=USD","Period=FQ","BEST_FPERIOD_OVERRIDE=FQ","FILING_STATUS=MR","SCALING_FORMAT=MLN","Sort=A","Dates=H","DateFormat=P","Fill=—","Direction=H","UseDPDF=Y")</f>
        <v>69537</v>
      </c>
      <c r="G52" s="17">
        <f>_xll.BDH("CHTR US Equity","BS_LT_BORROW","FQ1 2019","FQ1 2019","Currency=USD","Period=FQ","BEST_FPERIOD_OVERRIDE=FQ","FILING_STATUS=MR","SCALING_FORMAT=MLN","Sort=A","Dates=H","DateFormat=P","Fill=—","Direction=H","UseDPDF=Y")</f>
        <v>71646</v>
      </c>
      <c r="H52" s="17">
        <f>_xll.BDH("CHTR US Equity","BS_LT_BORROW","FQ2 2019","FQ2 2019","Currency=USD","Period=FQ","BEST_FPERIOD_OVERRIDE=FQ","FILING_STATUS=MR","SCALING_FORMAT=MLN","Sort=A","Dates=H","DateFormat=P","Fill=—","Direction=H","UseDPDF=Y")</f>
        <v>72933</v>
      </c>
      <c r="I52" s="17">
        <f>_xll.BDH("CHTR US Equity","BS_LT_BORROW","FQ3 2019","FQ3 2019","Currency=USD","Period=FQ","BEST_FPERIOD_OVERRIDE=FQ","FILING_STATUS=MR","SCALING_FORMAT=MLN","Sort=A","Dates=H","DateFormat=P","Fill=—","Direction=H","UseDPDF=Y")</f>
        <v>72432</v>
      </c>
      <c r="J52" s="17">
        <f>_xll.BDH("CHTR US Equity","BS_LT_BORROW","FQ4 2019","FQ4 2019","Currency=USD","Period=FQ","BEST_FPERIOD_OVERRIDE=FQ","FILING_STATUS=MR","SCALING_FORMAT=MLN","Sort=A","Dates=H","DateFormat=P","Fill=—","Direction=H","UseDPDF=Y")</f>
        <v>76615</v>
      </c>
      <c r="K52" s="17">
        <f>_xll.BDH("CHTR US Equity","BS_LT_BORROW","FQ1 2020","FQ1 2020","Currency=USD","Period=FQ","BEST_FPERIOD_OVERRIDE=FQ","FILING_STATUS=MR","SCALING_FORMAT=MLN","Sort=A","Dates=H","DateFormat=P","Fill=—","Direction=H","UseDPDF=Y")</f>
        <v>75771</v>
      </c>
      <c r="L52" s="17">
        <f>_xll.BDH("CHTR US Equity","BS_LT_BORROW","FQ2 2020","FQ2 2020","Currency=USD","Period=FQ","BEST_FPERIOD_OVERRIDE=FQ","FILING_STATUS=MR","SCALING_FORMAT=MLN","Sort=A","Dates=H","DateFormat=P","Fill=—","Direction=H","UseDPDF=Y")</f>
        <v>78685</v>
      </c>
    </row>
    <row r="53" spans="1:12" x14ac:dyDescent="0.35">
      <c r="A53" s="16" t="s">
        <v>246</v>
      </c>
      <c r="B53" s="16" t="s">
        <v>245</v>
      </c>
      <c r="C53" s="17">
        <f>_xll.BDH("CHTR US Equity","LONG_TERM_BORROWINGS_DETAILED","FQ1 2018","FQ1 2018","Currency=USD","Period=FQ","BEST_FPERIOD_OVERRIDE=FQ","FILING_STATUS=MR","SCALING_FORMAT=MLN","Sort=A","Dates=H","DateFormat=P","Fill=—","Direction=H","UseDPDF=Y")</f>
        <v>67609</v>
      </c>
      <c r="D53" s="17">
        <f>_xll.BDH("CHTR US Equity","LONG_TERM_BORROWINGS_DETAILED","FQ2 2018","FQ2 2018","Currency=USD","Period=FQ","BEST_FPERIOD_OVERRIDE=FQ","FILING_STATUS=MR","SCALING_FORMAT=MLN","Sort=A","Dates=H","DateFormat=P","Fill=—","Direction=H","UseDPDF=Y")</f>
        <v>66730</v>
      </c>
      <c r="E53" s="17">
        <f>_xll.BDH("CHTR US Equity","LONG_TERM_BORROWINGS_DETAILED","FQ3 2018","FQ3 2018","Currency=USD","Period=FQ","BEST_FPERIOD_OVERRIDE=FQ","FILING_STATUS=MR","SCALING_FORMAT=MLN","Sort=A","Dates=H","DateFormat=P","Fill=—","Direction=H","UseDPDF=Y")</f>
        <v>69135</v>
      </c>
      <c r="F53" s="17">
        <f>_xll.BDH("CHTR US Equity","LONG_TERM_BORROWINGS_DETAILED","FQ4 2018","FQ4 2018","Currency=USD","Period=FQ","BEST_FPERIOD_OVERRIDE=FQ","FILING_STATUS=MR","SCALING_FORMAT=MLN","Sort=A","Dates=H","DateFormat=P","Fill=—","Direction=H","UseDPDF=Y")</f>
        <v>69537</v>
      </c>
      <c r="G53" s="17">
        <f>_xll.BDH("CHTR US Equity","LONG_TERM_BORROWINGS_DETAILED","FQ1 2019","FQ1 2019","Currency=USD","Period=FQ","BEST_FPERIOD_OVERRIDE=FQ","FILING_STATUS=MR","SCALING_FORMAT=MLN","Sort=A","Dates=H","DateFormat=P","Fill=—","Direction=H","UseDPDF=Y")</f>
        <v>70567</v>
      </c>
      <c r="H53" s="17">
        <f>_xll.BDH("CHTR US Equity","LONG_TERM_BORROWINGS_DETAILED","FQ2 2019","FQ2 2019","Currency=USD","Period=FQ","BEST_FPERIOD_OVERRIDE=FQ","FILING_STATUS=MR","SCALING_FORMAT=MLN","Sort=A","Dates=H","DateFormat=P","Fill=—","Direction=H","UseDPDF=Y")</f>
        <v>71784</v>
      </c>
      <c r="I53" s="17">
        <f>_xll.BDH("CHTR US Equity","LONG_TERM_BORROWINGS_DETAILED","FQ3 2019","FQ3 2019","Currency=USD","Period=FQ","BEST_FPERIOD_OVERRIDE=FQ","FILING_STATUS=MR","SCALING_FORMAT=MLN","Sort=A","Dates=H","DateFormat=P","Fill=—","Direction=H","UseDPDF=Y")</f>
        <v>71390</v>
      </c>
      <c r="J53" s="17">
        <f>_xll.BDH("CHTR US Equity","LONG_TERM_BORROWINGS_DETAILED","FQ4 2019","FQ4 2019","Currency=USD","Period=FQ","BEST_FPERIOD_OVERRIDE=FQ","FILING_STATUS=MR","SCALING_FORMAT=MLN","Sort=A","Dates=H","DateFormat=P","Fill=—","Direction=H","UseDPDF=Y")</f>
        <v>75578</v>
      </c>
      <c r="K53" s="17">
        <f>_xll.BDH("CHTR US Equity","LONG_TERM_BORROWINGS_DETAILED","FQ1 2020","FQ1 2020","Currency=USD","Period=FQ","BEST_FPERIOD_OVERRIDE=FQ","FILING_STATUS=MR","SCALING_FORMAT=MLN","Sort=A","Dates=H","DateFormat=P","Fill=—","Direction=H","UseDPDF=Y")</f>
        <v>74727</v>
      </c>
      <c r="L53" s="17">
        <f>_xll.BDH("CHTR US Equity","LONG_TERM_BORROWINGS_DETAILED","FQ2 2020","FQ2 2020","Currency=USD","Period=FQ","BEST_FPERIOD_OVERRIDE=FQ","FILING_STATUS=MR","SCALING_FORMAT=MLN","Sort=A","Dates=H","DateFormat=P","Fill=—","Direction=H","UseDPDF=Y")</f>
        <v>77602</v>
      </c>
    </row>
    <row r="54" spans="1:12" x14ac:dyDescent="0.35">
      <c r="A54" s="16" t="s">
        <v>244</v>
      </c>
      <c r="B54" s="16" t="s">
        <v>243</v>
      </c>
      <c r="C54" s="17" t="str">
        <f>_xll.BDH("CHTR US Equity","LT_CAPITALIZED_LEASE_LIABILITIES","FQ1 2018","FQ1 2018","Currency=USD","Period=FQ","BEST_FPERIOD_OVERRIDE=FQ","FILING_STATUS=MR","SCALING_FORMAT=MLN","Sort=A","Dates=H","DateFormat=P","Fill=—","Direction=H","UseDPDF=Y")</f>
        <v>—</v>
      </c>
      <c r="D54" s="17" t="str">
        <f>_xll.BDH("CHTR US Equity","LT_CAPITALIZED_LEASE_LIABILITIES","FQ2 2018","FQ2 2018","Currency=USD","Period=FQ","BEST_FPERIOD_OVERRIDE=FQ","FILING_STATUS=MR","SCALING_FORMAT=MLN","Sort=A","Dates=H","DateFormat=P","Fill=—","Direction=H","UseDPDF=Y")</f>
        <v>—</v>
      </c>
      <c r="E54" s="17" t="str">
        <f>_xll.BDH("CHTR US Equity","LT_CAPITALIZED_LEASE_LIABILITIES","FQ3 2018","FQ3 2018","Currency=USD","Period=FQ","BEST_FPERIOD_OVERRIDE=FQ","FILING_STATUS=MR","SCALING_FORMAT=MLN","Sort=A","Dates=H","DateFormat=P","Fill=—","Direction=H","UseDPDF=Y")</f>
        <v>—</v>
      </c>
      <c r="F54" s="17" t="str">
        <f>_xll.BDH("CHTR US Equity","LT_CAPITALIZED_LEASE_LIABILITIES","FQ4 2018","FQ4 2018","Currency=USD","Period=FQ","BEST_FPERIOD_OVERRIDE=FQ","FILING_STATUS=MR","SCALING_FORMAT=MLN","Sort=A","Dates=H","DateFormat=P","Fill=—","Direction=H","UseDPDF=Y")</f>
        <v>—</v>
      </c>
      <c r="G54" s="17">
        <f>_xll.BDH("CHTR US Equity","LT_CAPITALIZED_LEASE_LIABILITIES","FQ1 2019","FQ1 2019","Currency=USD","Period=FQ","BEST_FPERIOD_OVERRIDE=FQ","FILING_STATUS=MR","SCALING_FORMAT=MLN","Sort=A","Dates=H","DateFormat=P","Fill=—","Direction=H","UseDPDF=Y")</f>
        <v>1079</v>
      </c>
      <c r="H54" s="17">
        <f>_xll.BDH("CHTR US Equity","LT_CAPITALIZED_LEASE_LIABILITIES","FQ2 2019","FQ2 2019","Currency=USD","Period=FQ","BEST_FPERIOD_OVERRIDE=FQ","FILING_STATUS=MR","SCALING_FORMAT=MLN","Sort=A","Dates=H","DateFormat=P","Fill=—","Direction=H","UseDPDF=Y")</f>
        <v>1149</v>
      </c>
      <c r="I54" s="17">
        <f>_xll.BDH("CHTR US Equity","LT_CAPITALIZED_LEASE_LIABILITIES","FQ3 2019","FQ3 2019","Currency=USD","Period=FQ","BEST_FPERIOD_OVERRIDE=FQ","FILING_STATUS=MR","SCALING_FORMAT=MLN","Sort=A","Dates=H","DateFormat=P","Fill=—","Direction=H","UseDPDF=Y")</f>
        <v>1042</v>
      </c>
      <c r="J54" s="17">
        <f>_xll.BDH("CHTR US Equity","LT_CAPITALIZED_LEASE_LIABILITIES","FQ4 2019","FQ4 2019","Currency=USD","Period=FQ","BEST_FPERIOD_OVERRIDE=FQ","FILING_STATUS=MR","SCALING_FORMAT=MLN","Sort=A","Dates=H","DateFormat=P","Fill=—","Direction=H","UseDPDF=Y")</f>
        <v>1037</v>
      </c>
      <c r="K54" s="17">
        <f>_xll.BDH("CHTR US Equity","LT_CAPITALIZED_LEASE_LIABILITIES","FQ1 2020","FQ1 2020","Currency=USD","Period=FQ","BEST_FPERIOD_OVERRIDE=FQ","FILING_STATUS=MR","SCALING_FORMAT=MLN","Sort=A","Dates=H","DateFormat=P","Fill=—","Direction=H","UseDPDF=Y")</f>
        <v>1044</v>
      </c>
      <c r="L54" s="17">
        <f>_xll.BDH("CHTR US Equity","LT_CAPITALIZED_LEASE_LIABILITIES","FQ2 2020","FQ2 2020","Currency=USD","Period=FQ","BEST_FPERIOD_OVERRIDE=FQ","FILING_STATUS=MR","SCALING_FORMAT=MLN","Sort=A","Dates=H","DateFormat=P","Fill=—","Direction=H","UseDPDF=Y")</f>
        <v>1083</v>
      </c>
    </row>
    <row r="55" spans="1:12" x14ac:dyDescent="0.35">
      <c r="A55" s="8" t="s">
        <v>242</v>
      </c>
      <c r="B55" s="8" t="s">
        <v>241</v>
      </c>
      <c r="C55" s="9" t="str">
        <f>_xll.BDH("CHTR US Equity","LT_CAPITAL_LEASE_OBLIGATIONS","FQ1 2018","FQ1 2018","Currency=USD","Period=FQ","BEST_FPERIOD_OVERRIDE=FQ","FILING_STATUS=MR","SCALING_FORMAT=MLN","Sort=A","Dates=H","DateFormat=P","Fill=—","Direction=H","UseDPDF=Y")</f>
        <v>—</v>
      </c>
      <c r="D55" s="9" t="str">
        <f>_xll.BDH("CHTR US Equity","LT_CAPITAL_LEASE_OBLIGATIONS","FQ2 2018","FQ2 2018","Currency=USD","Period=FQ","BEST_FPERIOD_OVERRIDE=FQ","FILING_STATUS=MR","SCALING_FORMAT=MLN","Sort=A","Dates=H","DateFormat=P","Fill=—","Direction=H","UseDPDF=Y")</f>
        <v>—</v>
      </c>
      <c r="E55" s="9" t="str">
        <f>_xll.BDH("CHTR US Equity","LT_CAPITAL_LEASE_OBLIGATIONS","FQ3 2018","FQ3 2018","Currency=USD","Period=FQ","BEST_FPERIOD_OVERRIDE=FQ","FILING_STATUS=MR","SCALING_FORMAT=MLN","Sort=A","Dates=H","DateFormat=P","Fill=—","Direction=H","UseDPDF=Y")</f>
        <v>—</v>
      </c>
      <c r="F55" s="9" t="str">
        <f>_xll.BDH("CHTR US Equity","LT_CAPITAL_LEASE_OBLIGATIONS","FQ4 2018","FQ4 2018","Currency=USD","Period=FQ","BEST_FPERIOD_OVERRIDE=FQ","FILING_STATUS=MR","SCALING_FORMAT=MLN","Sort=A","Dates=H","DateFormat=P","Fill=—","Direction=H","UseDPDF=Y")</f>
        <v>—</v>
      </c>
      <c r="G55" s="9">
        <f>_xll.BDH("CHTR US Equity","LT_CAPITAL_LEASE_OBLIGATIONS","FQ1 2019","FQ1 2019","Currency=USD","Period=FQ","BEST_FPERIOD_OVERRIDE=FQ","FILING_STATUS=MR","SCALING_FORMAT=MLN","Sort=A","Dates=H","DateFormat=P","Fill=—","Direction=H","UseDPDF=Y")</f>
        <v>98</v>
      </c>
      <c r="H55" s="9">
        <f>_xll.BDH("CHTR US Equity","LT_CAPITAL_LEASE_OBLIGATIONS","FQ2 2019","FQ2 2019","Currency=USD","Period=FQ","BEST_FPERIOD_OVERRIDE=FQ","FILING_STATUS=MR","SCALING_FORMAT=MLN","Sort=A","Dates=H","DateFormat=P","Fill=—","Direction=H","UseDPDF=Y")</f>
        <v>97</v>
      </c>
      <c r="I55" s="9">
        <f>_xll.BDH("CHTR US Equity","LT_CAPITAL_LEASE_OBLIGATIONS","FQ3 2019","FQ3 2019","Currency=USD","Period=FQ","BEST_FPERIOD_OVERRIDE=FQ","FILING_STATUS=MR","SCALING_FORMAT=MLN","Sort=A","Dates=H","DateFormat=P","Fill=—","Direction=H","UseDPDF=Y")</f>
        <v>51</v>
      </c>
      <c r="J55" s="9">
        <f>_xll.BDH("CHTR US Equity","LT_CAPITAL_LEASE_OBLIGATIONS","FQ4 2019","FQ4 2019","Currency=USD","Period=FQ","BEST_FPERIOD_OVERRIDE=FQ","FILING_STATUS=MR","SCALING_FORMAT=MLN","Sort=A","Dates=H","DateFormat=P","Fill=—","Direction=H","UseDPDF=Y")</f>
        <v>58</v>
      </c>
      <c r="K55" s="9">
        <f>_xll.BDH("CHTR US Equity","LT_CAPITAL_LEASE_OBLIGATIONS","FQ1 2020","FQ1 2020","Currency=USD","Period=FQ","BEST_FPERIOD_OVERRIDE=FQ","FILING_STATUS=MR","SCALING_FORMAT=MLN","Sort=A","Dates=H","DateFormat=P","Fill=—","Direction=H","UseDPDF=Y")</f>
        <v>60</v>
      </c>
      <c r="L55" s="9">
        <f>_xll.BDH("CHTR US Equity","LT_CAPITAL_LEASE_OBLIGATIONS","FQ2 2020","FQ2 2020","Currency=USD","Period=FQ","BEST_FPERIOD_OVERRIDE=FQ","FILING_STATUS=MR","SCALING_FORMAT=MLN","Sort=A","Dates=H","DateFormat=P","Fill=—","Direction=H","UseDPDF=Y")</f>
        <v>61</v>
      </c>
    </row>
    <row r="56" spans="1:12" x14ac:dyDescent="0.35">
      <c r="A56" s="8" t="s">
        <v>240</v>
      </c>
      <c r="B56" s="8" t="s">
        <v>239</v>
      </c>
      <c r="C56" s="9" t="str">
        <f>_xll.BDH("CHTR US Equity","BS_LT_OPERATING_LEASE_LIABS","FQ1 2018","FQ1 2018","Currency=USD","Period=FQ","BEST_FPERIOD_OVERRIDE=FQ","FILING_STATUS=MR","SCALING_FORMAT=MLN","Sort=A","Dates=H","DateFormat=P","Fill=—","Direction=H","UseDPDF=Y")</f>
        <v>—</v>
      </c>
      <c r="D56" s="9" t="str">
        <f>_xll.BDH("CHTR US Equity","BS_LT_OPERATING_LEASE_LIABS","FQ2 2018","FQ2 2018","Currency=USD","Period=FQ","BEST_FPERIOD_OVERRIDE=FQ","FILING_STATUS=MR","SCALING_FORMAT=MLN","Sort=A","Dates=H","DateFormat=P","Fill=—","Direction=H","UseDPDF=Y")</f>
        <v>—</v>
      </c>
      <c r="E56" s="9" t="str">
        <f>_xll.BDH("CHTR US Equity","BS_LT_OPERATING_LEASE_LIABS","FQ3 2018","FQ3 2018","Currency=USD","Period=FQ","BEST_FPERIOD_OVERRIDE=FQ","FILING_STATUS=MR","SCALING_FORMAT=MLN","Sort=A","Dates=H","DateFormat=P","Fill=—","Direction=H","UseDPDF=Y")</f>
        <v>—</v>
      </c>
      <c r="F56" s="9" t="str">
        <f>_xll.BDH("CHTR US Equity","BS_LT_OPERATING_LEASE_LIABS","FQ4 2018","FQ4 2018","Currency=USD","Period=FQ","BEST_FPERIOD_OVERRIDE=FQ","FILING_STATUS=MR","SCALING_FORMAT=MLN","Sort=A","Dates=H","DateFormat=P","Fill=—","Direction=H","UseDPDF=Y")</f>
        <v>—</v>
      </c>
      <c r="G56" s="9">
        <f>_xll.BDH("CHTR US Equity","BS_LT_OPERATING_LEASE_LIABS","FQ1 2019","FQ1 2019","Currency=USD","Period=FQ","BEST_FPERIOD_OVERRIDE=FQ","FILING_STATUS=MR","SCALING_FORMAT=MLN","Sort=A","Dates=H","DateFormat=P","Fill=—","Direction=H","UseDPDF=Y")</f>
        <v>981</v>
      </c>
      <c r="H56" s="9">
        <f>_xll.BDH("CHTR US Equity","BS_LT_OPERATING_LEASE_LIABS","FQ2 2019","FQ2 2019","Currency=USD","Period=FQ","BEST_FPERIOD_OVERRIDE=FQ","FILING_STATUS=MR","SCALING_FORMAT=MLN","Sort=A","Dates=H","DateFormat=P","Fill=—","Direction=H","UseDPDF=Y")</f>
        <v>1052</v>
      </c>
      <c r="I56" s="9">
        <f>_xll.BDH("CHTR US Equity","BS_LT_OPERATING_LEASE_LIABS","FQ3 2019","FQ3 2019","Currency=USD","Period=FQ","BEST_FPERIOD_OVERRIDE=FQ","FILING_STATUS=MR","SCALING_FORMAT=MLN","Sort=A","Dates=H","DateFormat=P","Fill=—","Direction=H","UseDPDF=Y")</f>
        <v>991</v>
      </c>
      <c r="J56" s="9">
        <f>_xll.BDH("CHTR US Equity","BS_LT_OPERATING_LEASE_LIABS","FQ4 2019","FQ4 2019","Currency=USD","Period=FQ","BEST_FPERIOD_OVERRIDE=FQ","FILING_STATUS=MR","SCALING_FORMAT=MLN","Sort=A","Dates=H","DateFormat=P","Fill=—","Direction=H","UseDPDF=Y")</f>
        <v>979</v>
      </c>
      <c r="K56" s="9">
        <f>_xll.BDH("CHTR US Equity","BS_LT_OPERATING_LEASE_LIABS","FQ1 2020","FQ1 2020","Currency=USD","Period=FQ","BEST_FPERIOD_OVERRIDE=FQ","FILING_STATUS=MR","SCALING_FORMAT=MLN","Sort=A","Dates=H","DateFormat=P","Fill=—","Direction=H","UseDPDF=Y")</f>
        <v>984</v>
      </c>
      <c r="L56" s="9">
        <f>_xll.BDH("CHTR US Equity","BS_LT_OPERATING_LEASE_LIABS","FQ2 2020","FQ2 2020","Currency=USD","Period=FQ","BEST_FPERIOD_OVERRIDE=FQ","FILING_STATUS=MR","SCALING_FORMAT=MLN","Sort=A","Dates=H","DateFormat=P","Fill=—","Direction=H","UseDPDF=Y")</f>
        <v>1022</v>
      </c>
    </row>
    <row r="57" spans="1:12" x14ac:dyDescent="0.35">
      <c r="A57" s="16" t="s">
        <v>238</v>
      </c>
      <c r="B57" s="16" t="s">
        <v>237</v>
      </c>
      <c r="C57" s="17">
        <f>_xll.BDH("CHTR US Equity","OTHER_NONCUR_LIABS_SUB_DETAILED","FQ1 2018","FQ1 2018","Currency=USD","Period=FQ","BEST_FPERIOD_OVERRIDE=FQ","FILING_STATUS=MR","SCALING_FORMAT=MLN","Sort=A","Dates=H","DateFormat=P","Fill=—","Direction=H","UseDPDF=Y")</f>
        <v>19815</v>
      </c>
      <c r="D57" s="17">
        <f>_xll.BDH("CHTR US Equity","OTHER_NONCUR_LIABS_SUB_DETAILED","FQ2 2018","FQ2 2018","Currency=USD","Period=FQ","BEST_FPERIOD_OVERRIDE=FQ","FILING_STATUS=MR","SCALING_FORMAT=MLN","Sort=A","Dates=H","DateFormat=P","Fill=—","Direction=H","UseDPDF=Y")</f>
        <v>19855</v>
      </c>
      <c r="E57" s="17">
        <f>_xll.BDH("CHTR US Equity","OTHER_NONCUR_LIABS_SUB_DETAILED","FQ3 2018","FQ3 2018","Currency=USD","Period=FQ","BEST_FPERIOD_OVERRIDE=FQ","FILING_STATUS=MR","SCALING_FORMAT=MLN","Sort=A","Dates=H","DateFormat=P","Fill=—","Direction=H","UseDPDF=Y")</f>
        <v>19872</v>
      </c>
      <c r="F57" s="17">
        <f>_xll.BDH("CHTR US Equity","OTHER_NONCUR_LIABS_SUB_DETAILED","FQ4 2018","FQ4 2018","Currency=USD","Period=FQ","BEST_FPERIOD_OVERRIDE=FQ","FILING_STATUS=MR","SCALING_FORMAT=MLN","Sort=A","Dates=H","DateFormat=P","Fill=—","Direction=H","UseDPDF=Y")</f>
        <v>20226</v>
      </c>
      <c r="G57" s="17">
        <f>_xll.BDH("CHTR US Equity","OTHER_NONCUR_LIABS_SUB_DETAILED","FQ1 2019","FQ1 2019","Currency=USD","Period=FQ","BEST_FPERIOD_OVERRIDE=FQ","FILING_STATUS=MR","SCALING_FORMAT=MLN","Sort=A","Dates=H","DateFormat=P","Fill=—","Direction=H","UseDPDF=Y")</f>
        <v>20018</v>
      </c>
      <c r="H57" s="17">
        <f>_xll.BDH("CHTR US Equity","OTHER_NONCUR_LIABS_SUB_DETAILED","FQ2 2019","FQ2 2019","Currency=USD","Period=FQ","BEST_FPERIOD_OVERRIDE=FQ","FILING_STATUS=MR","SCALING_FORMAT=MLN","Sort=A","Dates=H","DateFormat=P","Fill=—","Direction=H","UseDPDF=Y")</f>
        <v>20183</v>
      </c>
      <c r="I57" s="17">
        <f>_xll.BDH("CHTR US Equity","OTHER_NONCUR_LIABS_SUB_DETAILED","FQ3 2019","FQ3 2019","Currency=USD","Period=FQ","BEST_FPERIOD_OVERRIDE=FQ","FILING_STATUS=MR","SCALING_FORMAT=MLN","Sort=A","Dates=H","DateFormat=P","Fill=—","Direction=H","UseDPDF=Y")</f>
        <v>20331</v>
      </c>
      <c r="J57" s="17">
        <f>_xll.BDH("CHTR US Equity","OTHER_NONCUR_LIABS_SUB_DETAILED","FQ4 2019","FQ4 2019","Currency=USD","Period=FQ","BEST_FPERIOD_OVERRIDE=FQ","FILING_STATUS=MR","SCALING_FORMAT=MLN","Sort=A","Dates=H","DateFormat=P","Fill=—","Direction=H","UseDPDF=Y")</f>
        <v>20377</v>
      </c>
      <c r="K57" s="17">
        <f>_xll.BDH("CHTR US Equity","OTHER_NONCUR_LIABS_SUB_DETAILED","FQ1 2020","FQ1 2020","Currency=USD","Period=FQ","BEST_FPERIOD_OVERRIDE=FQ","FILING_STATUS=MR","SCALING_FORMAT=MLN","Sort=A","Dates=H","DateFormat=P","Fill=—","Direction=H","UseDPDF=Y")</f>
        <v>20844</v>
      </c>
      <c r="L57" s="17">
        <f>_xll.BDH("CHTR US Equity","OTHER_NONCUR_LIABS_SUB_DETAILED","FQ2 2020","FQ2 2020","Currency=USD","Period=FQ","BEST_FPERIOD_OVERRIDE=FQ","FILING_STATUS=MR","SCALING_FORMAT=MLN","Sort=A","Dates=H","DateFormat=P","Fill=—","Direction=H","UseDPDF=Y")</f>
        <v>20908</v>
      </c>
    </row>
    <row r="58" spans="1:12" x14ac:dyDescent="0.35">
      <c r="A58" s="16" t="s">
        <v>236</v>
      </c>
      <c r="B58" s="16" t="s">
        <v>235</v>
      </c>
      <c r="C58" s="17" t="str">
        <f>_xll.BDH("CHTR US Equity","BS_ACCRUED_LIABILITIES","FQ1 2018","FQ1 2018","Currency=USD","Period=FQ","BEST_FPERIOD_OVERRIDE=FQ","FILING_STATUS=MR","SCALING_FORMAT=MLN","Sort=A","Dates=H","DateFormat=P","Fill=—","Direction=H","UseDPDF=Y")</f>
        <v>—</v>
      </c>
      <c r="D58" s="17" t="str">
        <f>_xll.BDH("CHTR US Equity","BS_ACCRUED_LIABILITIES","FQ2 2018","FQ2 2018","Currency=USD","Period=FQ","BEST_FPERIOD_OVERRIDE=FQ","FILING_STATUS=MR","SCALING_FORMAT=MLN","Sort=A","Dates=H","DateFormat=P","Fill=—","Direction=H","UseDPDF=Y")</f>
        <v>—</v>
      </c>
      <c r="E58" s="17" t="str">
        <f>_xll.BDH("CHTR US Equity","BS_ACCRUED_LIABILITIES","FQ3 2018","FQ3 2018","Currency=USD","Period=FQ","BEST_FPERIOD_OVERRIDE=FQ","FILING_STATUS=MR","SCALING_FORMAT=MLN","Sort=A","Dates=H","DateFormat=P","Fill=—","Direction=H","UseDPDF=Y")</f>
        <v>—</v>
      </c>
      <c r="F58" s="17">
        <f>_xll.BDH("CHTR US Equity","BS_ACCRUED_LIABILITIES","FQ4 2018","FQ4 2018","Currency=USD","Period=FQ","BEST_FPERIOD_OVERRIDE=FQ","FILING_STATUS=MR","SCALING_FORMAT=MLN","Sort=A","Dates=H","DateFormat=P","Fill=—","Direction=H","UseDPDF=Y")</f>
        <v>0</v>
      </c>
      <c r="G58" s="17" t="str">
        <f>_xll.BDH("CHTR US Equity","BS_ACCRUED_LIABILITIES","FQ1 2019","FQ1 2019","Currency=USD","Period=FQ","BEST_FPERIOD_OVERRIDE=FQ","FILING_STATUS=MR","SCALING_FORMAT=MLN","Sort=A","Dates=H","DateFormat=P","Fill=—","Direction=H","UseDPDF=Y")</f>
        <v>—</v>
      </c>
      <c r="H58" s="17" t="str">
        <f>_xll.BDH("CHTR US Equity","BS_ACCRUED_LIABILITIES","FQ2 2019","FQ2 2019","Currency=USD","Period=FQ","BEST_FPERIOD_OVERRIDE=FQ","FILING_STATUS=MR","SCALING_FORMAT=MLN","Sort=A","Dates=H","DateFormat=P","Fill=—","Direction=H","UseDPDF=Y")</f>
        <v>—</v>
      </c>
      <c r="I58" s="17" t="str">
        <f>_xll.BDH("CHTR US Equity","BS_ACCRUED_LIABILITIES","FQ3 2019","FQ3 2019","Currency=USD","Period=FQ","BEST_FPERIOD_OVERRIDE=FQ","FILING_STATUS=MR","SCALING_FORMAT=MLN","Sort=A","Dates=H","DateFormat=P","Fill=—","Direction=H","UseDPDF=Y")</f>
        <v>—</v>
      </c>
      <c r="J58" s="17">
        <f>_xll.BDH("CHTR US Equity","BS_ACCRUED_LIABILITIES","FQ4 2019","FQ4 2019","Currency=USD","Period=FQ","BEST_FPERIOD_OVERRIDE=FQ","FILING_STATUS=MR","SCALING_FORMAT=MLN","Sort=A","Dates=H","DateFormat=P","Fill=—","Direction=H","UseDPDF=Y")</f>
        <v>0</v>
      </c>
      <c r="K58" s="17" t="str">
        <f>_xll.BDH("CHTR US Equity","BS_ACCRUED_LIABILITIES","FQ1 2020","FQ1 2020","Currency=USD","Period=FQ","BEST_FPERIOD_OVERRIDE=FQ","FILING_STATUS=MR","SCALING_FORMAT=MLN","Sort=A","Dates=H","DateFormat=P","Fill=—","Direction=H","UseDPDF=Y")</f>
        <v>—</v>
      </c>
      <c r="L58" s="17" t="str">
        <f>_xll.BDH("CHTR US Equity","BS_ACCRUED_LIABILITIES","FQ2 2020","FQ2 2020","Currency=USD","Period=FQ","BEST_FPERIOD_OVERRIDE=FQ","FILING_STATUS=MR","SCALING_FORMAT=MLN","Sort=A","Dates=H","DateFormat=P","Fill=—","Direction=H","UseDPDF=Y")</f>
        <v>—</v>
      </c>
    </row>
    <row r="59" spans="1:12" x14ac:dyDescent="0.35">
      <c r="A59" s="16" t="s">
        <v>234</v>
      </c>
      <c r="B59" s="16" t="s">
        <v>233</v>
      </c>
      <c r="C59" s="17" t="str">
        <f>_xll.BDH("CHTR US Equity","PENSION_LIABILITIES","FQ1 2018","FQ1 2018","Currency=USD","Period=FQ","BEST_FPERIOD_OVERRIDE=FQ","FILING_STATUS=MR","SCALING_FORMAT=MLN","Sort=A","Dates=H","DateFormat=P","Fill=—","Direction=H","UseDPDF=Y")</f>
        <v>—</v>
      </c>
      <c r="D59" s="17" t="str">
        <f>_xll.BDH("CHTR US Equity","PENSION_LIABILITIES","FQ2 2018","FQ2 2018","Currency=USD","Period=FQ","BEST_FPERIOD_OVERRIDE=FQ","FILING_STATUS=MR","SCALING_FORMAT=MLN","Sort=A","Dates=H","DateFormat=P","Fill=—","Direction=H","UseDPDF=Y")</f>
        <v>—</v>
      </c>
      <c r="E59" s="17" t="str">
        <f>_xll.BDH("CHTR US Equity","PENSION_LIABILITIES","FQ3 2018","FQ3 2018","Currency=USD","Period=FQ","BEST_FPERIOD_OVERRIDE=FQ","FILING_STATUS=MR","SCALING_FORMAT=MLN","Sort=A","Dates=H","DateFormat=P","Fill=—","Direction=H","UseDPDF=Y")</f>
        <v>—</v>
      </c>
      <c r="F59" s="17">
        <f>_xll.BDH("CHTR US Equity","PENSION_LIABILITIES","FQ4 2018","FQ4 2018","Currency=USD","Period=FQ","BEST_FPERIOD_OVERRIDE=FQ","FILING_STATUS=MR","SCALING_FORMAT=MLN","Sort=A","Dates=H","DateFormat=P","Fill=—","Direction=H","UseDPDF=Y")</f>
        <v>0</v>
      </c>
      <c r="G59" s="17" t="str">
        <f>_xll.BDH("CHTR US Equity","PENSION_LIABILITIES","FQ1 2019","FQ1 2019","Currency=USD","Period=FQ","BEST_FPERIOD_OVERRIDE=FQ","FILING_STATUS=MR","SCALING_FORMAT=MLN","Sort=A","Dates=H","DateFormat=P","Fill=—","Direction=H","UseDPDF=Y")</f>
        <v>—</v>
      </c>
      <c r="H59" s="17" t="str">
        <f>_xll.BDH("CHTR US Equity","PENSION_LIABILITIES","FQ2 2019","FQ2 2019","Currency=USD","Period=FQ","BEST_FPERIOD_OVERRIDE=FQ","FILING_STATUS=MR","SCALING_FORMAT=MLN","Sort=A","Dates=H","DateFormat=P","Fill=—","Direction=H","UseDPDF=Y")</f>
        <v>—</v>
      </c>
      <c r="I59" s="17" t="str">
        <f>_xll.BDH("CHTR US Equity","PENSION_LIABILITIES","FQ3 2019","FQ3 2019","Currency=USD","Period=FQ","BEST_FPERIOD_OVERRIDE=FQ","FILING_STATUS=MR","SCALING_FORMAT=MLN","Sort=A","Dates=H","DateFormat=P","Fill=—","Direction=H","UseDPDF=Y")</f>
        <v>—</v>
      </c>
      <c r="J59" s="17">
        <f>_xll.BDH("CHTR US Equity","PENSION_LIABILITIES","FQ4 2019","FQ4 2019","Currency=USD","Period=FQ","BEST_FPERIOD_OVERRIDE=FQ","FILING_STATUS=MR","SCALING_FORMAT=MLN","Sort=A","Dates=H","DateFormat=P","Fill=—","Direction=H","UseDPDF=Y")</f>
        <v>0</v>
      </c>
      <c r="K59" s="17" t="str">
        <f>_xll.BDH("CHTR US Equity","PENSION_LIABILITIES","FQ1 2020","FQ1 2020","Currency=USD","Period=FQ","BEST_FPERIOD_OVERRIDE=FQ","FILING_STATUS=MR","SCALING_FORMAT=MLN","Sort=A","Dates=H","DateFormat=P","Fill=—","Direction=H","UseDPDF=Y")</f>
        <v>—</v>
      </c>
      <c r="L59" s="17" t="str">
        <f>_xll.BDH("CHTR US Equity","PENSION_LIABILITIES","FQ2 2020","FQ2 2020","Currency=USD","Period=FQ","BEST_FPERIOD_OVERRIDE=FQ","FILING_STATUS=MR","SCALING_FORMAT=MLN","Sort=A","Dates=H","DateFormat=P","Fill=—","Direction=H","UseDPDF=Y")</f>
        <v>—</v>
      </c>
    </row>
    <row r="60" spans="1:12" x14ac:dyDescent="0.35">
      <c r="A60" s="8" t="s">
        <v>232</v>
      </c>
      <c r="B60" s="8" t="s">
        <v>231</v>
      </c>
      <c r="C60" s="9" t="str">
        <f>_xll.BDH("CHTR US Equity","BS_PENSIONS_LT_LIABS","FQ1 2018","FQ1 2018","Currency=USD","Period=FQ","BEST_FPERIOD_OVERRIDE=FQ","FILING_STATUS=MR","SCALING_FORMAT=MLN","Sort=A","Dates=H","DateFormat=P","Fill=—","Direction=H","UseDPDF=Y")</f>
        <v>—</v>
      </c>
      <c r="D60" s="9" t="str">
        <f>_xll.BDH("CHTR US Equity","BS_PENSIONS_LT_LIABS","FQ2 2018","FQ2 2018","Currency=USD","Period=FQ","BEST_FPERIOD_OVERRIDE=FQ","FILING_STATUS=MR","SCALING_FORMAT=MLN","Sort=A","Dates=H","DateFormat=P","Fill=—","Direction=H","UseDPDF=Y")</f>
        <v>—</v>
      </c>
      <c r="E60" s="9" t="str">
        <f>_xll.BDH("CHTR US Equity","BS_PENSIONS_LT_LIABS","FQ3 2018","FQ3 2018","Currency=USD","Period=FQ","BEST_FPERIOD_OVERRIDE=FQ","FILING_STATUS=MR","SCALING_FORMAT=MLN","Sort=A","Dates=H","DateFormat=P","Fill=—","Direction=H","UseDPDF=Y")</f>
        <v>—</v>
      </c>
      <c r="F60" s="9">
        <f>_xll.BDH("CHTR US Equity","BS_PENSIONS_LT_LIABS","FQ4 2018","FQ4 2018","Currency=USD","Period=FQ","BEST_FPERIOD_OVERRIDE=FQ","FILING_STATUS=MR","SCALING_FORMAT=MLN","Sort=A","Dates=H","DateFormat=P","Fill=—","Direction=H","UseDPDF=Y")</f>
        <v>0</v>
      </c>
      <c r="G60" s="9" t="str">
        <f>_xll.BDH("CHTR US Equity","BS_PENSIONS_LT_LIABS","FQ1 2019","FQ1 2019","Currency=USD","Period=FQ","BEST_FPERIOD_OVERRIDE=FQ","FILING_STATUS=MR","SCALING_FORMAT=MLN","Sort=A","Dates=H","DateFormat=P","Fill=—","Direction=H","UseDPDF=Y")</f>
        <v>—</v>
      </c>
      <c r="H60" s="9" t="str">
        <f>_xll.BDH("CHTR US Equity","BS_PENSIONS_LT_LIABS","FQ2 2019","FQ2 2019","Currency=USD","Period=FQ","BEST_FPERIOD_OVERRIDE=FQ","FILING_STATUS=MR","SCALING_FORMAT=MLN","Sort=A","Dates=H","DateFormat=P","Fill=—","Direction=H","UseDPDF=Y")</f>
        <v>—</v>
      </c>
      <c r="I60" s="9" t="str">
        <f>_xll.BDH("CHTR US Equity","BS_PENSIONS_LT_LIABS","FQ3 2019","FQ3 2019","Currency=USD","Period=FQ","BEST_FPERIOD_OVERRIDE=FQ","FILING_STATUS=MR","SCALING_FORMAT=MLN","Sort=A","Dates=H","DateFormat=P","Fill=—","Direction=H","UseDPDF=Y")</f>
        <v>—</v>
      </c>
      <c r="J60" s="9">
        <f>_xll.BDH("CHTR US Equity","BS_PENSIONS_LT_LIABS","FQ4 2019","FQ4 2019","Currency=USD","Period=FQ","BEST_FPERIOD_OVERRIDE=FQ","FILING_STATUS=MR","SCALING_FORMAT=MLN","Sort=A","Dates=H","DateFormat=P","Fill=—","Direction=H","UseDPDF=Y")</f>
        <v>0</v>
      </c>
      <c r="K60" s="9" t="str">
        <f>_xll.BDH("CHTR US Equity","BS_PENSIONS_LT_LIABS","FQ1 2020","FQ1 2020","Currency=USD","Period=FQ","BEST_FPERIOD_OVERRIDE=FQ","FILING_STATUS=MR","SCALING_FORMAT=MLN","Sort=A","Dates=H","DateFormat=P","Fill=—","Direction=H","UseDPDF=Y")</f>
        <v>—</v>
      </c>
      <c r="L60" s="9" t="str">
        <f>_xll.BDH("CHTR US Equity","BS_PENSIONS_LT_LIABS","FQ2 2020","FQ2 2020","Currency=USD","Period=FQ","BEST_FPERIOD_OVERRIDE=FQ","FILING_STATUS=MR","SCALING_FORMAT=MLN","Sort=A","Dates=H","DateFormat=P","Fill=—","Direction=H","UseDPDF=Y")</f>
        <v>—</v>
      </c>
    </row>
    <row r="61" spans="1:12" x14ac:dyDescent="0.35">
      <c r="A61" s="8" t="s">
        <v>230</v>
      </c>
      <c r="B61" s="8" t="s">
        <v>229</v>
      </c>
      <c r="C61" s="9" t="str">
        <f>_xll.BDH("CHTR US Equity","BS_OPRB_LT_LIABS","FQ1 2018","FQ1 2018","Currency=USD","Period=FQ","BEST_FPERIOD_OVERRIDE=FQ","FILING_STATUS=MR","SCALING_FORMAT=MLN","Sort=A","Dates=H","DateFormat=P","Fill=—","Direction=H","UseDPDF=Y")</f>
        <v>—</v>
      </c>
      <c r="D61" s="9" t="str">
        <f>_xll.BDH("CHTR US Equity","BS_OPRB_LT_LIABS","FQ2 2018","FQ2 2018","Currency=USD","Period=FQ","BEST_FPERIOD_OVERRIDE=FQ","FILING_STATUS=MR","SCALING_FORMAT=MLN","Sort=A","Dates=H","DateFormat=P","Fill=—","Direction=H","UseDPDF=Y")</f>
        <v>—</v>
      </c>
      <c r="E61" s="9" t="str">
        <f>_xll.BDH("CHTR US Equity","BS_OPRB_LT_LIABS","FQ3 2018","FQ3 2018","Currency=USD","Period=FQ","BEST_FPERIOD_OVERRIDE=FQ","FILING_STATUS=MR","SCALING_FORMAT=MLN","Sort=A","Dates=H","DateFormat=P","Fill=—","Direction=H","UseDPDF=Y")</f>
        <v>—</v>
      </c>
      <c r="F61" s="9">
        <f>_xll.BDH("CHTR US Equity","BS_OPRB_LT_LIABS","FQ4 2018","FQ4 2018","Currency=USD","Period=FQ","BEST_FPERIOD_OVERRIDE=FQ","FILING_STATUS=MR","SCALING_FORMAT=MLN","Sort=A","Dates=H","DateFormat=P","Fill=—","Direction=H","UseDPDF=Y")</f>
        <v>0</v>
      </c>
      <c r="G61" s="9" t="str">
        <f>_xll.BDH("CHTR US Equity","BS_OPRB_LT_LIABS","FQ1 2019","FQ1 2019","Currency=USD","Period=FQ","BEST_FPERIOD_OVERRIDE=FQ","FILING_STATUS=MR","SCALING_FORMAT=MLN","Sort=A","Dates=H","DateFormat=P","Fill=—","Direction=H","UseDPDF=Y")</f>
        <v>—</v>
      </c>
      <c r="H61" s="9" t="str">
        <f>_xll.BDH("CHTR US Equity","BS_OPRB_LT_LIABS","FQ2 2019","FQ2 2019","Currency=USD","Period=FQ","BEST_FPERIOD_OVERRIDE=FQ","FILING_STATUS=MR","SCALING_FORMAT=MLN","Sort=A","Dates=H","DateFormat=P","Fill=—","Direction=H","UseDPDF=Y")</f>
        <v>—</v>
      </c>
      <c r="I61" s="9" t="str">
        <f>_xll.BDH("CHTR US Equity","BS_OPRB_LT_LIABS","FQ3 2019","FQ3 2019","Currency=USD","Period=FQ","BEST_FPERIOD_OVERRIDE=FQ","FILING_STATUS=MR","SCALING_FORMAT=MLN","Sort=A","Dates=H","DateFormat=P","Fill=—","Direction=H","UseDPDF=Y")</f>
        <v>—</v>
      </c>
      <c r="J61" s="9">
        <f>_xll.BDH("CHTR US Equity","BS_OPRB_LT_LIABS","FQ4 2019","FQ4 2019","Currency=USD","Period=FQ","BEST_FPERIOD_OVERRIDE=FQ","FILING_STATUS=MR","SCALING_FORMAT=MLN","Sort=A","Dates=H","DateFormat=P","Fill=—","Direction=H","UseDPDF=Y")</f>
        <v>0</v>
      </c>
      <c r="K61" s="9" t="str">
        <f>_xll.BDH("CHTR US Equity","BS_OPRB_LT_LIABS","FQ1 2020","FQ1 2020","Currency=USD","Period=FQ","BEST_FPERIOD_OVERRIDE=FQ","FILING_STATUS=MR","SCALING_FORMAT=MLN","Sort=A","Dates=H","DateFormat=P","Fill=—","Direction=H","UseDPDF=Y")</f>
        <v>—</v>
      </c>
      <c r="L61" s="9" t="str">
        <f>_xll.BDH("CHTR US Equity","BS_OPRB_LT_LIABS","FQ2 2020","FQ2 2020","Currency=USD","Period=FQ","BEST_FPERIOD_OVERRIDE=FQ","FILING_STATUS=MR","SCALING_FORMAT=MLN","Sort=A","Dates=H","DateFormat=P","Fill=—","Direction=H","UseDPDF=Y")</f>
        <v>—</v>
      </c>
    </row>
    <row r="62" spans="1:12" x14ac:dyDescent="0.35">
      <c r="A62" s="16" t="s">
        <v>228</v>
      </c>
      <c r="B62" s="16" t="s">
        <v>227</v>
      </c>
      <c r="C62" s="17" t="str">
        <f>_xll.BDH("CHTR US Equity","LT_DEFERRED_REVENUE","FQ1 2018","FQ1 2018","Currency=USD","Period=FQ","BEST_FPERIOD_OVERRIDE=FQ","FILING_STATUS=MR","SCALING_FORMAT=MLN","Sort=A","Dates=H","DateFormat=P","Fill=—","Direction=H","UseDPDF=Y")</f>
        <v>—</v>
      </c>
      <c r="D62" s="17" t="str">
        <f>_xll.BDH("CHTR US Equity","LT_DEFERRED_REVENUE","FQ2 2018","FQ2 2018","Currency=USD","Period=FQ","BEST_FPERIOD_OVERRIDE=FQ","FILING_STATUS=MR","SCALING_FORMAT=MLN","Sort=A","Dates=H","DateFormat=P","Fill=—","Direction=H","UseDPDF=Y")</f>
        <v>—</v>
      </c>
      <c r="E62" s="17" t="str">
        <f>_xll.BDH("CHTR US Equity","LT_DEFERRED_REVENUE","FQ3 2018","FQ3 2018","Currency=USD","Period=FQ","BEST_FPERIOD_OVERRIDE=FQ","FILING_STATUS=MR","SCALING_FORMAT=MLN","Sort=A","Dates=H","DateFormat=P","Fill=—","Direction=H","UseDPDF=Y")</f>
        <v>—</v>
      </c>
      <c r="F62" s="17">
        <f>_xll.BDH("CHTR US Equity","LT_DEFERRED_REVENUE","FQ4 2018","FQ4 2018","Currency=USD","Period=FQ","BEST_FPERIOD_OVERRIDE=FQ","FILING_STATUS=MR","SCALING_FORMAT=MLN","Sort=A","Dates=H","DateFormat=P","Fill=—","Direction=H","UseDPDF=Y")</f>
        <v>0</v>
      </c>
      <c r="G62" s="17" t="str">
        <f>_xll.BDH("CHTR US Equity","LT_DEFERRED_REVENUE","FQ1 2019","FQ1 2019","Currency=USD","Period=FQ","BEST_FPERIOD_OVERRIDE=FQ","FILING_STATUS=MR","SCALING_FORMAT=MLN","Sort=A","Dates=H","DateFormat=P","Fill=—","Direction=H","UseDPDF=Y")</f>
        <v>—</v>
      </c>
      <c r="H62" s="17" t="str">
        <f>_xll.BDH("CHTR US Equity","LT_DEFERRED_REVENUE","FQ2 2019","FQ2 2019","Currency=USD","Period=FQ","BEST_FPERIOD_OVERRIDE=FQ","FILING_STATUS=MR","SCALING_FORMAT=MLN","Sort=A","Dates=H","DateFormat=P","Fill=—","Direction=H","UseDPDF=Y")</f>
        <v>—</v>
      </c>
      <c r="I62" s="17" t="str">
        <f>_xll.BDH("CHTR US Equity","LT_DEFERRED_REVENUE","FQ3 2019","FQ3 2019","Currency=USD","Period=FQ","BEST_FPERIOD_OVERRIDE=FQ","FILING_STATUS=MR","SCALING_FORMAT=MLN","Sort=A","Dates=H","DateFormat=P","Fill=—","Direction=H","UseDPDF=Y")</f>
        <v>—</v>
      </c>
      <c r="J62" s="17">
        <f>_xll.BDH("CHTR US Equity","LT_DEFERRED_REVENUE","FQ4 2019","FQ4 2019","Currency=USD","Period=FQ","BEST_FPERIOD_OVERRIDE=FQ","FILING_STATUS=MR","SCALING_FORMAT=MLN","Sort=A","Dates=H","DateFormat=P","Fill=—","Direction=H","UseDPDF=Y")</f>
        <v>0</v>
      </c>
      <c r="K62" s="17" t="str">
        <f>_xll.BDH("CHTR US Equity","LT_DEFERRED_REVENUE","FQ1 2020","FQ1 2020","Currency=USD","Period=FQ","BEST_FPERIOD_OVERRIDE=FQ","FILING_STATUS=MR","SCALING_FORMAT=MLN","Sort=A","Dates=H","DateFormat=P","Fill=—","Direction=H","UseDPDF=Y")</f>
        <v>—</v>
      </c>
      <c r="L62" s="17" t="str">
        <f>_xll.BDH("CHTR US Equity","LT_DEFERRED_REVENUE","FQ2 2020","FQ2 2020","Currency=USD","Period=FQ","BEST_FPERIOD_OVERRIDE=FQ","FILING_STATUS=MR","SCALING_FORMAT=MLN","Sort=A","Dates=H","DateFormat=P","Fill=—","Direction=H","UseDPDF=Y")</f>
        <v>—</v>
      </c>
    </row>
    <row r="63" spans="1:12" x14ac:dyDescent="0.35">
      <c r="A63" s="16" t="s">
        <v>226</v>
      </c>
      <c r="B63" s="16" t="s">
        <v>225</v>
      </c>
      <c r="C63" s="17">
        <f>_xll.BDH("CHTR US Equity","BS_DEFERRED_TAX_LIABILITIES_LT","FQ1 2018","FQ1 2018","Currency=USD","Period=FQ","BEST_FPERIOD_OVERRIDE=FQ","FILING_STATUS=MR","SCALING_FORMAT=MLN","Sort=A","Dates=H","DateFormat=P","Fill=—","Direction=H","UseDPDF=Y")</f>
        <v>17351</v>
      </c>
      <c r="D63" s="17">
        <f>_xll.BDH("CHTR US Equity","BS_DEFERRED_TAX_LIABILITIES_LT","FQ2 2018","FQ2 2018","Currency=USD","Period=FQ","BEST_FPERIOD_OVERRIDE=FQ","FILING_STATUS=MR","SCALING_FORMAT=MLN","Sort=A","Dates=H","DateFormat=P","Fill=—","Direction=H","UseDPDF=Y")</f>
        <v>17376</v>
      </c>
      <c r="E63" s="17">
        <f>_xll.BDH("CHTR US Equity","BS_DEFERRED_TAX_LIABILITIES_LT","FQ3 2018","FQ3 2018","Currency=USD","Period=FQ","BEST_FPERIOD_OVERRIDE=FQ","FILING_STATUS=MR","SCALING_FORMAT=MLN","Sort=A","Dates=H","DateFormat=P","Fill=—","Direction=H","UseDPDF=Y")</f>
        <v>17421</v>
      </c>
      <c r="F63" s="17">
        <f>_xll.BDH("CHTR US Equity","BS_DEFERRED_TAX_LIABILITIES_LT","FQ4 2018","FQ4 2018","Currency=USD","Period=FQ","BEST_FPERIOD_OVERRIDE=FQ","FILING_STATUS=MR","SCALING_FORMAT=MLN","Sort=A","Dates=H","DateFormat=P","Fill=—","Direction=H","UseDPDF=Y")</f>
        <v>17389</v>
      </c>
      <c r="G63" s="17">
        <f>_xll.BDH("CHTR US Equity","BS_DEFERRED_TAX_LIABILITIES_LT","FQ1 2019","FQ1 2019","Currency=USD","Period=FQ","BEST_FPERIOD_OVERRIDE=FQ","FILING_STATUS=MR","SCALING_FORMAT=MLN","Sort=A","Dates=H","DateFormat=P","Fill=—","Direction=H","UseDPDF=Y")</f>
        <v>17473</v>
      </c>
      <c r="H63" s="17">
        <f>_xll.BDH("CHTR US Equity","BS_DEFERRED_TAX_LIABILITIES_LT","FQ2 2019","FQ2 2019","Currency=USD","Period=FQ","BEST_FPERIOD_OVERRIDE=FQ","FILING_STATUS=MR","SCALING_FORMAT=MLN","Sort=A","Dates=H","DateFormat=P","Fill=—","Direction=H","UseDPDF=Y")</f>
        <v>17522</v>
      </c>
      <c r="I63" s="17">
        <f>_xll.BDH("CHTR US Equity","BS_DEFERRED_TAX_LIABILITIES_LT","FQ3 2019","FQ3 2019","Currency=USD","Period=FQ","BEST_FPERIOD_OVERRIDE=FQ","FILING_STATUS=MR","SCALING_FORMAT=MLN","Sort=A","Dates=H","DateFormat=P","Fill=—","Direction=H","UseDPDF=Y")</f>
        <v>17609</v>
      </c>
      <c r="J63" s="17">
        <f>_xll.BDH("CHTR US Equity","BS_DEFERRED_TAX_LIABILITIES_LT","FQ4 2019","FQ4 2019","Currency=USD","Period=FQ","BEST_FPERIOD_OVERRIDE=FQ","FILING_STATUS=MR","SCALING_FORMAT=MLN","Sort=A","Dates=H","DateFormat=P","Fill=—","Direction=H","UseDPDF=Y")</f>
        <v>17711</v>
      </c>
      <c r="K63" s="17">
        <f>_xll.BDH("CHTR US Equity","BS_DEFERRED_TAX_LIABILITIES_LT","FQ1 2020","FQ1 2020","Currency=USD","Period=FQ","BEST_FPERIOD_OVERRIDE=FQ","FILING_STATUS=MR","SCALING_FORMAT=MLN","Sort=A","Dates=H","DateFormat=P","Fill=—","Direction=H","UseDPDF=Y")</f>
        <v>17665</v>
      </c>
      <c r="L63" s="17">
        <f>_xll.BDH("CHTR US Equity","BS_DEFERRED_TAX_LIABILITIES_LT","FQ2 2020","FQ2 2020","Currency=USD","Period=FQ","BEST_FPERIOD_OVERRIDE=FQ","FILING_STATUS=MR","SCALING_FORMAT=MLN","Sort=A","Dates=H","DateFormat=P","Fill=—","Direction=H","UseDPDF=Y")</f>
        <v>17789</v>
      </c>
    </row>
    <row r="64" spans="1:12" x14ac:dyDescent="0.35">
      <c r="A64" s="16" t="s">
        <v>224</v>
      </c>
      <c r="B64" s="16" t="s">
        <v>223</v>
      </c>
      <c r="C64" s="17" t="str">
        <f>_xll.BDH("CHTR US Equity","BS_DERIVATIVE_&amp;_HEDGING_LIABS_LT","FQ1 2018","FQ1 2018","Currency=USD","Period=FQ","BEST_FPERIOD_OVERRIDE=FQ","FILING_STATUS=MR","SCALING_FORMAT=MLN","Sort=A","Dates=H","DateFormat=P","Fill=—","Direction=H","UseDPDF=Y")</f>
        <v>—</v>
      </c>
      <c r="D64" s="17" t="str">
        <f>_xll.BDH("CHTR US Equity","BS_DERIVATIVE_&amp;_HEDGING_LIABS_LT","FQ2 2018","FQ2 2018","Currency=USD","Period=FQ","BEST_FPERIOD_OVERRIDE=FQ","FILING_STATUS=MR","SCALING_FORMAT=MLN","Sort=A","Dates=H","DateFormat=P","Fill=—","Direction=H","UseDPDF=Y")</f>
        <v>—</v>
      </c>
      <c r="E64" s="17" t="str">
        <f>_xll.BDH("CHTR US Equity","BS_DERIVATIVE_&amp;_HEDGING_LIABS_LT","FQ3 2018","FQ3 2018","Currency=USD","Period=FQ","BEST_FPERIOD_OVERRIDE=FQ","FILING_STATUS=MR","SCALING_FORMAT=MLN","Sort=A","Dates=H","DateFormat=P","Fill=—","Direction=H","UseDPDF=Y")</f>
        <v>—</v>
      </c>
      <c r="F64" s="17">
        <f>_xll.BDH("CHTR US Equity","BS_DERIVATIVE_&amp;_HEDGING_LIABS_LT","FQ4 2018","FQ4 2018","Currency=USD","Period=FQ","BEST_FPERIOD_OVERRIDE=FQ","FILING_STATUS=MR","SCALING_FORMAT=MLN","Sort=A","Dates=H","DateFormat=P","Fill=—","Direction=H","UseDPDF=Y")</f>
        <v>0</v>
      </c>
      <c r="G64" s="17" t="str">
        <f>_xll.BDH("CHTR US Equity","BS_DERIVATIVE_&amp;_HEDGING_LIABS_LT","FQ1 2019","FQ1 2019","Currency=USD","Period=FQ","BEST_FPERIOD_OVERRIDE=FQ","FILING_STATUS=MR","SCALING_FORMAT=MLN","Sort=A","Dates=H","DateFormat=P","Fill=—","Direction=H","UseDPDF=Y")</f>
        <v>—</v>
      </c>
      <c r="H64" s="17" t="str">
        <f>_xll.BDH("CHTR US Equity","BS_DERIVATIVE_&amp;_HEDGING_LIABS_LT","FQ2 2019","FQ2 2019","Currency=USD","Period=FQ","BEST_FPERIOD_OVERRIDE=FQ","FILING_STATUS=MR","SCALING_FORMAT=MLN","Sort=A","Dates=H","DateFormat=P","Fill=—","Direction=H","UseDPDF=Y")</f>
        <v>—</v>
      </c>
      <c r="I64" s="17" t="str">
        <f>_xll.BDH("CHTR US Equity","BS_DERIVATIVE_&amp;_HEDGING_LIABS_LT","FQ3 2019","FQ3 2019","Currency=USD","Period=FQ","BEST_FPERIOD_OVERRIDE=FQ","FILING_STATUS=MR","SCALING_FORMAT=MLN","Sort=A","Dates=H","DateFormat=P","Fill=—","Direction=H","UseDPDF=Y")</f>
        <v>—</v>
      </c>
      <c r="J64" s="17">
        <f>_xll.BDH("CHTR US Equity","BS_DERIVATIVE_&amp;_HEDGING_LIABS_LT","FQ4 2019","FQ4 2019","Currency=USD","Period=FQ","BEST_FPERIOD_OVERRIDE=FQ","FILING_STATUS=MR","SCALING_FORMAT=MLN","Sort=A","Dates=H","DateFormat=P","Fill=—","Direction=H","UseDPDF=Y")</f>
        <v>0</v>
      </c>
      <c r="K64" s="17" t="str">
        <f>_xll.BDH("CHTR US Equity","BS_DERIVATIVE_&amp;_HEDGING_LIABS_LT","FQ1 2020","FQ1 2020","Currency=USD","Period=FQ","BEST_FPERIOD_OVERRIDE=FQ","FILING_STATUS=MR","SCALING_FORMAT=MLN","Sort=A","Dates=H","DateFormat=P","Fill=—","Direction=H","UseDPDF=Y")</f>
        <v>—</v>
      </c>
      <c r="L64" s="17" t="str">
        <f>_xll.BDH("CHTR US Equity","BS_DERIVATIVE_&amp;_HEDGING_LIABS_LT","FQ2 2020","FQ2 2020","Currency=USD","Period=FQ","BEST_FPERIOD_OVERRIDE=FQ","FILING_STATUS=MR","SCALING_FORMAT=MLN","Sort=A","Dates=H","DateFormat=P","Fill=—","Direction=H","UseDPDF=Y")</f>
        <v>—</v>
      </c>
    </row>
    <row r="65" spans="1:12" x14ac:dyDescent="0.35">
      <c r="A65" s="16" t="s">
        <v>222</v>
      </c>
      <c r="B65" s="16" t="s">
        <v>221</v>
      </c>
      <c r="C65" s="17">
        <f>_xll.BDH("CHTR US Equity","OTHER_NONCURRENT_LIABS_DETAILED","FQ1 2018","FQ1 2018","Currency=USD","Period=FQ","BEST_FPERIOD_OVERRIDE=FQ","FILING_STATUS=MR","SCALING_FORMAT=MLN","Sort=A","Dates=H","DateFormat=P","Fill=—","Direction=H","UseDPDF=Y")</f>
        <v>2464</v>
      </c>
      <c r="D65" s="17">
        <f>_xll.BDH("CHTR US Equity","OTHER_NONCURRENT_LIABS_DETAILED","FQ2 2018","FQ2 2018","Currency=USD","Period=FQ","BEST_FPERIOD_OVERRIDE=FQ","FILING_STATUS=MR","SCALING_FORMAT=MLN","Sort=A","Dates=H","DateFormat=P","Fill=—","Direction=H","UseDPDF=Y")</f>
        <v>2479</v>
      </c>
      <c r="E65" s="17">
        <f>_xll.BDH("CHTR US Equity","OTHER_NONCURRENT_LIABS_DETAILED","FQ3 2018","FQ3 2018","Currency=USD","Period=FQ","BEST_FPERIOD_OVERRIDE=FQ","FILING_STATUS=MR","SCALING_FORMAT=MLN","Sort=A","Dates=H","DateFormat=P","Fill=—","Direction=H","UseDPDF=Y")</f>
        <v>2451</v>
      </c>
      <c r="F65" s="17">
        <f>_xll.BDH("CHTR US Equity","OTHER_NONCURRENT_LIABS_DETAILED","FQ4 2018","FQ4 2018","Currency=USD","Period=FQ","BEST_FPERIOD_OVERRIDE=FQ","FILING_STATUS=MR","SCALING_FORMAT=MLN","Sort=A","Dates=H","DateFormat=P","Fill=—","Direction=H","UseDPDF=Y")</f>
        <v>2837</v>
      </c>
      <c r="G65" s="17">
        <f>_xll.BDH("CHTR US Equity","OTHER_NONCURRENT_LIABS_DETAILED","FQ1 2019","FQ1 2019","Currency=USD","Period=FQ","BEST_FPERIOD_OVERRIDE=FQ","FILING_STATUS=MR","SCALING_FORMAT=MLN","Sort=A","Dates=H","DateFormat=P","Fill=—","Direction=H","UseDPDF=Y")</f>
        <v>2545</v>
      </c>
      <c r="H65" s="17">
        <f>_xll.BDH("CHTR US Equity","OTHER_NONCURRENT_LIABS_DETAILED","FQ2 2019","FQ2 2019","Currency=USD","Period=FQ","BEST_FPERIOD_OVERRIDE=FQ","FILING_STATUS=MR","SCALING_FORMAT=MLN","Sort=A","Dates=H","DateFormat=P","Fill=—","Direction=H","UseDPDF=Y")</f>
        <v>2661</v>
      </c>
      <c r="I65" s="17">
        <f>_xll.BDH("CHTR US Equity","OTHER_NONCURRENT_LIABS_DETAILED","FQ3 2019","FQ3 2019","Currency=USD","Period=FQ","BEST_FPERIOD_OVERRIDE=FQ","FILING_STATUS=MR","SCALING_FORMAT=MLN","Sort=A","Dates=H","DateFormat=P","Fill=—","Direction=H","UseDPDF=Y")</f>
        <v>2722</v>
      </c>
      <c r="J65" s="17">
        <f>_xll.BDH("CHTR US Equity","OTHER_NONCURRENT_LIABS_DETAILED","FQ4 2019","FQ4 2019","Currency=USD","Period=FQ","BEST_FPERIOD_OVERRIDE=FQ","FILING_STATUS=MR","SCALING_FORMAT=MLN","Sort=A","Dates=H","DateFormat=P","Fill=—","Direction=H","UseDPDF=Y")</f>
        <v>2666</v>
      </c>
      <c r="K65" s="17">
        <f>_xll.BDH("CHTR US Equity","OTHER_NONCURRENT_LIABS_DETAILED","FQ1 2020","FQ1 2020","Currency=USD","Period=FQ","BEST_FPERIOD_OVERRIDE=FQ","FILING_STATUS=MR","SCALING_FORMAT=MLN","Sort=A","Dates=H","DateFormat=P","Fill=—","Direction=H","UseDPDF=Y")</f>
        <v>3179</v>
      </c>
      <c r="L65" s="17">
        <f>_xll.BDH("CHTR US Equity","OTHER_NONCURRENT_LIABS_DETAILED","FQ2 2020","FQ2 2020","Currency=USD","Period=FQ","BEST_FPERIOD_OVERRIDE=FQ","FILING_STATUS=MR","SCALING_FORMAT=MLN","Sort=A","Dates=H","DateFormat=P","Fill=—","Direction=H","UseDPDF=Y")</f>
        <v>3119</v>
      </c>
    </row>
    <row r="66" spans="1:12" x14ac:dyDescent="0.35">
      <c r="A66" s="12" t="s">
        <v>220</v>
      </c>
      <c r="B66" s="12" t="s">
        <v>219</v>
      </c>
      <c r="C66" s="10">
        <f>_xll.BDH("CHTR US Equity","NON_CUR_LIAB","FQ1 2018","FQ1 2018","Currency=USD","Period=FQ","BEST_FPERIOD_OVERRIDE=FQ","FILING_STATUS=MR","SCALING_FORMAT=MLN","Sort=A","Dates=H","DateFormat=P","Fill=—","Direction=H","UseDPDF=Y")</f>
        <v>87424</v>
      </c>
      <c r="D66" s="10">
        <f>_xll.BDH("CHTR US Equity","NON_CUR_LIAB","FQ2 2018","FQ2 2018","Currency=USD","Period=FQ","BEST_FPERIOD_OVERRIDE=FQ","FILING_STATUS=MR","SCALING_FORMAT=MLN","Sort=A","Dates=H","DateFormat=P","Fill=—","Direction=H","UseDPDF=Y")</f>
        <v>86585</v>
      </c>
      <c r="E66" s="10">
        <f>_xll.BDH("CHTR US Equity","NON_CUR_LIAB","FQ3 2018","FQ3 2018","Currency=USD","Period=FQ","BEST_FPERIOD_OVERRIDE=FQ","FILING_STATUS=MR","SCALING_FORMAT=MLN","Sort=A","Dates=H","DateFormat=P","Fill=—","Direction=H","UseDPDF=Y")</f>
        <v>89007</v>
      </c>
      <c r="F66" s="10">
        <f>_xll.BDH("CHTR US Equity","NON_CUR_LIAB","FQ4 2018","FQ4 2018","Currency=USD","Period=FQ","BEST_FPERIOD_OVERRIDE=FQ","FILING_STATUS=MR","SCALING_FORMAT=MLN","Sort=A","Dates=H","DateFormat=P","Fill=—","Direction=H","UseDPDF=Y")</f>
        <v>89763</v>
      </c>
      <c r="G66" s="10">
        <f>_xll.BDH("CHTR US Equity","NON_CUR_LIAB","FQ1 2019","FQ1 2019","Currency=USD","Period=FQ","BEST_FPERIOD_OVERRIDE=FQ","FILING_STATUS=MR","SCALING_FORMAT=MLN","Sort=A","Dates=H","DateFormat=P","Fill=—","Direction=H","UseDPDF=Y")</f>
        <v>91664</v>
      </c>
      <c r="H66" s="10">
        <f>_xll.BDH("CHTR US Equity","NON_CUR_LIAB","FQ2 2019","FQ2 2019","Currency=USD","Period=FQ","BEST_FPERIOD_OVERRIDE=FQ","FILING_STATUS=MR","SCALING_FORMAT=MLN","Sort=A","Dates=H","DateFormat=P","Fill=—","Direction=H","UseDPDF=Y")</f>
        <v>93116</v>
      </c>
      <c r="I66" s="10">
        <f>_xll.BDH("CHTR US Equity","NON_CUR_LIAB","FQ3 2019","FQ3 2019","Currency=USD","Period=FQ","BEST_FPERIOD_OVERRIDE=FQ","FILING_STATUS=MR","SCALING_FORMAT=MLN","Sort=A","Dates=H","DateFormat=P","Fill=—","Direction=H","UseDPDF=Y")</f>
        <v>92763</v>
      </c>
      <c r="J66" s="10">
        <f>_xll.BDH("CHTR US Equity","NON_CUR_LIAB","FQ4 2019","FQ4 2019","Currency=USD","Period=FQ","BEST_FPERIOD_OVERRIDE=FQ","FILING_STATUS=MR","SCALING_FORMAT=MLN","Sort=A","Dates=H","DateFormat=P","Fill=—","Direction=H","UseDPDF=Y")</f>
        <v>96992</v>
      </c>
      <c r="K66" s="10">
        <f>_xll.BDH("CHTR US Equity","NON_CUR_LIAB","FQ1 2020","FQ1 2020","Currency=USD","Period=FQ","BEST_FPERIOD_OVERRIDE=FQ","FILING_STATUS=MR","SCALING_FORMAT=MLN","Sort=A","Dates=H","DateFormat=P","Fill=—","Direction=H","UseDPDF=Y")</f>
        <v>96615</v>
      </c>
      <c r="L66" s="10">
        <f>_xll.BDH("CHTR US Equity","NON_CUR_LIAB","FQ2 2020","FQ2 2020","Currency=USD","Period=FQ","BEST_FPERIOD_OVERRIDE=FQ","FILING_STATUS=MR","SCALING_FORMAT=MLN","Sort=A","Dates=H","DateFormat=P","Fill=—","Direction=H","UseDPDF=Y")</f>
        <v>99593</v>
      </c>
    </row>
    <row r="67" spans="1:12" x14ac:dyDescent="0.35">
      <c r="A67" s="12" t="s">
        <v>218</v>
      </c>
      <c r="B67" s="12" t="s">
        <v>217</v>
      </c>
      <c r="C67" s="10">
        <f>_xll.BDH("CHTR US Equity","BS_TOT_LIAB2","FQ1 2018","FQ1 2018","Currency=USD","Period=FQ","BEST_FPERIOD_OVERRIDE=FQ","FILING_STATUS=MR","SCALING_FORMAT=MLN","Sort=A","Dates=H","DateFormat=P","Fill=—","Direction=H","UseDPDF=Y")</f>
        <v>99026</v>
      </c>
      <c r="D67" s="10">
        <f>_xll.BDH("CHTR US Equity","BS_TOT_LIAB2","FQ2 2018","FQ2 2018","Currency=USD","Period=FQ","BEST_FPERIOD_OVERRIDE=FQ","FILING_STATUS=MR","SCALING_FORMAT=MLN","Sort=A","Dates=H","DateFormat=P","Fill=—","Direction=H","UseDPDF=Y")</f>
        <v>100609</v>
      </c>
      <c r="E67" s="10">
        <f>_xll.BDH("CHTR US Equity","BS_TOT_LIAB2","FQ3 2018","FQ3 2018","Currency=USD","Period=FQ","BEST_FPERIOD_OVERRIDE=FQ","FILING_STATUS=MR","SCALING_FORMAT=MLN","Sort=A","Dates=H","DateFormat=P","Fill=—","Direction=H","UseDPDF=Y")</f>
        <v>100857</v>
      </c>
      <c r="F67" s="10">
        <f>_xll.BDH("CHTR US Equity","BS_TOT_LIAB2","FQ4 2018","FQ4 2018","Currency=USD","Period=FQ","BEST_FPERIOD_OVERRIDE=FQ","FILING_STATUS=MR","SCALING_FORMAT=MLN","Sort=A","Dates=H","DateFormat=P","Fill=—","Direction=H","UseDPDF=Y")</f>
        <v>101858</v>
      </c>
      <c r="G67" s="10">
        <f>_xll.BDH("CHTR US Equity","BS_TOT_LIAB2","FQ1 2019","FQ1 2019","Currency=USD","Period=FQ","BEST_FPERIOD_OVERRIDE=FQ","FILING_STATUS=MR","SCALING_FORMAT=MLN","Sort=A","Dates=H","DateFormat=P","Fill=—","Direction=H","UseDPDF=Y")</f>
        <v>103614</v>
      </c>
      <c r="H67" s="10">
        <f>_xll.BDH("CHTR US Equity","BS_TOT_LIAB2","FQ2 2019","FQ2 2019","Currency=USD","Period=FQ","BEST_FPERIOD_OVERRIDE=FQ","FILING_STATUS=MR","SCALING_FORMAT=MLN","Sort=A","Dates=H","DateFormat=P","Fill=—","Direction=H","UseDPDF=Y")</f>
        <v>102991</v>
      </c>
      <c r="I67" s="10">
        <f>_xll.BDH("CHTR US Equity","BS_TOT_LIAB2","FQ3 2019","FQ3 2019","Currency=USD","Period=FQ","BEST_FPERIOD_OVERRIDE=FQ","FILING_STATUS=MR","SCALING_FORMAT=MLN","Sort=A","Dates=H","DateFormat=P","Fill=—","Direction=H","UseDPDF=Y")</f>
        <v>104745</v>
      </c>
      <c r="J67" s="10">
        <f>_xll.BDH("CHTR US Equity","BS_TOT_LIAB2","FQ4 2019","FQ4 2019","Currency=USD","Period=FQ","BEST_FPERIOD_OVERRIDE=FQ","FILING_STATUS=MR","SCALING_FORMAT=MLN","Sort=A","Dates=H","DateFormat=P","Fill=—","Direction=H","UseDPDF=Y")</f>
        <v>109377</v>
      </c>
      <c r="K67" s="10">
        <f>_xll.BDH("CHTR US Equity","BS_TOT_LIAB2","FQ1 2020","FQ1 2020","Currency=USD","Period=FQ","BEST_FPERIOD_OVERRIDE=FQ","FILING_STATUS=MR","SCALING_FORMAT=MLN","Sort=A","Dates=H","DateFormat=P","Fill=—","Direction=H","UseDPDF=Y")</f>
        <v>109830</v>
      </c>
      <c r="L67" s="10">
        <f>_xll.BDH("CHTR US Equity","BS_TOT_LIAB2","FQ2 2020","FQ2 2020","Currency=USD","Period=FQ","BEST_FPERIOD_OVERRIDE=FQ","FILING_STATUS=MR","SCALING_FORMAT=MLN","Sort=A","Dates=H","DateFormat=P","Fill=—","Direction=H","UseDPDF=Y")</f>
        <v>108735</v>
      </c>
    </row>
    <row r="68" spans="1:12" x14ac:dyDescent="0.35">
      <c r="A68" s="16" t="s">
        <v>216</v>
      </c>
      <c r="B68" s="16" t="s">
        <v>215</v>
      </c>
      <c r="C68" s="17">
        <f>_xll.BDH("CHTR US Equity","BS_PFD_EQTY_&amp;_HYBRID_CPTL","FQ1 2018","FQ1 2018","Currency=USD","Period=FQ","BEST_FPERIOD_OVERRIDE=FQ","FILING_STATUS=MR","SCALING_FORMAT=MLN","Sort=A","Dates=H","DateFormat=P","Fill=—","Direction=H","UseDPDF=Y")</f>
        <v>0</v>
      </c>
      <c r="D68" s="17">
        <f>_xll.BDH("CHTR US Equity","BS_PFD_EQTY_&amp;_HYBRID_CPTL","FQ2 2018","FQ2 2018","Currency=USD","Period=FQ","BEST_FPERIOD_OVERRIDE=FQ","FILING_STATUS=MR","SCALING_FORMAT=MLN","Sort=A","Dates=H","DateFormat=P","Fill=—","Direction=H","UseDPDF=Y")</f>
        <v>0</v>
      </c>
      <c r="E68" s="17">
        <f>_xll.BDH("CHTR US Equity","BS_PFD_EQTY_&amp;_HYBRID_CPTL","FQ3 2018","FQ3 2018","Currency=USD","Period=FQ","BEST_FPERIOD_OVERRIDE=FQ","FILING_STATUS=MR","SCALING_FORMAT=MLN","Sort=A","Dates=H","DateFormat=P","Fill=—","Direction=H","UseDPDF=Y")</f>
        <v>0</v>
      </c>
      <c r="F68" s="17">
        <f>_xll.BDH("CHTR US Equity","BS_PFD_EQTY_&amp;_HYBRID_CPTL","FQ4 2018","FQ4 2018","Currency=USD","Period=FQ","BEST_FPERIOD_OVERRIDE=FQ","FILING_STATUS=MR","SCALING_FORMAT=MLN","Sort=A","Dates=H","DateFormat=P","Fill=—","Direction=H","UseDPDF=Y")</f>
        <v>0</v>
      </c>
      <c r="G68" s="17">
        <f>_xll.BDH("CHTR US Equity","BS_PFD_EQTY_&amp;_HYBRID_CPTL","FQ1 2019","FQ1 2019","Currency=USD","Period=FQ","BEST_FPERIOD_OVERRIDE=FQ","FILING_STATUS=MR","SCALING_FORMAT=MLN","Sort=A","Dates=H","DateFormat=P","Fill=—","Direction=H","UseDPDF=Y")</f>
        <v>0</v>
      </c>
      <c r="H68" s="17">
        <f>_xll.BDH("CHTR US Equity","BS_PFD_EQTY_&amp;_HYBRID_CPTL","FQ2 2019","FQ2 2019","Currency=USD","Period=FQ","BEST_FPERIOD_OVERRIDE=FQ","FILING_STATUS=MR","SCALING_FORMAT=MLN","Sort=A","Dates=H","DateFormat=P","Fill=—","Direction=H","UseDPDF=Y")</f>
        <v>0</v>
      </c>
      <c r="I68" s="17">
        <f>_xll.BDH("CHTR US Equity","BS_PFD_EQTY_&amp;_HYBRID_CPTL","FQ3 2019","FQ3 2019","Currency=USD","Period=FQ","BEST_FPERIOD_OVERRIDE=FQ","FILING_STATUS=MR","SCALING_FORMAT=MLN","Sort=A","Dates=H","DateFormat=P","Fill=—","Direction=H","UseDPDF=Y")</f>
        <v>0</v>
      </c>
      <c r="J68" s="17">
        <f>_xll.BDH("CHTR US Equity","BS_PFD_EQTY_&amp;_HYBRID_CPTL","FQ4 2019","FQ4 2019","Currency=USD","Period=FQ","BEST_FPERIOD_OVERRIDE=FQ","FILING_STATUS=MR","SCALING_FORMAT=MLN","Sort=A","Dates=H","DateFormat=P","Fill=—","Direction=H","UseDPDF=Y")</f>
        <v>0</v>
      </c>
      <c r="K68" s="17">
        <f>_xll.BDH("CHTR US Equity","BS_PFD_EQTY_&amp;_HYBRID_CPTL","FQ1 2020","FQ1 2020","Currency=USD","Period=FQ","BEST_FPERIOD_OVERRIDE=FQ","FILING_STATUS=MR","SCALING_FORMAT=MLN","Sort=A","Dates=H","DateFormat=P","Fill=—","Direction=H","UseDPDF=Y")</f>
        <v>0</v>
      </c>
      <c r="L68" s="17">
        <f>_xll.BDH("CHTR US Equity","BS_PFD_EQTY_&amp;_HYBRID_CPTL","FQ2 2020","FQ2 2020","Currency=USD","Period=FQ","BEST_FPERIOD_OVERRIDE=FQ","FILING_STATUS=MR","SCALING_FORMAT=MLN","Sort=A","Dates=H","DateFormat=P","Fill=—","Direction=H","UseDPDF=Y")</f>
        <v>0</v>
      </c>
    </row>
    <row r="69" spans="1:12" x14ac:dyDescent="0.35">
      <c r="A69" s="16" t="s">
        <v>214</v>
      </c>
      <c r="B69" s="16" t="s">
        <v>213</v>
      </c>
      <c r="C69" s="17">
        <f>_xll.BDH("CHTR US Equity","BS_SH_CAP_AND_APIC","FQ1 2018","FQ1 2018","Currency=USD","Period=FQ","BEST_FPERIOD_OVERRIDE=FQ","FILING_STATUS=MR","SCALING_FORMAT=MLN","Sort=A","Dates=H","DateFormat=P","Fill=—","Direction=H","UseDPDF=Y")</f>
        <v>35352</v>
      </c>
      <c r="D69" s="17">
        <f>_xll.BDH("CHTR US Equity","BS_SH_CAP_AND_APIC","FQ2 2018","FQ2 2018","Currency=USD","Period=FQ","BEST_FPERIOD_OVERRIDE=FQ","FILING_STATUS=MR","SCALING_FORMAT=MLN","Sort=A","Dates=H","DateFormat=P","Fill=—","Direction=H","UseDPDF=Y")</f>
        <v>35419</v>
      </c>
      <c r="E69" s="17">
        <f>_xll.BDH("CHTR US Equity","BS_SH_CAP_AND_APIC","FQ3 2018","FQ3 2018","Currency=USD","Period=FQ","BEST_FPERIOD_OVERRIDE=FQ","FILING_STATUS=MR","SCALING_FORMAT=MLN","Sort=A","Dates=H","DateFormat=P","Fill=—","Direction=H","UseDPDF=Y")</f>
        <v>35493</v>
      </c>
      <c r="F69" s="17">
        <f>_xll.BDH("CHTR US Equity","BS_SH_CAP_AND_APIC","FQ4 2018","FQ4 2018","Currency=USD","Period=FQ","BEST_FPERIOD_OVERRIDE=FQ","FILING_STATUS=MR","SCALING_FORMAT=MLN","Sort=A","Dates=H","DateFormat=P","Fill=—","Direction=H","UseDPDF=Y")</f>
        <v>33507</v>
      </c>
      <c r="G69" s="17">
        <f>_xll.BDH("CHTR US Equity","BS_SH_CAP_AND_APIC","FQ1 2019","FQ1 2019","Currency=USD","Period=FQ","BEST_FPERIOD_OVERRIDE=FQ","FILING_STATUS=MR","SCALING_FORMAT=MLN","Sort=A","Dates=H","DateFormat=P","Fill=—","Direction=H","UseDPDF=Y")</f>
        <v>33643</v>
      </c>
      <c r="H69" s="17">
        <f>_xll.BDH("CHTR US Equity","BS_SH_CAP_AND_APIC","FQ2 2019","FQ2 2019","Currency=USD","Period=FQ","BEST_FPERIOD_OVERRIDE=FQ","FILING_STATUS=MR","SCALING_FORMAT=MLN","Sort=A","Dates=H","DateFormat=P","Fill=—","Direction=H","UseDPDF=Y")</f>
        <v>33742</v>
      </c>
      <c r="I69" s="17">
        <f>_xll.BDH("CHTR US Equity","BS_SH_CAP_AND_APIC","FQ3 2019","FQ3 2019","Currency=USD","Period=FQ","BEST_FPERIOD_OVERRIDE=FQ","FILING_STATUS=MR","SCALING_FORMAT=MLN","Sort=A","Dates=H","DateFormat=P","Fill=—","Direction=H","UseDPDF=Y")</f>
        <v>33810</v>
      </c>
      <c r="J69" s="17">
        <f>_xll.BDH("CHTR US Equity","BS_SH_CAP_AND_APIC","FQ4 2019","FQ4 2019","Currency=USD","Period=FQ","BEST_FPERIOD_OVERRIDE=FQ","FILING_STATUS=MR","SCALING_FORMAT=MLN","Sort=A","Dates=H","DateFormat=P","Fill=—","Direction=H","UseDPDF=Y")</f>
        <v>31405</v>
      </c>
      <c r="K69" s="17">
        <f>_xll.BDH("CHTR US Equity","BS_SH_CAP_AND_APIC","FQ1 2020","FQ1 2020","Currency=USD","Period=FQ","BEST_FPERIOD_OVERRIDE=FQ","FILING_STATUS=MR","SCALING_FORMAT=MLN","Sort=A","Dates=H","DateFormat=P","Fill=—","Direction=H","UseDPDF=Y")</f>
        <v>31544</v>
      </c>
      <c r="L69" s="17">
        <f>_xll.BDH("CHTR US Equity","BS_SH_CAP_AND_APIC","FQ2 2020","FQ2 2020","Currency=USD","Period=FQ","BEST_FPERIOD_OVERRIDE=FQ","FILING_STATUS=MR","SCALING_FORMAT=MLN","Sort=A","Dates=H","DateFormat=P","Fill=—","Direction=H","UseDPDF=Y")</f>
        <v>31661</v>
      </c>
    </row>
    <row r="70" spans="1:12" x14ac:dyDescent="0.35">
      <c r="A70" s="16" t="s">
        <v>212</v>
      </c>
      <c r="B70" s="16" t="s">
        <v>211</v>
      </c>
      <c r="C70" s="17">
        <f>_xll.BDH("CHTR US Equity","BS_COMMON_STOCK","FQ1 2018","FQ1 2018","Currency=USD","Period=FQ","BEST_FPERIOD_OVERRIDE=FQ","FILING_STATUS=MR","SCALING_FORMAT=MLN","Sort=A","Dates=H","DateFormat=P","Fill=—","Direction=H","UseDPDF=Y")</f>
        <v>0.2392</v>
      </c>
      <c r="D70" s="17">
        <f>_xll.BDH("CHTR US Equity","BS_COMMON_STOCK","FQ2 2018","FQ2 2018","Currency=USD","Period=FQ","BEST_FPERIOD_OVERRIDE=FQ","FILING_STATUS=MR","SCALING_FORMAT=MLN","Sort=A","Dates=H","DateFormat=P","Fill=—","Direction=H","UseDPDF=Y")</f>
        <v>0.2394</v>
      </c>
      <c r="E70" s="17">
        <f>_xll.BDH("CHTR US Equity","BS_COMMON_STOCK","FQ3 2018","FQ3 2018","Currency=USD","Period=FQ","BEST_FPERIOD_OVERRIDE=FQ","FILING_STATUS=MR","SCALING_FORMAT=MLN","Sort=A","Dates=H","DateFormat=P","Fill=—","Direction=H","UseDPDF=Y")</f>
        <v>0.23949999999999999</v>
      </c>
      <c r="F70" s="17">
        <f>_xll.BDH("CHTR US Equity","BS_COMMON_STOCK","FQ4 2018","FQ4 2018","Currency=USD","Period=FQ","BEST_FPERIOD_OVERRIDE=FQ","FILING_STATUS=MR","SCALING_FORMAT=MLN","Sort=A","Dates=H","DateFormat=P","Fill=—","Direction=H","UseDPDF=Y")</f>
        <v>0.22539999999999999</v>
      </c>
      <c r="G70" s="17">
        <f>_xll.BDH("CHTR US Equity","BS_COMMON_STOCK","FQ1 2019","FQ1 2019","Currency=USD","Period=FQ","BEST_FPERIOD_OVERRIDE=FQ","FILING_STATUS=MR","SCALING_FORMAT=MLN","Sort=A","Dates=H","DateFormat=P","Fill=—","Direction=H","UseDPDF=Y")</f>
        <v>0.2263</v>
      </c>
      <c r="H70" s="17" t="str">
        <f>_xll.BDH("CHTR US Equity","BS_COMMON_STOCK","FQ2 2019","FQ2 2019","Currency=USD","Period=FQ","BEST_FPERIOD_OVERRIDE=FQ","FILING_STATUS=MR","SCALING_FORMAT=MLN","Sort=A","Dates=H","DateFormat=P","Fill=—","Direction=H","UseDPDF=Y")</f>
        <v>—</v>
      </c>
      <c r="I70" s="17">
        <f>_xll.BDH("CHTR US Equity","BS_COMMON_STOCK","FQ3 2019","FQ3 2019","Currency=USD","Period=FQ","BEST_FPERIOD_OVERRIDE=FQ","FILING_STATUS=MR","SCALING_FORMAT=MLN","Sort=A","Dates=H","DateFormat=P","Fill=—","Direction=H","UseDPDF=Y")</f>
        <v>0.2271</v>
      </c>
      <c r="J70" s="17">
        <f>_xll.BDH("CHTR US Equity","BS_COMMON_STOCK","FQ4 2019","FQ4 2019","Currency=USD","Period=FQ","BEST_FPERIOD_OVERRIDE=FQ","FILING_STATUS=MR","SCALING_FORMAT=MLN","Sort=A","Dates=H","DateFormat=P","Fill=—","Direction=H","UseDPDF=Y")</f>
        <v>0.21</v>
      </c>
      <c r="K70" s="17">
        <f>_xll.BDH("CHTR US Equity","BS_COMMON_STOCK","FQ1 2020","FQ1 2020","Currency=USD","Period=FQ","BEST_FPERIOD_OVERRIDE=FQ","FILING_STATUS=MR","SCALING_FORMAT=MLN","Sort=A","Dates=H","DateFormat=P","Fill=—","Direction=H","UseDPDF=Y")</f>
        <v>0.21149999999999999</v>
      </c>
      <c r="L70" s="17">
        <f>_xll.BDH("CHTR US Equity","BS_COMMON_STOCK","FQ2 2020","FQ2 2020","Currency=USD","Period=FQ","BEST_FPERIOD_OVERRIDE=FQ","FILING_STATUS=MR","SCALING_FORMAT=MLN","Sort=A","Dates=H","DateFormat=P","Fill=—","Direction=H","UseDPDF=Y")</f>
        <v>0.21240000000000001</v>
      </c>
    </row>
    <row r="71" spans="1:12" x14ac:dyDescent="0.35">
      <c r="A71" s="16" t="s">
        <v>210</v>
      </c>
      <c r="B71" s="16" t="s">
        <v>209</v>
      </c>
      <c r="C71" s="17">
        <f>_xll.BDH("CHTR US Equity","BS_ADD_PAID_IN_CAP","FQ1 2018","FQ1 2018","Currency=USD","Period=FQ","BEST_FPERIOD_OVERRIDE=FQ","FILING_STATUS=MR","SCALING_FORMAT=MLN","Sort=A","Dates=H","DateFormat=P","Fill=—","Direction=H","UseDPDF=Y")</f>
        <v>35351.760799999996</v>
      </c>
      <c r="D71" s="17">
        <f>_xll.BDH("CHTR US Equity","BS_ADD_PAID_IN_CAP","FQ2 2018","FQ2 2018","Currency=USD","Period=FQ","BEST_FPERIOD_OVERRIDE=FQ","FILING_STATUS=MR","SCALING_FORMAT=MLN","Sort=A","Dates=H","DateFormat=P","Fill=—","Direction=H","UseDPDF=Y")</f>
        <v>35418.760600000001</v>
      </c>
      <c r="E71" s="17">
        <f>_xll.BDH("CHTR US Equity","BS_ADD_PAID_IN_CAP","FQ3 2018","FQ3 2018","Currency=USD","Period=FQ","BEST_FPERIOD_OVERRIDE=FQ","FILING_STATUS=MR","SCALING_FORMAT=MLN","Sort=A","Dates=H","DateFormat=P","Fill=—","Direction=H","UseDPDF=Y")</f>
        <v>35492.760499999997</v>
      </c>
      <c r="F71" s="17">
        <f>_xll.BDH("CHTR US Equity","BS_ADD_PAID_IN_CAP","FQ4 2018","FQ4 2018","Currency=USD","Period=FQ","BEST_FPERIOD_OVERRIDE=FQ","FILING_STATUS=MR","SCALING_FORMAT=MLN","Sort=A","Dates=H","DateFormat=P","Fill=—","Direction=H","UseDPDF=Y")</f>
        <v>33506.774599999997</v>
      </c>
      <c r="G71" s="17">
        <f>_xll.BDH("CHTR US Equity","BS_ADD_PAID_IN_CAP","FQ1 2019","FQ1 2019","Currency=USD","Period=FQ","BEST_FPERIOD_OVERRIDE=FQ","FILING_STATUS=MR","SCALING_FORMAT=MLN","Sort=A","Dates=H","DateFormat=P","Fill=—","Direction=H","UseDPDF=Y")</f>
        <v>33642.773699999998</v>
      </c>
      <c r="H71" s="17" t="str">
        <f>_xll.BDH("CHTR US Equity","BS_ADD_PAID_IN_CAP","FQ2 2019","FQ2 2019","Currency=USD","Period=FQ","BEST_FPERIOD_OVERRIDE=FQ","FILING_STATUS=MR","SCALING_FORMAT=MLN","Sort=A","Dates=H","DateFormat=P","Fill=—","Direction=H","UseDPDF=Y")</f>
        <v>—</v>
      </c>
      <c r="I71" s="17">
        <f>_xll.BDH("CHTR US Equity","BS_ADD_PAID_IN_CAP","FQ3 2019","FQ3 2019","Currency=USD","Period=FQ","BEST_FPERIOD_OVERRIDE=FQ","FILING_STATUS=MR","SCALING_FORMAT=MLN","Sort=A","Dates=H","DateFormat=P","Fill=—","Direction=H","UseDPDF=Y")</f>
        <v>33809.772900000004</v>
      </c>
      <c r="J71" s="17">
        <f>_xll.BDH("CHTR US Equity","BS_ADD_PAID_IN_CAP","FQ4 2019","FQ4 2019","Currency=USD","Period=FQ","BEST_FPERIOD_OVERRIDE=FQ","FILING_STATUS=MR","SCALING_FORMAT=MLN","Sort=A","Dates=H","DateFormat=P","Fill=—","Direction=H","UseDPDF=Y")</f>
        <v>31404.79</v>
      </c>
      <c r="K71" s="17">
        <f>_xll.BDH("CHTR US Equity","BS_ADD_PAID_IN_CAP","FQ1 2020","FQ1 2020","Currency=USD","Period=FQ","BEST_FPERIOD_OVERRIDE=FQ","FILING_STATUS=MR","SCALING_FORMAT=MLN","Sort=A","Dates=H","DateFormat=P","Fill=—","Direction=H","UseDPDF=Y")</f>
        <v>31543.788499999999</v>
      </c>
      <c r="L71" s="17">
        <f>_xll.BDH("CHTR US Equity","BS_ADD_PAID_IN_CAP","FQ2 2020","FQ2 2020","Currency=USD","Period=FQ","BEST_FPERIOD_OVERRIDE=FQ","FILING_STATUS=MR","SCALING_FORMAT=MLN","Sort=A","Dates=H","DateFormat=P","Fill=—","Direction=H","UseDPDF=Y")</f>
        <v>31660.7876</v>
      </c>
    </row>
    <row r="72" spans="1:12" x14ac:dyDescent="0.35">
      <c r="A72" s="16" t="s">
        <v>208</v>
      </c>
      <c r="B72" s="16" t="s">
        <v>207</v>
      </c>
      <c r="C72" s="17">
        <f>_xll.BDH("CHTR US Equity","BS_AMT_OF_TSY_STOCK","FQ1 2018","FQ1 2018","Currency=USD","Period=FQ","BEST_FPERIOD_OVERRIDE=FQ","FILING_STATUS=MR","SCALING_FORMAT=MLN","Sort=A","Dates=H","DateFormat=P","Fill=—","Direction=H","UseDPDF=Y")</f>
        <v>617</v>
      </c>
      <c r="D72" s="17">
        <f>_xll.BDH("CHTR US Equity","BS_AMT_OF_TSY_STOCK","FQ2 2018","FQ2 2018","Currency=USD","Period=FQ","BEST_FPERIOD_OVERRIDE=FQ","FILING_STATUS=MR","SCALING_FORMAT=MLN","Sort=A","Dates=H","DateFormat=P","Fill=—","Direction=H","UseDPDF=Y")</f>
        <v>2281</v>
      </c>
      <c r="E72" s="17">
        <f>_xll.BDH("CHTR US Equity","BS_AMT_OF_TSY_STOCK","FQ3 2018","FQ3 2018","Currency=USD","Period=FQ","BEST_FPERIOD_OVERRIDE=FQ","FILING_STATUS=MR","SCALING_FORMAT=MLN","Sort=A","Dates=H","DateFormat=P","Fill=—","Direction=H","UseDPDF=Y")</f>
        <v>3214</v>
      </c>
      <c r="F72" s="17">
        <f>_xll.BDH("CHTR US Equity","BS_AMT_OF_TSY_STOCK","FQ4 2018","FQ4 2018","Currency=USD","Period=FQ","BEST_FPERIOD_OVERRIDE=FQ","FILING_STATUS=MR","SCALING_FORMAT=MLN","Sort=A","Dates=H","DateFormat=P","Fill=—","Direction=H","UseDPDF=Y")</f>
        <v>0</v>
      </c>
      <c r="G72" s="17">
        <f>_xll.BDH("CHTR US Equity","BS_AMT_OF_TSY_STOCK","FQ1 2019","FQ1 2019","Currency=USD","Period=FQ","BEST_FPERIOD_OVERRIDE=FQ","FILING_STATUS=MR","SCALING_FORMAT=MLN","Sort=A","Dates=H","DateFormat=P","Fill=—","Direction=H","UseDPDF=Y")</f>
        <v>940</v>
      </c>
      <c r="H72" s="17">
        <f>_xll.BDH("CHTR US Equity","BS_AMT_OF_TSY_STOCK","FQ2 2019","FQ2 2019","Currency=USD","Period=FQ","BEST_FPERIOD_OVERRIDE=FQ","FILING_STATUS=MR","SCALING_FORMAT=MLN","Sort=A","Dates=H","DateFormat=P","Fill=—","Direction=H","UseDPDF=Y")</f>
        <v>1801</v>
      </c>
      <c r="I72" s="17">
        <f>_xll.BDH("CHTR US Equity","BS_AMT_OF_TSY_STOCK","FQ3 2019","FQ3 2019","Currency=USD","Period=FQ","BEST_FPERIOD_OVERRIDE=FQ","FILING_STATUS=MR","SCALING_FORMAT=MLN","Sort=A","Dates=H","DateFormat=P","Fill=—","Direction=H","UseDPDF=Y")</f>
        <v>4568</v>
      </c>
      <c r="J72" s="17">
        <f>_xll.BDH("CHTR US Equity","BS_AMT_OF_TSY_STOCK","FQ4 2019","FQ4 2019","Currency=USD","Period=FQ","BEST_FPERIOD_OVERRIDE=FQ","FILING_STATUS=MR","SCALING_FORMAT=MLN","Sort=A","Dates=H","DateFormat=P","Fill=—","Direction=H","UseDPDF=Y")</f>
        <v>0</v>
      </c>
      <c r="K72" s="17">
        <f>_xll.BDH("CHTR US Equity","BS_AMT_OF_TSY_STOCK","FQ1 2020","FQ1 2020","Currency=USD","Period=FQ","BEST_FPERIOD_OVERRIDE=FQ","FILING_STATUS=MR","SCALING_FORMAT=MLN","Sort=A","Dates=H","DateFormat=P","Fill=—","Direction=H","UseDPDF=Y")</f>
        <v>2352</v>
      </c>
      <c r="L72" s="17">
        <f>_xll.BDH("CHTR US Equity","BS_AMT_OF_TSY_STOCK","FQ2 2020","FQ2 2020","Currency=USD","Period=FQ","BEST_FPERIOD_OVERRIDE=FQ","FILING_STATUS=MR","SCALING_FORMAT=MLN","Sort=A","Dates=H","DateFormat=P","Fill=—","Direction=H","UseDPDF=Y")</f>
        <v>3507</v>
      </c>
    </row>
    <row r="73" spans="1:12" x14ac:dyDescent="0.35">
      <c r="A73" s="16" t="s">
        <v>206</v>
      </c>
      <c r="B73" s="16" t="s">
        <v>205</v>
      </c>
      <c r="C73" s="17">
        <f>_xll.BDH("CHTR US Equity","BS_PURE_RETAINED_EARNINGS","FQ1 2018","FQ1 2018","Currency=USD","Period=FQ","BEST_FPERIOD_OVERRIDE=FQ","FILING_STATUS=MR","SCALING_FORMAT=MLN","Sort=A","Dates=H","DateFormat=P","Fill=—","Direction=H","UseDPDF=Y")</f>
        <v>4034</v>
      </c>
      <c r="D73" s="17">
        <f>_xll.BDH("CHTR US Equity","BS_PURE_RETAINED_EARNINGS","FQ2 2018","FQ2 2018","Currency=USD","Period=FQ","BEST_FPERIOD_OVERRIDE=FQ","FILING_STATUS=MR","SCALING_FORMAT=MLN","Sort=A","Dates=H","DateFormat=P","Fill=—","Direction=H","UseDPDF=Y")</f>
        <v>4307</v>
      </c>
      <c r="E73" s="17">
        <f>_xll.BDH("CHTR US Equity","BS_PURE_RETAINED_EARNINGS","FQ3 2018","FQ3 2018","Currency=USD","Period=FQ","BEST_FPERIOD_OVERRIDE=FQ","FILING_STATUS=MR","SCALING_FORMAT=MLN","Sort=A","Dates=H","DateFormat=P","Fill=—","Direction=H","UseDPDF=Y")</f>
        <v>4828</v>
      </c>
      <c r="F73" s="17">
        <f>_xll.BDH("CHTR US Equity","BS_PURE_RETAINED_EARNINGS","FQ4 2018","FQ4 2018","Currency=USD","Period=FQ","BEST_FPERIOD_OVERRIDE=FQ","FILING_STATUS=MR","SCALING_FORMAT=MLN","Sort=A","Dates=H","DateFormat=P","Fill=—","Direction=H","UseDPDF=Y")</f>
        <v>2780</v>
      </c>
      <c r="G73" s="17">
        <f>_xll.BDH("CHTR US Equity","BS_PURE_RETAINED_EARNINGS","FQ1 2019","FQ1 2019","Currency=USD","Period=FQ","BEST_FPERIOD_OVERRIDE=FQ","FILING_STATUS=MR","SCALING_FORMAT=MLN","Sort=A","Dates=H","DateFormat=P","Fill=—","Direction=H","UseDPDF=Y")</f>
        <v>3033</v>
      </c>
      <c r="H73" s="17">
        <f>_xll.BDH("CHTR US Equity","BS_PURE_RETAINED_EARNINGS","FQ2 2019","FQ2 2019","Currency=USD","Period=FQ","BEST_FPERIOD_OVERRIDE=FQ","FILING_STATUS=MR","SCALING_FORMAT=MLN","Sort=A","Dates=H","DateFormat=P","Fill=—","Direction=H","UseDPDF=Y")</f>
        <v>3347</v>
      </c>
      <c r="I73" s="17">
        <f>_xll.BDH("CHTR US Equity","BS_PURE_RETAINED_EARNINGS","FQ3 2019","FQ3 2019","Currency=USD","Period=FQ","BEST_FPERIOD_OVERRIDE=FQ","FILING_STATUS=MR","SCALING_FORMAT=MLN","Sort=A","Dates=H","DateFormat=P","Fill=—","Direction=H","UseDPDF=Y")</f>
        <v>3734</v>
      </c>
      <c r="J73" s="17">
        <f>_xll.BDH("CHTR US Equity","BS_PURE_RETAINED_EARNINGS","FQ4 2019","FQ4 2019","Currency=USD","Period=FQ","BEST_FPERIOD_OVERRIDE=FQ","FILING_STATUS=MR","SCALING_FORMAT=MLN","Sort=A","Dates=H","DateFormat=P","Fill=—","Direction=H","UseDPDF=Y")</f>
        <v>40</v>
      </c>
      <c r="K73" s="17">
        <f>_xll.BDH("CHTR US Equity","BS_PURE_RETAINED_EARNINGS","FQ1 2020","FQ1 2020","Currency=USD","Period=FQ","BEST_FPERIOD_OVERRIDE=FQ","FILING_STATUS=MR","SCALING_FORMAT=MLN","Sort=A","Dates=H","DateFormat=P","Fill=—","Direction=H","UseDPDF=Y")</f>
        <v>436</v>
      </c>
      <c r="L73" s="17">
        <f>_xll.BDH("CHTR US Equity","BS_PURE_RETAINED_EARNINGS","FQ2 2020","FQ2 2020","Currency=USD","Period=FQ","BEST_FPERIOD_OVERRIDE=FQ","FILING_STATUS=MR","SCALING_FORMAT=MLN","Sort=A","Dates=H","DateFormat=P","Fill=—","Direction=H","UseDPDF=Y")</f>
        <v>1202</v>
      </c>
    </row>
    <row r="74" spans="1:12" x14ac:dyDescent="0.35">
      <c r="A74" s="16" t="s">
        <v>204</v>
      </c>
      <c r="B74" s="16" t="s">
        <v>203</v>
      </c>
      <c r="C74" s="17">
        <f>_xll.BDH("CHTR US Equity","OTHER_EQUITY_RATIO","FQ1 2018","FQ1 2018","Currency=USD","Period=FQ","BEST_FPERIOD_OVERRIDE=FQ","FILING_STATUS=MR","SCALING_FORMAT=MLN","Sort=A","Dates=H","DateFormat=P","Fill=—","Direction=H","UseDPDF=Y")</f>
        <v>-1</v>
      </c>
      <c r="D74" s="17">
        <f>_xll.BDH("CHTR US Equity","OTHER_EQUITY_RATIO","FQ2 2018","FQ2 2018","Currency=USD","Period=FQ","BEST_FPERIOD_OVERRIDE=FQ","FILING_STATUS=MR","SCALING_FORMAT=MLN","Sort=A","Dates=H","DateFormat=P","Fill=—","Direction=H","UseDPDF=Y")</f>
        <v>-2</v>
      </c>
      <c r="E74" s="17">
        <f>_xll.BDH("CHTR US Equity","OTHER_EQUITY_RATIO","FQ3 2018","FQ3 2018","Currency=USD","Period=FQ","BEST_FPERIOD_OVERRIDE=FQ","FILING_STATUS=MR","SCALING_FORMAT=MLN","Sort=A","Dates=H","DateFormat=P","Fill=—","Direction=H","UseDPDF=Y")</f>
        <v>-2</v>
      </c>
      <c r="F74" s="17">
        <f>_xll.BDH("CHTR US Equity","OTHER_EQUITY_RATIO","FQ4 2018","FQ4 2018","Currency=USD","Period=FQ","BEST_FPERIOD_OVERRIDE=FQ","FILING_STATUS=MR","SCALING_FORMAT=MLN","Sort=A","Dates=H","DateFormat=P","Fill=—","Direction=H","UseDPDF=Y")</f>
        <v>-2</v>
      </c>
      <c r="G74" s="17">
        <f>_xll.BDH("CHTR US Equity","OTHER_EQUITY_RATIO","FQ1 2019","FQ1 2019","Currency=USD","Period=FQ","BEST_FPERIOD_OVERRIDE=FQ","FILING_STATUS=MR","SCALING_FORMAT=MLN","Sort=A","Dates=H","DateFormat=P","Fill=—","Direction=H","UseDPDF=Y")</f>
        <v>-2</v>
      </c>
      <c r="H74" s="17">
        <f>_xll.BDH("CHTR US Equity","OTHER_EQUITY_RATIO","FQ2 2019","FQ2 2019","Currency=USD","Period=FQ","BEST_FPERIOD_OVERRIDE=FQ","FILING_STATUS=MR","SCALING_FORMAT=MLN","Sort=A","Dates=H","DateFormat=P","Fill=—","Direction=H","UseDPDF=Y")</f>
        <v>-2</v>
      </c>
      <c r="I74" s="17">
        <f>_xll.BDH("CHTR US Equity","OTHER_EQUITY_RATIO","FQ3 2019","FQ3 2019","Currency=USD","Period=FQ","BEST_FPERIOD_OVERRIDE=FQ","FILING_STATUS=MR","SCALING_FORMAT=MLN","Sort=A","Dates=H","DateFormat=P","Fill=—","Direction=H","UseDPDF=Y")</f>
        <v>-2</v>
      </c>
      <c r="J74" s="17">
        <f>_xll.BDH("CHTR US Equity","OTHER_EQUITY_RATIO","FQ4 2019","FQ4 2019","Currency=USD","Period=FQ","BEST_FPERIOD_OVERRIDE=FQ","FILING_STATUS=MR","SCALING_FORMAT=MLN","Sort=A","Dates=H","DateFormat=P","Fill=—","Direction=H","UseDPDF=Y")</f>
        <v>0</v>
      </c>
      <c r="K74" s="17">
        <f>_xll.BDH("CHTR US Equity","OTHER_EQUITY_RATIO","FQ1 2020","FQ1 2020","Currency=USD","Period=FQ","BEST_FPERIOD_OVERRIDE=FQ","FILING_STATUS=MR","SCALING_FORMAT=MLN","Sort=A","Dates=H","DateFormat=P","Fill=—","Direction=H","UseDPDF=Y")</f>
        <v>0</v>
      </c>
      <c r="L74" s="17">
        <f>_xll.BDH("CHTR US Equity","OTHER_EQUITY_RATIO","FQ2 2020","FQ2 2020","Currency=USD","Period=FQ","BEST_FPERIOD_OVERRIDE=FQ","FILING_STATUS=MR","SCALING_FORMAT=MLN","Sort=A","Dates=H","DateFormat=P","Fill=—","Direction=H","UseDPDF=Y")</f>
        <v>0</v>
      </c>
    </row>
    <row r="75" spans="1:12" x14ac:dyDescent="0.35">
      <c r="A75" s="12" t="s">
        <v>202</v>
      </c>
      <c r="B75" s="12" t="s">
        <v>201</v>
      </c>
      <c r="C75" s="10">
        <f>_xll.BDH("CHTR US Equity","EQTY_BEF_MINORITY_INT_DETAILED","FQ1 2018","FQ1 2018","Currency=USD","Period=FQ","BEST_FPERIOD_OVERRIDE=FQ","FILING_STATUS=MR","SCALING_FORMAT=MLN","Sort=A","Dates=H","DateFormat=P","Fill=—","Direction=H","UseDPDF=Y")</f>
        <v>38768</v>
      </c>
      <c r="D75" s="10">
        <f>_xll.BDH("CHTR US Equity","EQTY_BEF_MINORITY_INT_DETAILED","FQ2 2018","FQ2 2018","Currency=USD","Period=FQ","BEST_FPERIOD_OVERRIDE=FQ","FILING_STATUS=MR","SCALING_FORMAT=MLN","Sort=A","Dates=H","DateFormat=P","Fill=—","Direction=H","UseDPDF=Y")</f>
        <v>37443</v>
      </c>
      <c r="E75" s="10">
        <f>_xll.BDH("CHTR US Equity","EQTY_BEF_MINORITY_INT_DETAILED","FQ3 2018","FQ3 2018","Currency=USD","Period=FQ","BEST_FPERIOD_OVERRIDE=FQ","FILING_STATUS=MR","SCALING_FORMAT=MLN","Sort=A","Dates=H","DateFormat=P","Fill=—","Direction=H","UseDPDF=Y")</f>
        <v>37105</v>
      </c>
      <c r="F75" s="10">
        <f>_xll.BDH("CHTR US Equity","EQTY_BEF_MINORITY_INT_DETAILED","FQ4 2018","FQ4 2018","Currency=USD","Period=FQ","BEST_FPERIOD_OVERRIDE=FQ","FILING_STATUS=MR","SCALING_FORMAT=MLN","Sort=A","Dates=H","DateFormat=P","Fill=—","Direction=H","UseDPDF=Y")</f>
        <v>36285</v>
      </c>
      <c r="G75" s="10">
        <f>_xll.BDH("CHTR US Equity","EQTY_BEF_MINORITY_INT_DETAILED","FQ1 2019","FQ1 2019","Currency=USD","Period=FQ","BEST_FPERIOD_OVERRIDE=FQ","FILING_STATUS=MR","SCALING_FORMAT=MLN","Sort=A","Dates=H","DateFormat=P","Fill=—","Direction=H","UseDPDF=Y")</f>
        <v>35734</v>
      </c>
      <c r="H75" s="10">
        <f>_xll.BDH("CHTR US Equity","EQTY_BEF_MINORITY_INT_DETAILED","FQ2 2019","FQ2 2019","Currency=USD","Period=FQ","BEST_FPERIOD_OVERRIDE=FQ","FILING_STATUS=MR","SCALING_FORMAT=MLN","Sort=A","Dates=H","DateFormat=P","Fill=—","Direction=H","UseDPDF=Y")</f>
        <v>35286</v>
      </c>
      <c r="I75" s="10">
        <f>_xll.BDH("CHTR US Equity","EQTY_BEF_MINORITY_INT_DETAILED","FQ3 2019","FQ3 2019","Currency=USD","Period=FQ","BEST_FPERIOD_OVERRIDE=FQ","FILING_STATUS=MR","SCALING_FORMAT=MLN","Sort=A","Dates=H","DateFormat=P","Fill=—","Direction=H","UseDPDF=Y")</f>
        <v>32974</v>
      </c>
      <c r="J75" s="10">
        <f>_xll.BDH("CHTR US Equity","EQTY_BEF_MINORITY_INT_DETAILED","FQ4 2019","FQ4 2019","Currency=USD","Period=FQ","BEST_FPERIOD_OVERRIDE=FQ","FILING_STATUS=MR","SCALING_FORMAT=MLN","Sort=A","Dates=H","DateFormat=P","Fill=—","Direction=H","UseDPDF=Y")</f>
        <v>31445</v>
      </c>
      <c r="K75" s="10">
        <f>_xll.BDH("CHTR US Equity","EQTY_BEF_MINORITY_INT_DETAILED","FQ1 2020","FQ1 2020","Currency=USD","Period=FQ","BEST_FPERIOD_OVERRIDE=FQ","FILING_STATUS=MR","SCALING_FORMAT=MLN","Sort=A","Dates=H","DateFormat=P","Fill=—","Direction=H","UseDPDF=Y")</f>
        <v>29628</v>
      </c>
      <c r="L75" s="10">
        <f>_xll.BDH("CHTR US Equity","EQTY_BEF_MINORITY_INT_DETAILED","FQ2 2020","FQ2 2020","Currency=USD","Period=FQ","BEST_FPERIOD_OVERRIDE=FQ","FILING_STATUS=MR","SCALING_FORMAT=MLN","Sort=A","Dates=H","DateFormat=P","Fill=—","Direction=H","UseDPDF=Y")</f>
        <v>29356</v>
      </c>
    </row>
    <row r="76" spans="1:12" x14ac:dyDescent="0.35">
      <c r="A76" s="16" t="s">
        <v>200</v>
      </c>
      <c r="B76" s="16" t="s">
        <v>199</v>
      </c>
      <c r="C76" s="17">
        <f>_xll.BDH("CHTR US Equity","MINORITY_NONCONTROLLING_INTEREST","FQ1 2018","FQ1 2018","Currency=USD","Period=FQ","BEST_FPERIOD_OVERRIDE=FQ","FILING_STATUS=MR","SCALING_FORMAT=MLN","Sort=A","Dates=H","DateFormat=P","Fill=—","Direction=H","UseDPDF=Y")</f>
        <v>8357</v>
      </c>
      <c r="D76" s="17">
        <f>_xll.BDH("CHTR US Equity","MINORITY_NONCONTROLLING_INTEREST","FQ2 2018","FQ2 2018","Currency=USD","Period=FQ","BEST_FPERIOD_OVERRIDE=FQ","FILING_STATUS=MR","SCALING_FORMAT=MLN","Sort=A","Dates=H","DateFormat=P","Fill=—","Direction=H","UseDPDF=Y")</f>
        <v>8199</v>
      </c>
      <c r="E76" s="17">
        <f>_xll.BDH("CHTR US Equity","MINORITY_NONCONTROLLING_INTEREST","FQ3 2018","FQ3 2018","Currency=USD","Period=FQ","BEST_FPERIOD_OVERRIDE=FQ","FILING_STATUS=MR","SCALING_FORMAT=MLN","Sort=A","Dates=H","DateFormat=P","Fill=—","Direction=H","UseDPDF=Y")</f>
        <v>8123</v>
      </c>
      <c r="F76" s="17">
        <f>_xll.BDH("CHTR US Equity","MINORITY_NONCONTROLLING_INTEREST","FQ4 2018","FQ4 2018","Currency=USD","Period=FQ","BEST_FPERIOD_OVERRIDE=FQ","FILING_STATUS=MR","SCALING_FORMAT=MLN","Sort=A","Dates=H","DateFormat=P","Fill=—","Direction=H","UseDPDF=Y")</f>
        <v>7987</v>
      </c>
      <c r="G76" s="17">
        <f>_xll.BDH("CHTR US Equity","MINORITY_NONCONTROLLING_INTEREST","FQ1 2019","FQ1 2019","Currency=USD","Period=FQ","BEST_FPERIOD_OVERRIDE=FQ","FILING_STATUS=MR","SCALING_FORMAT=MLN","Sort=A","Dates=H","DateFormat=P","Fill=—","Direction=H","UseDPDF=Y")</f>
        <v>7909</v>
      </c>
      <c r="H76" s="17">
        <f>_xll.BDH("CHTR US Equity","MINORITY_NONCONTROLLING_INTEREST","FQ2 2019","FQ2 2019","Currency=USD","Period=FQ","BEST_FPERIOD_OVERRIDE=FQ","FILING_STATUS=MR","SCALING_FORMAT=MLN","Sort=A","Dates=H","DateFormat=P","Fill=—","Direction=H","UseDPDF=Y")</f>
        <v>7808</v>
      </c>
      <c r="I76" s="17">
        <f>_xll.BDH("CHTR US Equity","MINORITY_NONCONTROLLING_INTEREST","FQ3 2019","FQ3 2019","Currency=USD","Period=FQ","BEST_FPERIOD_OVERRIDE=FQ","FILING_STATUS=MR","SCALING_FORMAT=MLN","Sort=A","Dates=H","DateFormat=P","Fill=—","Direction=H","UseDPDF=Y")</f>
        <v>7548</v>
      </c>
      <c r="J76" s="17">
        <f>_xll.BDH("CHTR US Equity","MINORITY_NONCONTROLLING_INTEREST","FQ4 2019","FQ4 2019","Currency=USD","Period=FQ","BEST_FPERIOD_OVERRIDE=FQ","FILING_STATUS=MR","SCALING_FORMAT=MLN","Sort=A","Dates=H","DateFormat=P","Fill=—","Direction=H","UseDPDF=Y")</f>
        <v>7366</v>
      </c>
      <c r="K76" s="17">
        <f>_xll.BDH("CHTR US Equity","MINORITY_NONCONTROLLING_INTEREST","FQ1 2020","FQ1 2020","Currency=USD","Period=FQ","BEST_FPERIOD_OVERRIDE=FQ","FILING_STATUS=MR","SCALING_FORMAT=MLN","Sort=A","Dates=H","DateFormat=P","Fill=—","Direction=H","UseDPDF=Y")</f>
        <v>7094</v>
      </c>
      <c r="L76" s="17">
        <f>_xll.BDH("CHTR US Equity","MINORITY_NONCONTROLLING_INTEREST","FQ2 2020","FQ2 2020","Currency=USD","Period=FQ","BEST_FPERIOD_OVERRIDE=FQ","FILING_STATUS=MR","SCALING_FORMAT=MLN","Sort=A","Dates=H","DateFormat=P","Fill=—","Direction=H","UseDPDF=Y")</f>
        <v>7045</v>
      </c>
    </row>
    <row r="77" spans="1:12" x14ac:dyDescent="0.35">
      <c r="A77" s="12" t="s">
        <v>198</v>
      </c>
      <c r="B77" s="12" t="s">
        <v>197</v>
      </c>
      <c r="C77" s="10">
        <f>_xll.BDH("CHTR US Equity","TOTAL_EQUITY","FQ1 2018","FQ1 2018","Currency=USD","Period=FQ","BEST_FPERIOD_OVERRIDE=FQ","FILING_STATUS=MR","SCALING_FORMAT=MLN","Sort=A","Dates=H","DateFormat=P","Fill=—","Direction=H","UseDPDF=Y")</f>
        <v>47125</v>
      </c>
      <c r="D77" s="10">
        <f>_xll.BDH("CHTR US Equity","TOTAL_EQUITY","FQ2 2018","FQ2 2018","Currency=USD","Period=FQ","BEST_FPERIOD_OVERRIDE=FQ","FILING_STATUS=MR","SCALING_FORMAT=MLN","Sort=A","Dates=H","DateFormat=P","Fill=—","Direction=H","UseDPDF=Y")</f>
        <v>45642</v>
      </c>
      <c r="E77" s="10">
        <f>_xll.BDH("CHTR US Equity","TOTAL_EQUITY","FQ3 2018","FQ3 2018","Currency=USD","Period=FQ","BEST_FPERIOD_OVERRIDE=FQ","FILING_STATUS=MR","SCALING_FORMAT=MLN","Sort=A","Dates=H","DateFormat=P","Fill=—","Direction=H","UseDPDF=Y")</f>
        <v>45228</v>
      </c>
      <c r="F77" s="10">
        <f>_xll.BDH("CHTR US Equity","TOTAL_EQUITY","FQ4 2018","FQ4 2018","Currency=USD","Period=FQ","BEST_FPERIOD_OVERRIDE=FQ","FILING_STATUS=MR","SCALING_FORMAT=MLN","Sort=A","Dates=H","DateFormat=P","Fill=—","Direction=H","UseDPDF=Y")</f>
        <v>44272</v>
      </c>
      <c r="G77" s="10">
        <f>_xll.BDH("CHTR US Equity","TOTAL_EQUITY","FQ1 2019","FQ1 2019","Currency=USD","Period=FQ","BEST_FPERIOD_OVERRIDE=FQ","FILING_STATUS=MR","SCALING_FORMAT=MLN","Sort=A","Dates=H","DateFormat=P","Fill=—","Direction=H","UseDPDF=Y")</f>
        <v>43643</v>
      </c>
      <c r="H77" s="10">
        <f>_xll.BDH("CHTR US Equity","TOTAL_EQUITY","FQ2 2019","FQ2 2019","Currency=USD","Period=FQ","BEST_FPERIOD_OVERRIDE=FQ","FILING_STATUS=MR","SCALING_FORMAT=MLN","Sort=A","Dates=H","DateFormat=P","Fill=—","Direction=H","UseDPDF=Y")</f>
        <v>43094</v>
      </c>
      <c r="I77" s="10">
        <f>_xll.BDH("CHTR US Equity","TOTAL_EQUITY","FQ3 2019","FQ3 2019","Currency=USD","Period=FQ","BEST_FPERIOD_OVERRIDE=FQ","FILING_STATUS=MR","SCALING_FORMAT=MLN","Sort=A","Dates=H","DateFormat=P","Fill=—","Direction=H","UseDPDF=Y")</f>
        <v>40522</v>
      </c>
      <c r="J77" s="10">
        <f>_xll.BDH("CHTR US Equity","TOTAL_EQUITY","FQ4 2019","FQ4 2019","Currency=USD","Period=FQ","BEST_FPERIOD_OVERRIDE=FQ","FILING_STATUS=MR","SCALING_FORMAT=MLN","Sort=A","Dates=H","DateFormat=P","Fill=—","Direction=H","UseDPDF=Y")</f>
        <v>38811</v>
      </c>
      <c r="K77" s="10">
        <f>_xll.BDH("CHTR US Equity","TOTAL_EQUITY","FQ1 2020","FQ1 2020","Currency=USD","Period=FQ","BEST_FPERIOD_OVERRIDE=FQ","FILING_STATUS=MR","SCALING_FORMAT=MLN","Sort=A","Dates=H","DateFormat=P","Fill=—","Direction=H","UseDPDF=Y")</f>
        <v>36722</v>
      </c>
      <c r="L77" s="10">
        <f>_xll.BDH("CHTR US Equity","TOTAL_EQUITY","FQ2 2020","FQ2 2020","Currency=USD","Period=FQ","BEST_FPERIOD_OVERRIDE=FQ","FILING_STATUS=MR","SCALING_FORMAT=MLN","Sort=A","Dates=H","DateFormat=P","Fill=—","Direction=H","UseDPDF=Y")</f>
        <v>36401</v>
      </c>
    </row>
    <row r="78" spans="1:12" x14ac:dyDescent="0.35">
      <c r="A78" s="12" t="s">
        <v>196</v>
      </c>
      <c r="B78" s="12" t="s">
        <v>195</v>
      </c>
      <c r="C78" s="10">
        <f>_xll.BDH("CHTR US Equity","TOT_LIAB_AND_EQY","FQ1 2018","FQ1 2018","Currency=USD","Period=FQ","BEST_FPERIOD_OVERRIDE=FQ","FILING_STATUS=MR","SCALING_FORMAT=MLN","Sort=A","Dates=H","DateFormat=P","Fill=—","Direction=H","UseDPDF=Y")</f>
        <v>146151</v>
      </c>
      <c r="D78" s="10">
        <f>_xll.BDH("CHTR US Equity","TOT_LIAB_AND_EQY","FQ2 2018","FQ2 2018","Currency=USD","Period=FQ","BEST_FPERIOD_OVERRIDE=FQ","FILING_STATUS=MR","SCALING_FORMAT=MLN","Sort=A","Dates=H","DateFormat=P","Fill=—","Direction=H","UseDPDF=Y")</f>
        <v>146251</v>
      </c>
      <c r="E78" s="10">
        <f>_xll.BDH("CHTR US Equity","TOT_LIAB_AND_EQY","FQ3 2018","FQ3 2018","Currency=USD","Period=FQ","BEST_FPERIOD_OVERRIDE=FQ","FILING_STATUS=MR","SCALING_FORMAT=MLN","Sort=A","Dates=H","DateFormat=P","Fill=—","Direction=H","UseDPDF=Y")</f>
        <v>146085</v>
      </c>
      <c r="F78" s="10">
        <f>_xll.BDH("CHTR US Equity","TOT_LIAB_AND_EQY","FQ4 2018","FQ4 2018","Currency=USD","Period=FQ","BEST_FPERIOD_OVERRIDE=FQ","FILING_STATUS=MR","SCALING_FORMAT=MLN","Sort=A","Dates=H","DateFormat=P","Fill=—","Direction=H","UseDPDF=Y")</f>
        <v>146130</v>
      </c>
      <c r="G78" s="10">
        <f>_xll.BDH("CHTR US Equity","TOT_LIAB_AND_EQY","FQ1 2019","FQ1 2019","Currency=USD","Period=FQ","BEST_FPERIOD_OVERRIDE=FQ","FILING_STATUS=MR","SCALING_FORMAT=MLN","Sort=A","Dates=H","DateFormat=P","Fill=—","Direction=H","UseDPDF=Y")</f>
        <v>147257</v>
      </c>
      <c r="H78" s="10">
        <f>_xll.BDH("CHTR US Equity","TOT_LIAB_AND_EQY","FQ2 2019","FQ2 2019","Currency=USD","Period=FQ","BEST_FPERIOD_OVERRIDE=FQ","FILING_STATUS=MR","SCALING_FORMAT=MLN","Sort=A","Dates=H","DateFormat=P","Fill=—","Direction=H","UseDPDF=Y")</f>
        <v>146085</v>
      </c>
      <c r="I78" s="10">
        <f>_xll.BDH("CHTR US Equity","TOT_LIAB_AND_EQY","FQ3 2019","FQ3 2019","Currency=USD","Period=FQ","BEST_FPERIOD_OVERRIDE=FQ","FILING_STATUS=MR","SCALING_FORMAT=MLN","Sort=A","Dates=H","DateFormat=P","Fill=—","Direction=H","UseDPDF=Y")</f>
        <v>145267</v>
      </c>
      <c r="J78" s="10">
        <f>_xll.BDH("CHTR US Equity","TOT_LIAB_AND_EQY","FQ4 2019","FQ4 2019","Currency=USD","Period=FQ","BEST_FPERIOD_OVERRIDE=FQ","FILING_STATUS=MR","SCALING_FORMAT=MLN","Sort=A","Dates=H","DateFormat=P","Fill=—","Direction=H","UseDPDF=Y")</f>
        <v>148188</v>
      </c>
      <c r="K78" s="10">
        <f>_xll.BDH("CHTR US Equity","TOT_LIAB_AND_EQY","FQ1 2020","FQ1 2020","Currency=USD","Period=FQ","BEST_FPERIOD_OVERRIDE=FQ","FILING_STATUS=MR","SCALING_FORMAT=MLN","Sort=A","Dates=H","DateFormat=P","Fill=—","Direction=H","UseDPDF=Y")</f>
        <v>146552</v>
      </c>
      <c r="L78" s="10">
        <f>_xll.BDH("CHTR US Equity","TOT_LIAB_AND_EQY","FQ2 2020","FQ2 2020","Currency=USD","Period=FQ","BEST_FPERIOD_OVERRIDE=FQ","FILING_STATUS=MR","SCALING_FORMAT=MLN","Sort=A","Dates=H","DateFormat=P","Fill=—","Direction=H","UseDPDF=Y")</f>
        <v>145136</v>
      </c>
    </row>
    <row r="79" spans="1:12" x14ac:dyDescent="0.35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 spans="1:12" x14ac:dyDescent="0.35">
      <c r="A80" s="12" t="s">
        <v>2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 spans="1:12" x14ac:dyDescent="0.35">
      <c r="A81" s="16" t="s">
        <v>79</v>
      </c>
      <c r="B81" s="16" t="s">
        <v>78</v>
      </c>
      <c r="C81" s="14" t="s">
        <v>77</v>
      </c>
      <c r="D81" s="14" t="s">
        <v>77</v>
      </c>
      <c r="E81" s="14" t="s">
        <v>77</v>
      </c>
      <c r="F81" s="14" t="s">
        <v>77</v>
      </c>
      <c r="G81" s="14" t="s">
        <v>77</v>
      </c>
      <c r="H81" s="14" t="s">
        <v>77</v>
      </c>
      <c r="I81" s="14" t="s">
        <v>77</v>
      </c>
      <c r="J81" s="14" t="s">
        <v>77</v>
      </c>
      <c r="K81" s="14" t="s">
        <v>77</v>
      </c>
      <c r="L81" s="14" t="s">
        <v>77</v>
      </c>
    </row>
    <row r="82" spans="1:12" x14ac:dyDescent="0.35">
      <c r="A82" s="16" t="s">
        <v>194</v>
      </c>
      <c r="B82" s="16" t="s">
        <v>193</v>
      </c>
      <c r="C82" s="17">
        <f>_xll.BDH("CHTR US Equity","BS_SH_OUT","FQ1 2018","FQ1 2018","Currency=USD","Period=FQ","BEST_FPERIOD_OVERRIDE=FQ","FILING_STATUS=MR","Sort=A","Dates=H","DateFormat=P","Fill=—","Direction=H","UseDPDF=Y")</f>
        <v>237.46350000000001</v>
      </c>
      <c r="D82" s="17">
        <f>_xll.BDH("CHTR US Equity","BS_SH_OUT","FQ2 2018","FQ2 2018","Currency=USD","Period=FQ","BEST_FPERIOD_OVERRIDE=FQ","FILING_STATUS=MR","Sort=A","Dates=H","DateFormat=P","Fill=—","Direction=H","UseDPDF=Y")</f>
        <v>231.8639</v>
      </c>
      <c r="E82" s="17">
        <f>_xll.BDH("CHTR US Equity","BS_SH_OUT","FQ3 2018","FQ3 2018","Currency=USD","Period=FQ","BEST_FPERIOD_OVERRIDE=FQ","FILING_STATUS=MR","Sort=A","Dates=H","DateFormat=P","Fill=—","Direction=H","UseDPDF=Y")</f>
        <v>228.9177</v>
      </c>
      <c r="F82" s="17">
        <f>_xll.BDH("CHTR US Equity","BS_SH_OUT","FQ4 2018","FQ4 2018","Currency=USD","Period=FQ","BEST_FPERIOD_OVERRIDE=FQ","FILING_STATUS=MR","Sort=A","Dates=H","DateFormat=P","Fill=—","Direction=H","UseDPDF=Y")</f>
        <v>225.35380000000001</v>
      </c>
      <c r="G82" s="17">
        <f>_xll.BDH("CHTR US Equity","BS_SH_OUT","FQ1 2019","FQ1 2019","Currency=USD","Period=FQ","BEST_FPERIOD_OVERRIDE=FQ","FILING_STATUS=MR","Sort=A","Dates=H","DateFormat=P","Fill=—","Direction=H","UseDPDF=Y")</f>
        <v>223.40809999999999</v>
      </c>
      <c r="H82" s="17">
        <f>_xll.BDH("CHTR US Equity","BS_SH_OUT","FQ2 2019","FQ2 2019","Currency=USD","Period=FQ","BEST_FPERIOD_OVERRIDE=FQ","FILING_STATUS=MR","Sort=A","Dates=H","DateFormat=P","Fill=—","Direction=H","UseDPDF=Y")</f>
        <v>221.4777</v>
      </c>
      <c r="I82" s="17">
        <f>_xll.BDH("CHTR US Equity","BS_SH_OUT","FQ3 2019","FQ3 2019","Currency=USD","Period=FQ","BEST_FPERIOD_OVERRIDE=FQ","FILING_STATUS=MR","Sort=A","Dates=H","DateFormat=P","Fill=—","Direction=H","UseDPDF=Y")</f>
        <v>214.7801</v>
      </c>
      <c r="J82" s="17">
        <f>_xll.BDH("CHTR US Equity","BS_SH_OUT","FQ4 2019","FQ4 2019","Currency=USD","Period=FQ","BEST_FPERIOD_OVERRIDE=FQ","FILING_STATUS=MR","Sort=A","Dates=H","DateFormat=P","Fill=—","Direction=H","UseDPDF=Y")</f>
        <v>209.976</v>
      </c>
      <c r="K82" s="17">
        <f>_xll.BDH("CHTR US Equity","BS_SH_OUT","FQ1 2020","FQ1 2020","Currency=USD","Period=FQ","BEST_FPERIOD_OVERRIDE=FQ","FILING_STATUS=MR","Sort=A","Dates=H","DateFormat=P","Fill=—","Direction=H","UseDPDF=Y")</f>
        <v>206.45750000000001</v>
      </c>
      <c r="L82" s="17">
        <f>_xll.BDH("CHTR US Equity","BS_SH_OUT","FQ2 2020","FQ2 2020","Currency=USD","Period=FQ","BEST_FPERIOD_OVERRIDE=FQ","FILING_STATUS=MR","Sort=A","Dates=H","DateFormat=P","Fill=—","Direction=H","UseDPDF=Y")</f>
        <v>204.89920000000001</v>
      </c>
    </row>
    <row r="83" spans="1:12" x14ac:dyDescent="0.35">
      <c r="A83" s="16" t="s">
        <v>192</v>
      </c>
      <c r="B83" s="16" t="s">
        <v>191</v>
      </c>
      <c r="C83" s="17">
        <f>_xll.BDH("CHTR US Equity","BS_NUM_OF_TSY_SH","FQ1 2018","FQ1 2018","Currency=USD","Period=FQ","BEST_FPERIOD_OVERRIDE=FQ","FILING_STATUS=MR","Sort=A","Dates=H","DateFormat=P","Fill=—","Direction=H","UseDPDF=Y")</f>
        <v>1.7707999999999999</v>
      </c>
      <c r="D83" s="17">
        <f>_xll.BDH("CHTR US Equity","BS_NUM_OF_TSY_SH","FQ2 2018","FQ2 2018","Currency=USD","Period=FQ","BEST_FPERIOD_OVERRIDE=FQ","FILING_STATUS=MR","Sort=A","Dates=H","DateFormat=P","Fill=—","Direction=H","UseDPDF=Y")</f>
        <v>7.5064000000000002</v>
      </c>
      <c r="E83" s="17">
        <f>_xll.BDH("CHTR US Equity","BS_NUM_OF_TSY_SH","FQ3 2018","FQ3 2018","Currency=USD","Period=FQ","BEST_FPERIOD_OVERRIDE=FQ","FILING_STATUS=MR","Sort=A","Dates=H","DateFormat=P","Fill=—","Direction=H","UseDPDF=Y")</f>
        <v>10.574199999999999</v>
      </c>
      <c r="F83" s="17">
        <f>_xll.BDH("CHTR US Equity","BS_NUM_OF_TSY_SH","FQ4 2018","FQ4 2018","Currency=USD","Period=FQ","BEST_FPERIOD_OVERRIDE=FQ","FILING_STATUS=MR","Sort=A","Dates=H","DateFormat=P","Fill=—","Direction=H","UseDPDF=Y")</f>
        <v>0</v>
      </c>
      <c r="G83" s="17">
        <f>_xll.BDH("CHTR US Equity","BS_NUM_OF_TSY_SH","FQ1 2019","FQ1 2019","Currency=USD","Period=FQ","BEST_FPERIOD_OVERRIDE=FQ","FILING_STATUS=MR","Sort=A","Dates=H","DateFormat=P","Fill=—","Direction=H","UseDPDF=Y")</f>
        <v>2.9245999999999999</v>
      </c>
      <c r="H83" s="17">
        <f>_xll.BDH("CHTR US Equity","BS_NUM_OF_TSY_SH","FQ2 2019","FQ2 2019","Currency=USD","Period=FQ","BEST_FPERIOD_OVERRIDE=FQ","FILING_STATUS=MR","Sort=A","Dates=H","DateFormat=P","Fill=—","Direction=H","UseDPDF=Y")</f>
        <v>5.3262</v>
      </c>
      <c r="I83" s="17">
        <f>_xll.BDH("CHTR US Equity","BS_NUM_OF_TSY_SH","FQ3 2019","FQ3 2019","Currency=USD","Period=FQ","BEST_FPERIOD_OVERRIDE=FQ","FILING_STATUS=MR","Sort=A","Dates=H","DateFormat=P","Fill=—","Direction=H","UseDPDF=Y")</f>
        <v>12.3431</v>
      </c>
      <c r="J83" s="17">
        <f>_xll.BDH("CHTR US Equity","BS_NUM_OF_TSY_SH","FQ4 2019","FQ4 2019","Currency=USD","Period=FQ","BEST_FPERIOD_OVERRIDE=FQ","FILING_STATUS=MR","Sort=A","Dates=H","DateFormat=P","Fill=—","Direction=H","UseDPDF=Y")</f>
        <v>0</v>
      </c>
      <c r="K83" s="17">
        <f>_xll.BDH("CHTR US Equity","BS_NUM_OF_TSY_SH","FQ1 2020","FQ1 2020","Currency=USD","Period=FQ","BEST_FPERIOD_OVERRIDE=FQ","FILING_STATUS=MR","Sort=A","Dates=H","DateFormat=P","Fill=—","Direction=H","UseDPDF=Y")</f>
        <v>5.03</v>
      </c>
      <c r="L83" s="17">
        <f>_xll.BDH("CHTR US Equity","BS_NUM_OF_TSY_SH","FQ2 2020","FQ2 2020","Currency=USD","Period=FQ","BEST_FPERIOD_OVERRIDE=FQ","FILING_STATUS=MR","Sort=A","Dates=H","DateFormat=P","Fill=—","Direction=H","UseDPDF=Y")</f>
        <v>7.4947999999999997</v>
      </c>
    </row>
    <row r="84" spans="1:12" x14ac:dyDescent="0.35">
      <c r="A84" s="16" t="s">
        <v>190</v>
      </c>
      <c r="B84" s="16" t="s">
        <v>189</v>
      </c>
      <c r="C84" s="17">
        <f>_xll.BDH("CHTR US Equity","BS_PENSION_RSRV","FQ1 2018","FQ1 2018","Currency=USD","Period=FQ","BEST_FPERIOD_OVERRIDE=FQ","FILING_STATUS=MR","SCALING_FORMAT=MLN","Sort=A","Dates=H","DateFormat=P","Fill=—","Direction=H","UseDPDF=Y")</f>
        <v>0</v>
      </c>
      <c r="D84" s="17">
        <f>_xll.BDH("CHTR US Equity","BS_PENSION_RSRV","FQ2 2018","FQ2 2018","Currency=USD","Period=FQ","BEST_FPERIOD_OVERRIDE=FQ","FILING_STATUS=MR","SCALING_FORMAT=MLN","Sort=A","Dates=H","DateFormat=P","Fill=—","Direction=H","UseDPDF=Y")</f>
        <v>0</v>
      </c>
      <c r="E84" s="17">
        <f>_xll.BDH("CHTR US Equity","BS_PENSION_RSRV","FQ3 2018","FQ3 2018","Currency=USD","Period=FQ","BEST_FPERIOD_OVERRIDE=FQ","FILING_STATUS=MR","SCALING_FORMAT=MLN","Sort=A","Dates=H","DateFormat=P","Fill=—","Direction=H","UseDPDF=Y")</f>
        <v>0</v>
      </c>
      <c r="F84" s="17">
        <f>_xll.BDH("CHTR US Equity","BS_PENSION_RSRV","FQ4 2018","FQ4 2018","Currency=USD","Period=FQ","BEST_FPERIOD_OVERRIDE=FQ","FILING_STATUS=MR","SCALING_FORMAT=MLN","Sort=A","Dates=H","DateFormat=P","Fill=—","Direction=H","UseDPDF=Y")</f>
        <v>0</v>
      </c>
      <c r="G84" s="17">
        <f>_xll.BDH("CHTR US Equity","BS_PENSION_RSRV","FQ1 2019","FQ1 2019","Currency=USD","Period=FQ","BEST_FPERIOD_OVERRIDE=FQ","FILING_STATUS=MR","SCALING_FORMAT=MLN","Sort=A","Dates=H","DateFormat=P","Fill=—","Direction=H","UseDPDF=Y")</f>
        <v>0</v>
      </c>
      <c r="H84" s="17">
        <f>_xll.BDH("CHTR US Equity","BS_PENSION_RSRV","FQ2 2019","FQ2 2019","Currency=USD","Period=FQ","BEST_FPERIOD_OVERRIDE=FQ","FILING_STATUS=MR","SCALING_FORMAT=MLN","Sort=A","Dates=H","DateFormat=P","Fill=—","Direction=H","UseDPDF=Y")</f>
        <v>0</v>
      </c>
      <c r="I84" s="17">
        <f>_xll.BDH("CHTR US Equity","BS_PENSION_RSRV","FQ3 2019","FQ3 2019","Currency=USD","Period=FQ","BEST_FPERIOD_OVERRIDE=FQ","FILING_STATUS=MR","SCALING_FORMAT=MLN","Sort=A","Dates=H","DateFormat=P","Fill=—","Direction=H","UseDPDF=Y")</f>
        <v>0</v>
      </c>
      <c r="J84" s="17">
        <f>_xll.BDH("CHTR US Equity","BS_PENSION_RSRV","FQ4 2019","FQ4 2019","Currency=USD","Period=FQ","BEST_FPERIOD_OVERRIDE=FQ","FILING_STATUS=MR","SCALING_FORMAT=MLN","Sort=A","Dates=H","DateFormat=P","Fill=—","Direction=H","UseDPDF=Y")</f>
        <v>0</v>
      </c>
      <c r="K84" s="17">
        <f>_xll.BDH("CHTR US Equity","BS_PENSION_RSRV","FQ1 2020","FQ1 2020","Currency=USD","Period=FQ","BEST_FPERIOD_OVERRIDE=FQ","FILING_STATUS=MR","SCALING_FORMAT=MLN","Sort=A","Dates=H","DateFormat=P","Fill=—","Direction=H","UseDPDF=Y")</f>
        <v>0</v>
      </c>
      <c r="L84" s="17">
        <f>_xll.BDH("CHTR US Equity","BS_PENSION_RSRV","FQ2 2020","FQ2 2020","Currency=USD","Period=FQ","BEST_FPERIOD_OVERRIDE=FQ","FILING_STATUS=MR","SCALING_FORMAT=MLN","Sort=A","Dates=H","DateFormat=P","Fill=—","Direction=H","UseDPDF=Y")</f>
        <v>0</v>
      </c>
    </row>
    <row r="85" spans="1:12" x14ac:dyDescent="0.35">
      <c r="A85" s="16" t="s">
        <v>188</v>
      </c>
      <c r="B85" s="16" t="s">
        <v>187</v>
      </c>
      <c r="C85" s="17" t="str">
        <f>_xll.BDH("CHTR US Equity","BS_FUTURE_MIN_OPER_LEASE_OBLIG","FQ1 2018","FQ1 2018","Currency=USD","Period=FQ","BEST_FPERIOD_OVERRIDE=FQ","FILING_STATUS=MR","SCALING_FORMAT=MLN","Sort=A","Dates=H","DateFormat=P","Fill=—","Direction=H","UseDPDF=Y")</f>
        <v>—</v>
      </c>
      <c r="D85" s="17" t="str">
        <f>_xll.BDH("CHTR US Equity","BS_FUTURE_MIN_OPER_LEASE_OBLIG","FQ2 2018","FQ2 2018","Currency=USD","Period=FQ","BEST_FPERIOD_OVERRIDE=FQ","FILING_STATUS=MR","SCALING_FORMAT=MLN","Sort=A","Dates=H","DateFormat=P","Fill=—","Direction=H","UseDPDF=Y")</f>
        <v>—</v>
      </c>
      <c r="E85" s="17" t="str">
        <f>_xll.BDH("CHTR US Equity","BS_FUTURE_MIN_OPER_LEASE_OBLIG","FQ3 2018","FQ3 2018","Currency=USD","Period=FQ","BEST_FPERIOD_OVERRIDE=FQ","FILING_STATUS=MR","SCALING_FORMAT=MLN","Sort=A","Dates=H","DateFormat=P","Fill=—","Direction=H","UseDPDF=Y")</f>
        <v>—</v>
      </c>
      <c r="F85" s="17">
        <f>_xll.BDH("CHTR US Equity","BS_FUTURE_MIN_OPER_LEASE_OBLIG","FQ4 2018","FQ4 2018","Currency=USD","Period=FQ","BEST_FPERIOD_OVERRIDE=FQ","FILING_STATUS=MR","SCALING_FORMAT=MLN","Sort=A","Dates=H","DateFormat=P","Fill=—","Direction=H","UseDPDF=Y")</f>
        <v>1500</v>
      </c>
      <c r="G85" s="17">
        <f>_xll.BDH("CHTR US Equity","BS_FUTURE_MIN_OPER_LEASE_OBLIG","FQ1 2019","FQ1 2019","Currency=USD","Period=FQ","BEST_FPERIOD_OVERRIDE=FQ","FILING_STATUS=MR","SCALING_FORMAT=MLN","Sort=A","Dates=H","DateFormat=P","Fill=—","Direction=H","UseDPDF=Y")</f>
        <v>1500</v>
      </c>
      <c r="H85" s="17">
        <f>_xll.BDH("CHTR US Equity","BS_FUTURE_MIN_OPER_LEASE_OBLIG","FQ2 2019","FQ2 2019","Currency=USD","Period=FQ","BEST_FPERIOD_OVERRIDE=FQ","FILING_STATUS=MR","SCALING_FORMAT=MLN","Sort=A","Dates=H","DateFormat=P","Fill=—","Direction=H","UseDPDF=Y")</f>
        <v>1568</v>
      </c>
      <c r="I85" s="17">
        <f>_xll.BDH("CHTR US Equity","BS_FUTURE_MIN_OPER_LEASE_OBLIG","FQ3 2019","FQ3 2019","Currency=USD","Period=FQ","BEST_FPERIOD_OVERRIDE=FQ","FILING_STATUS=MR","SCALING_FORMAT=MLN","Sort=A","Dates=H","DateFormat=P","Fill=—","Direction=H","UseDPDF=Y")</f>
        <v>1516</v>
      </c>
      <c r="J85" s="17">
        <f>_xll.BDH("CHTR US Equity","BS_FUTURE_MIN_OPER_LEASE_OBLIG","FQ4 2019","FQ4 2019","Currency=USD","Period=FQ","BEST_FPERIOD_OVERRIDE=FQ","FILING_STATUS=MR","SCALING_FORMAT=MLN","Sort=A","Dates=H","DateFormat=P","Fill=—","Direction=H","UseDPDF=Y")</f>
        <v>1499</v>
      </c>
      <c r="K85" s="17">
        <f>_xll.BDH("CHTR US Equity","BS_FUTURE_MIN_OPER_LEASE_OBLIG","FQ1 2020","FQ1 2020","Currency=USD","Period=FQ","BEST_FPERIOD_OVERRIDE=FQ","FILING_STATUS=MR","SCALING_FORMAT=MLN","Sort=A","Dates=H","DateFormat=P","Fill=—","Direction=H","UseDPDF=Y")</f>
        <v>1468</v>
      </c>
      <c r="L85" s="17">
        <f>_xll.BDH("CHTR US Equity","BS_FUTURE_MIN_OPER_LEASE_OBLIG","FQ2 2020","FQ2 2020","Currency=USD","Period=FQ","BEST_FPERIOD_OVERRIDE=FQ","FILING_STATUS=MR","SCALING_FORMAT=MLN","Sort=A","Dates=H","DateFormat=P","Fill=—","Direction=H","UseDPDF=Y")</f>
        <v>1511</v>
      </c>
    </row>
    <row r="86" spans="1:12" x14ac:dyDescent="0.35">
      <c r="A86" s="16" t="s">
        <v>186</v>
      </c>
      <c r="B86" s="16" t="s">
        <v>185</v>
      </c>
      <c r="C86" s="17" t="str">
        <f>_xll.BDH("CHTR US Equity","BS_TOTAL_CAPITAL_LEASES","FQ1 2018","FQ1 2018","Currency=USD","Period=FQ","BEST_FPERIOD_OVERRIDE=FQ","FILING_STATUS=MR","SCALING_FORMAT=MLN","Sort=A","Dates=H","DateFormat=P","Fill=—","Direction=H","UseDPDF=Y")</f>
        <v>—</v>
      </c>
      <c r="D86" s="17" t="str">
        <f>_xll.BDH("CHTR US Equity","BS_TOTAL_CAPITAL_LEASES","FQ2 2018","FQ2 2018","Currency=USD","Period=FQ","BEST_FPERIOD_OVERRIDE=FQ","FILING_STATUS=MR","SCALING_FORMAT=MLN","Sort=A","Dates=H","DateFormat=P","Fill=—","Direction=H","UseDPDF=Y")</f>
        <v>—</v>
      </c>
      <c r="E86" s="17" t="str">
        <f>_xll.BDH("CHTR US Equity","BS_TOTAL_CAPITAL_LEASES","FQ3 2018","FQ3 2018","Currency=USD","Period=FQ","BEST_FPERIOD_OVERRIDE=FQ","FILING_STATUS=MR","SCALING_FORMAT=MLN","Sort=A","Dates=H","DateFormat=P","Fill=—","Direction=H","UseDPDF=Y")</f>
        <v>—</v>
      </c>
      <c r="F86" s="17" t="str">
        <f>_xll.BDH("CHTR US Equity","BS_TOTAL_CAPITAL_LEASES","FQ4 2018","FQ4 2018","Currency=USD","Period=FQ","BEST_FPERIOD_OVERRIDE=FQ","FILING_STATUS=MR","SCALING_FORMAT=MLN","Sort=A","Dates=H","DateFormat=P","Fill=—","Direction=H","UseDPDF=Y")</f>
        <v>—</v>
      </c>
      <c r="G86" s="17">
        <f>_xll.BDH("CHTR US Equity","BS_TOTAL_CAPITAL_LEASES","FQ1 2019","FQ1 2019","Currency=USD","Period=FQ","BEST_FPERIOD_OVERRIDE=FQ","FILING_STATUS=MR","SCALING_FORMAT=MLN","Sort=A","Dates=H","DateFormat=P","Fill=—","Direction=H","UseDPDF=Y")</f>
        <v>104</v>
      </c>
      <c r="H86" s="17">
        <f>_xll.BDH("CHTR US Equity","BS_TOTAL_CAPITAL_LEASES","FQ2 2019","FQ2 2019","Currency=USD","Period=FQ","BEST_FPERIOD_OVERRIDE=FQ","FILING_STATUS=MR","SCALING_FORMAT=MLN","Sort=A","Dates=H","DateFormat=P","Fill=—","Direction=H","UseDPDF=Y")</f>
        <v>103</v>
      </c>
      <c r="I86" s="17">
        <f>_xll.BDH("CHTR US Equity","BS_TOTAL_CAPITAL_LEASES","FQ3 2019","FQ3 2019","Currency=USD","Period=FQ","BEST_FPERIOD_OVERRIDE=FQ","FILING_STATUS=MR","SCALING_FORMAT=MLN","Sort=A","Dates=H","DateFormat=P","Fill=—","Direction=H","UseDPDF=Y")</f>
        <v>58</v>
      </c>
      <c r="J86" s="17">
        <f>_xll.BDH("CHTR US Equity","BS_TOTAL_CAPITAL_LEASES","FQ4 2019","FQ4 2019","Currency=USD","Period=FQ","BEST_FPERIOD_OVERRIDE=FQ","FILING_STATUS=MR","SCALING_FORMAT=MLN","Sort=A","Dates=H","DateFormat=P","Fill=—","Direction=H","UseDPDF=Y")</f>
        <v>62</v>
      </c>
      <c r="K86" s="17">
        <f>_xll.BDH("CHTR US Equity","BS_TOTAL_CAPITAL_LEASES","FQ1 2020","FQ1 2020","Currency=USD","Period=FQ","BEST_FPERIOD_OVERRIDE=FQ","FILING_STATUS=MR","SCALING_FORMAT=MLN","Sort=A","Dates=H","DateFormat=P","Fill=—","Direction=H","UseDPDF=Y")</f>
        <v>60</v>
      </c>
      <c r="L86" s="17">
        <f>_xll.BDH("CHTR US Equity","BS_TOTAL_CAPITAL_LEASES","FQ2 2020","FQ2 2020","Currency=USD","Period=FQ","BEST_FPERIOD_OVERRIDE=FQ","FILING_STATUS=MR","SCALING_FORMAT=MLN","Sort=A","Dates=H","DateFormat=P","Fill=—","Direction=H","UseDPDF=Y")</f>
        <v>61</v>
      </c>
    </row>
    <row r="87" spans="1:12" x14ac:dyDescent="0.35">
      <c r="A87" s="16" t="s">
        <v>184</v>
      </c>
      <c r="B87" s="16" t="s">
        <v>183</v>
      </c>
      <c r="C87" s="17">
        <f>_xll.BDH("CHTR US Equity","BS_OPTIONS_GRANTED","FQ1 2018","FQ1 2018","Currency=USD","Period=FQ","BEST_FPERIOD_OVERRIDE=FQ","FILING_STATUS=MR","Sort=A","Dates=H","DateFormat=P","Fill=—","Direction=H","UseDPDF=Y")</f>
        <v>1.4298</v>
      </c>
      <c r="D87" s="17">
        <f>_xll.BDH("CHTR US Equity","BS_OPTIONS_GRANTED","FQ2 2018","FQ2 2018","Currency=USD","Period=FQ","BEST_FPERIOD_OVERRIDE=FQ","FILING_STATUS=MR","Sort=A","Dates=H","DateFormat=P","Fill=—","Direction=H","UseDPDF=Y")</f>
        <v>3.6700000000000003E-2</v>
      </c>
      <c r="E87" s="17">
        <f>_xll.BDH("CHTR US Equity","BS_OPTIONS_GRANTED","FQ3 2018","FQ3 2018","Currency=USD","Period=FQ","BEST_FPERIOD_OVERRIDE=FQ","FILING_STATUS=MR","Sort=A","Dates=H","DateFormat=P","Fill=—","Direction=H","UseDPDF=Y")</f>
        <v>2.4199999999999999E-2</v>
      </c>
      <c r="F87" s="17">
        <f>_xll.BDH("CHTR US Equity","BS_OPTIONS_GRANTED","FQ4 2018","FQ4 2018","Currency=USD","Period=FQ","BEST_FPERIOD_OVERRIDE=FQ","FILING_STATUS=MR","Sort=A","Dates=H","DateFormat=P","Fill=—","Direction=H","UseDPDF=Y")</f>
        <v>1.6299999999999999E-2</v>
      </c>
      <c r="G87" s="17">
        <f>_xll.BDH("CHTR US Equity","BS_OPTIONS_GRANTED","FQ1 2019","FQ1 2019","Currency=USD","Period=FQ","BEST_FPERIOD_OVERRIDE=FQ","FILING_STATUS=MR","Sort=A","Dates=H","DateFormat=P","Fill=—","Direction=H","UseDPDF=Y")</f>
        <v>1.7509000000000001</v>
      </c>
      <c r="H87" s="17">
        <f>_xll.BDH("CHTR US Equity","BS_OPTIONS_GRANTED","FQ2 2019","FQ2 2019","Currency=USD","Period=FQ","BEST_FPERIOD_OVERRIDE=FQ","FILING_STATUS=MR","Sort=A","Dates=H","DateFormat=P","Fill=—","Direction=H","UseDPDF=Y")</f>
        <v>1.7824</v>
      </c>
      <c r="I87" s="17">
        <f>_xll.BDH("CHTR US Equity","BS_OPTIONS_GRANTED","FQ3 2019","FQ3 2019","Currency=USD","Period=FQ","BEST_FPERIOD_OVERRIDE=FQ","FILING_STATUS=MR","Sort=A","Dates=H","DateFormat=P","Fill=—","Direction=H","UseDPDF=Y")</f>
        <v>3.9399999999999998E-2</v>
      </c>
      <c r="J87" s="17">
        <f>_xll.BDH("CHTR US Equity","BS_OPTIONS_GRANTED","FQ4 2019","FQ4 2019","Currency=USD","Period=FQ","BEST_FPERIOD_OVERRIDE=FQ","FILING_STATUS=MR","Sort=A","Dates=H","DateFormat=P","Fill=—","Direction=H","UseDPDF=Y")</f>
        <v>2.52E-2</v>
      </c>
      <c r="K87" s="17">
        <f>_xll.BDH("CHTR US Equity","BS_OPTIONS_GRANTED","FQ1 2020","FQ1 2020","Currency=USD","Period=FQ","BEST_FPERIOD_OVERRIDE=FQ","FILING_STATUS=MR","Sort=A","Dates=H","DateFormat=P","Fill=—","Direction=H","UseDPDF=Y")</f>
        <v>1.2537</v>
      </c>
      <c r="L87" s="17">
        <f>_xll.BDH("CHTR US Equity","BS_OPTIONS_GRANTED","FQ2 2020","FQ2 2020","Currency=USD","Period=FQ","BEST_FPERIOD_OVERRIDE=FQ","FILING_STATUS=MR","Sort=A","Dates=H","DateFormat=P","Fill=—","Direction=H","UseDPDF=Y")</f>
        <v>1.1599999999999999E-2</v>
      </c>
    </row>
    <row r="88" spans="1:12" x14ac:dyDescent="0.35">
      <c r="A88" s="16" t="s">
        <v>182</v>
      </c>
      <c r="B88" s="16" t="s">
        <v>181</v>
      </c>
      <c r="C88" s="17" t="str">
        <f>_xll.BDH("CHTR US Equity","BS_OPTIONS_OUTSTANDING","FQ1 2018","FQ1 2018","Currency=USD","Period=FQ","BEST_FPERIOD_OVERRIDE=FQ","FILING_STATUS=MR","Sort=A","Dates=H","DateFormat=P","Fill=—","Direction=H","UseDPDF=Y")</f>
        <v>—</v>
      </c>
      <c r="D88" s="17" t="str">
        <f>_xll.BDH("CHTR US Equity","BS_OPTIONS_OUTSTANDING","FQ2 2018","FQ2 2018","Currency=USD","Period=FQ","BEST_FPERIOD_OVERRIDE=FQ","FILING_STATUS=MR","Sort=A","Dates=H","DateFormat=P","Fill=—","Direction=H","UseDPDF=Y")</f>
        <v>—</v>
      </c>
      <c r="E88" s="17" t="str">
        <f>_xll.BDH("CHTR US Equity","BS_OPTIONS_OUTSTANDING","FQ3 2018","FQ3 2018","Currency=USD","Period=FQ","BEST_FPERIOD_OVERRIDE=FQ","FILING_STATUS=MR","Sort=A","Dates=H","DateFormat=P","Fill=—","Direction=H","UseDPDF=Y")</f>
        <v>—</v>
      </c>
      <c r="F88" s="17">
        <f>_xll.BDH("CHTR US Equity","BS_OPTIONS_OUTSTANDING","FQ4 2018","FQ4 2018","Currency=USD","Period=FQ","BEST_FPERIOD_OVERRIDE=FQ","FILING_STATUS=MR","Sort=A","Dates=H","DateFormat=P","Fill=—","Direction=H","UseDPDF=Y")</f>
        <v>10.41</v>
      </c>
      <c r="G88" s="17" t="str">
        <f>_xll.BDH("CHTR US Equity","BS_OPTIONS_OUTSTANDING","FQ1 2019","FQ1 2019","Currency=USD","Period=FQ","BEST_FPERIOD_OVERRIDE=FQ","FILING_STATUS=MR","Sort=A","Dates=H","DateFormat=P","Fill=—","Direction=H","UseDPDF=Y")</f>
        <v>—</v>
      </c>
      <c r="H88" s="17" t="str">
        <f>_xll.BDH("CHTR US Equity","BS_OPTIONS_OUTSTANDING","FQ2 2019","FQ2 2019","Currency=USD","Period=FQ","BEST_FPERIOD_OVERRIDE=FQ","FILING_STATUS=MR","Sort=A","Dates=H","DateFormat=P","Fill=—","Direction=H","UseDPDF=Y")</f>
        <v>—</v>
      </c>
      <c r="I88" s="17" t="str">
        <f>_xll.BDH("CHTR US Equity","BS_OPTIONS_OUTSTANDING","FQ3 2019","FQ3 2019","Currency=USD","Period=FQ","BEST_FPERIOD_OVERRIDE=FQ","FILING_STATUS=MR","Sort=A","Dates=H","DateFormat=P","Fill=—","Direction=H","UseDPDF=Y")</f>
        <v>—</v>
      </c>
      <c r="J88" s="17">
        <f>_xll.BDH("CHTR US Equity","BS_OPTIONS_OUTSTANDING","FQ4 2019","FQ4 2019","Currency=USD","Period=FQ","BEST_FPERIOD_OVERRIDE=FQ","FILING_STATUS=MR","Sort=A","Dates=H","DateFormat=P","Fill=—","Direction=H","UseDPDF=Y")</f>
        <v>10.548999999999999</v>
      </c>
      <c r="K88" s="17" t="str">
        <f>_xll.BDH("CHTR US Equity","BS_OPTIONS_OUTSTANDING","FQ1 2020","FQ1 2020","Currency=USD","Period=FQ","BEST_FPERIOD_OVERRIDE=FQ","FILING_STATUS=MR","Sort=A","Dates=H","DateFormat=P","Fill=—","Direction=H","UseDPDF=Y")</f>
        <v>—</v>
      </c>
      <c r="L88" s="17" t="str">
        <f>_xll.BDH("CHTR US Equity","BS_OPTIONS_OUTSTANDING","FQ2 2020","FQ2 2020","Currency=USD","Period=FQ","BEST_FPERIOD_OVERRIDE=FQ","FILING_STATUS=MR","Sort=A","Dates=H","DateFormat=P","Fill=—","Direction=H","UseDPDF=Y")</f>
        <v>—</v>
      </c>
    </row>
    <row r="89" spans="1:12" x14ac:dyDescent="0.35">
      <c r="A89" s="16" t="s">
        <v>180</v>
      </c>
      <c r="B89" s="16" t="s">
        <v>179</v>
      </c>
      <c r="C89" s="17">
        <f>_xll.BDH("CHTR US Equity","NET_DEBT","FQ1 2018","FQ1 2018","Currency=USD","Period=FQ","BEST_FPERIOD_OVERRIDE=FQ","FILING_STATUS=MR","SCALING_FORMAT=MLN","Sort=A","Dates=H","DateFormat=P","Fill=—","Direction=H","UseDPDF=Y")</f>
        <v>70373</v>
      </c>
      <c r="D89" s="17">
        <f>_xll.BDH("CHTR US Equity","NET_DEBT","FQ2 2018","FQ2 2018","Currency=USD","Period=FQ","BEST_FPERIOD_OVERRIDE=FQ","FILING_STATUS=MR","SCALING_FORMAT=MLN","Sort=A","Dates=H","DateFormat=P","Fill=—","Direction=H","UseDPDF=Y")</f>
        <v>71344</v>
      </c>
      <c r="E89" s="17">
        <f>_xll.BDH("CHTR US Equity","NET_DEBT","FQ3 2018","FQ3 2018","Currency=USD","Period=FQ","BEST_FPERIOD_OVERRIDE=FQ","FILING_STATUS=MR","SCALING_FORMAT=MLN","Sort=A","Dates=H","DateFormat=P","Fill=—","Direction=H","UseDPDF=Y")</f>
        <v>71862</v>
      </c>
      <c r="F89" s="17">
        <f>_xll.BDH("CHTR US Equity","NET_DEBT","FQ4 2018","FQ4 2018","Currency=USD","Period=FQ","BEST_FPERIOD_OVERRIDE=FQ","FILING_STATUS=MR","SCALING_FORMAT=MLN","Sort=A","Dates=H","DateFormat=P","Fill=—","Direction=H","UseDPDF=Y")</f>
        <v>72276</v>
      </c>
      <c r="G89" s="17">
        <f>_xll.BDH("CHTR US Equity","NET_DEBT","FQ1 2019","FQ1 2019","Currency=USD","Period=FQ","BEST_FPERIOD_OVERRIDE=FQ","FILING_STATUS=MR","SCALING_FORMAT=MLN","Sort=A","Dates=H","DateFormat=P","Fill=—","Direction=H","UseDPDF=Y")</f>
        <v>73938</v>
      </c>
      <c r="H89" s="17">
        <f>_xll.BDH("CHTR US Equity","NET_DEBT","FQ2 2019","FQ2 2019","Currency=USD","Period=FQ","BEST_FPERIOD_OVERRIDE=FQ","FILING_STATUS=MR","SCALING_FORMAT=MLN","Sort=A","Dates=H","DateFormat=P","Fill=—","Direction=H","UseDPDF=Y")</f>
        <v>73973</v>
      </c>
      <c r="I89" s="17">
        <f>_xll.BDH("CHTR US Equity","NET_DEBT","FQ3 2019","FQ3 2019","Currency=USD","Period=FQ","BEST_FPERIOD_OVERRIDE=FQ","FILING_STATUS=MR","SCALING_FORMAT=MLN","Sort=A","Dates=H","DateFormat=P","Fill=—","Direction=H","UseDPDF=Y")</f>
        <v>75650</v>
      </c>
      <c r="J89" s="17">
        <f>_xll.BDH("CHTR US Equity","NET_DEBT","FQ4 2019","FQ4 2019","Currency=USD","Period=FQ","BEST_FPERIOD_OVERRIDE=FQ","FILING_STATUS=MR","SCALING_FORMAT=MLN","Sort=A","Dates=H","DateFormat=P","Fill=—","Direction=H","UseDPDF=Y")</f>
        <v>76850</v>
      </c>
      <c r="K89" s="17">
        <f>_xll.BDH("CHTR US Equity","NET_DEBT","FQ1 2020","FQ1 2020","Currency=USD","Period=FQ","BEST_FPERIOD_OVERRIDE=FQ","FILING_STATUS=MR","SCALING_FORMAT=MLN","Sort=A","Dates=H","DateFormat=P","Fill=—","Direction=H","UseDPDF=Y")</f>
        <v>77986</v>
      </c>
      <c r="L89" s="17">
        <f>_xll.BDH("CHTR US Equity","NET_DEBT","FQ2 2020","FQ2 2020","Currency=USD","Period=FQ","BEST_FPERIOD_OVERRIDE=FQ","FILING_STATUS=MR","SCALING_FORMAT=MLN","Sort=A","Dates=H","DateFormat=P","Fill=—","Direction=H","UseDPDF=Y")</f>
        <v>77517</v>
      </c>
    </row>
    <row r="90" spans="1:12" x14ac:dyDescent="0.35">
      <c r="A90" s="16" t="s">
        <v>178</v>
      </c>
      <c r="B90" s="16" t="s">
        <v>177</v>
      </c>
      <c r="C90" s="15">
        <f>_xll.BDH("CHTR US Equity","NET_DEBT_TO_SHRHLDR_EQTY","FQ1 2018","FQ1 2018","Currency=USD","Period=FQ","BEST_FPERIOD_OVERRIDE=FQ","FILING_STATUS=MR","Sort=A","Dates=H","DateFormat=P","Fill=—","Direction=H","UseDPDF=Y")</f>
        <v>149.33260000000001</v>
      </c>
      <c r="D90" s="15">
        <f>_xll.BDH("CHTR US Equity","NET_DEBT_TO_SHRHLDR_EQTY","FQ2 2018","FQ2 2018","Currency=USD","Period=FQ","BEST_FPERIOD_OVERRIDE=FQ","FILING_STATUS=MR","Sort=A","Dates=H","DateFormat=P","Fill=—","Direction=H","UseDPDF=Y")</f>
        <v>156.31219999999999</v>
      </c>
      <c r="E90" s="15">
        <f>_xll.BDH("CHTR US Equity","NET_DEBT_TO_SHRHLDR_EQTY","FQ3 2018","FQ3 2018","Currency=USD","Period=FQ","BEST_FPERIOD_OVERRIDE=FQ","FILING_STATUS=MR","Sort=A","Dates=H","DateFormat=P","Fill=—","Direction=H","UseDPDF=Y")</f>
        <v>158.88829999999999</v>
      </c>
      <c r="F90" s="15">
        <f>_xll.BDH("CHTR US Equity","NET_DEBT_TO_SHRHLDR_EQTY","FQ4 2018","FQ4 2018","Currency=USD","Period=FQ","BEST_FPERIOD_OVERRIDE=FQ","FILING_STATUS=MR","Sort=A","Dates=H","DateFormat=P","Fill=—","Direction=H","UseDPDF=Y")</f>
        <v>163.2544</v>
      </c>
      <c r="G90" s="15">
        <f>_xll.BDH("CHTR US Equity","NET_DEBT_TO_SHRHLDR_EQTY","FQ1 2019","FQ1 2019","Currency=USD","Period=FQ","BEST_FPERIOD_OVERRIDE=FQ","FILING_STATUS=MR","Sort=A","Dates=H","DateFormat=P","Fill=—","Direction=H","UseDPDF=Y")</f>
        <v>169.41550000000001</v>
      </c>
      <c r="H90" s="15">
        <f>_xll.BDH("CHTR US Equity","NET_DEBT_TO_SHRHLDR_EQTY","FQ2 2019","FQ2 2019","Currency=USD","Period=FQ","BEST_FPERIOD_OVERRIDE=FQ","FILING_STATUS=MR","Sort=A","Dates=H","DateFormat=P","Fill=—","Direction=H","UseDPDF=Y")</f>
        <v>171.655</v>
      </c>
      <c r="I90" s="15">
        <f>_xll.BDH("CHTR US Equity","NET_DEBT_TO_SHRHLDR_EQTY","FQ3 2019","FQ3 2019","Currency=USD","Period=FQ","BEST_FPERIOD_OVERRIDE=FQ","FILING_STATUS=MR","Sort=A","Dates=H","DateFormat=P","Fill=—","Direction=H","UseDPDF=Y")</f>
        <v>186.68870000000001</v>
      </c>
      <c r="J90" s="15">
        <f>_xll.BDH("CHTR US Equity","NET_DEBT_TO_SHRHLDR_EQTY","FQ4 2019","FQ4 2019","Currency=USD","Period=FQ","BEST_FPERIOD_OVERRIDE=FQ","FILING_STATUS=MR","Sort=A","Dates=H","DateFormat=P","Fill=—","Direction=H","UseDPDF=Y")</f>
        <v>198.01089999999999</v>
      </c>
      <c r="K90" s="15">
        <f>_xll.BDH("CHTR US Equity","NET_DEBT_TO_SHRHLDR_EQTY","FQ1 2020","FQ1 2020","Currency=USD","Period=FQ","BEST_FPERIOD_OVERRIDE=FQ","FILING_STATUS=MR","Sort=A","Dates=H","DateFormat=P","Fill=—","Direction=H","UseDPDF=Y")</f>
        <v>212.36859999999999</v>
      </c>
      <c r="L90" s="15">
        <f>_xll.BDH("CHTR US Equity","NET_DEBT_TO_SHRHLDR_EQTY","FQ2 2020","FQ2 2020","Currency=USD","Period=FQ","BEST_FPERIOD_OVERRIDE=FQ","FILING_STATUS=MR","Sort=A","Dates=H","DateFormat=P","Fill=—","Direction=H","UseDPDF=Y")</f>
        <v>212.9529</v>
      </c>
    </row>
    <row r="91" spans="1:12" x14ac:dyDescent="0.35">
      <c r="A91" s="16" t="s">
        <v>176</v>
      </c>
      <c r="B91" s="16" t="s">
        <v>175</v>
      </c>
      <c r="C91" s="15">
        <f>_xll.BDH("CHTR US Equity","TCE_RATIO","FQ1 2018","FQ1 2018","Currency=USD","Period=FQ","BEST_FPERIOD_OVERRIDE=FQ","FILING_STATUS=MR","Sort=A","Dates=H","DateFormat=P","Fill=—","Direction=H","UseDPDF=Y")</f>
        <v>-182.8623</v>
      </c>
      <c r="D91" s="15">
        <f>_xll.BDH("CHTR US Equity","TCE_RATIO","FQ2 2018","FQ2 2018","Currency=USD","Period=FQ","BEST_FPERIOD_OVERRIDE=FQ","FILING_STATUS=MR","Sort=A","Dates=H","DateFormat=P","Fill=—","Direction=H","UseDPDF=Y")</f>
        <v>-181.3903</v>
      </c>
      <c r="E91" s="15">
        <f>_xll.BDH("CHTR US Equity","TCE_RATIO","FQ3 2018","FQ3 2018","Currency=USD","Period=FQ","BEST_FPERIOD_OVERRIDE=FQ","FILING_STATUS=MR","Sort=A","Dates=H","DateFormat=P","Fill=—","Direction=H","UseDPDF=Y")</f>
        <v>-178.89240000000001</v>
      </c>
      <c r="F91" s="15">
        <f>_xll.BDH("CHTR US Equity","TCE_RATIO","FQ4 2018","FQ4 2018","Currency=USD","Period=FQ","BEST_FPERIOD_OVERRIDE=FQ","FILING_STATUS=MR","Sort=A","Dates=H","DateFormat=P","Fill=—","Direction=H","UseDPDF=Y")</f>
        <v>-176.74340000000001</v>
      </c>
      <c r="G91" s="15">
        <f>_xll.BDH("CHTR US Equity","TCE_RATIO","FQ1 2019","FQ1 2019","Currency=USD","Period=FQ","BEST_FPERIOD_OVERRIDE=FQ","FILING_STATUS=MR","Sort=A","Dates=H","DateFormat=P","Fill=—","Direction=H","UseDPDF=Y")</f>
        <v>-169.46379999999999</v>
      </c>
      <c r="H91" s="15">
        <f>_xll.BDH("CHTR US Equity","TCE_RATIO","FQ2 2019","FQ2 2019","Currency=USD","Period=FQ","BEST_FPERIOD_OVERRIDE=FQ","FILING_STATUS=MR","Sort=A","Dates=H","DateFormat=P","Fill=—","Direction=H","UseDPDF=Y")</f>
        <v>-171.89269999999999</v>
      </c>
      <c r="I91" s="15">
        <f>_xll.BDH("CHTR US Equity","TCE_RATIO","FQ3 2019","FQ3 2019","Currency=USD","Period=FQ","BEST_FPERIOD_OVERRIDE=FQ","FILING_STATUS=MR","Sort=A","Dates=H","DateFormat=P","Fill=—","Direction=H","UseDPDF=Y")</f>
        <v>-177.7124</v>
      </c>
      <c r="J91" s="15">
        <f>_xll.BDH("CHTR US Equity","TCE_RATIO","FQ4 2019","FQ4 2019","Currency=USD","Period=FQ","BEST_FPERIOD_OVERRIDE=FQ","FILING_STATUS=MR","Sort=A","Dates=H","DateFormat=P","Fill=—","Direction=H","UseDPDF=Y")</f>
        <v>-166.178</v>
      </c>
      <c r="K91" s="15">
        <f>_xll.BDH("CHTR US Equity","TCE_RATIO","FQ1 2020","FQ1 2020","Currency=USD","Period=FQ","BEST_FPERIOD_OVERRIDE=FQ","FILING_STATUS=MR","Sort=A","Dates=H","DateFormat=P","Fill=—","Direction=H","UseDPDF=Y")</f>
        <v>-173.69210000000001</v>
      </c>
      <c r="L91" s="15">
        <f>_xll.BDH("CHTR US Equity","TCE_RATIO","FQ2 2020","FQ2 2020","Currency=USD","Period=FQ","BEST_FPERIOD_OVERRIDE=FQ","FILING_STATUS=MR","Sort=A","Dates=H","DateFormat=P","Fill=—","Direction=H","UseDPDF=Y")</f>
        <v>-177.15799999999999</v>
      </c>
    </row>
    <row r="92" spans="1:12" x14ac:dyDescent="0.35">
      <c r="A92" s="16" t="s">
        <v>174</v>
      </c>
      <c r="B92" s="16" t="s">
        <v>173</v>
      </c>
      <c r="C92" s="15">
        <f>_xll.BDH("CHTR US Equity","CUR_RATIO","FQ1 2018","FQ1 2018","Currency=USD","Period=FQ","BEST_FPERIOD_OVERRIDE=FQ","FILING_STATUS=MR","Sort=A","Dates=H","DateFormat=P","Fill=—","Direction=H","UseDPDF=Y")</f>
        <v>0.20669999999999999</v>
      </c>
      <c r="D92" s="15">
        <f>_xll.BDH("CHTR US Equity","CUR_RATIO","FQ2 2018","FQ2 2018","Currency=USD","Period=FQ","BEST_FPERIOD_OVERRIDE=FQ","FILING_STATUS=MR","Sort=A","Dates=H","DateFormat=P","Fill=—","Direction=H","UseDPDF=Y")</f>
        <v>0.1961</v>
      </c>
      <c r="E92" s="15">
        <f>_xll.BDH("CHTR US Equity","CUR_RATIO","FQ3 2018","FQ3 2018","Currency=USD","Period=FQ","BEST_FPERIOD_OVERRIDE=FQ","FILING_STATUS=MR","Sort=A","Dates=H","DateFormat=P","Fill=—","Direction=H","UseDPDF=Y")</f>
        <v>0.2303</v>
      </c>
      <c r="F92" s="15">
        <f>_xll.BDH("CHTR US Equity","CUR_RATIO","FQ4 2018","FQ4 2018","Currency=USD","Period=FQ","BEST_FPERIOD_OVERRIDE=FQ","FILING_STATUS=MR","Sort=A","Dates=H","DateFormat=P","Fill=—","Direction=H","UseDPDF=Y")</f>
        <v>0.22570000000000001</v>
      </c>
      <c r="G92" s="15">
        <f>_xll.BDH("CHTR US Equity","CUR_RATIO","FQ1 2019","FQ1 2019","Currency=USD","Period=FQ","BEST_FPERIOD_OVERRIDE=FQ","FILING_STATUS=MR","Sort=A","Dates=H","DateFormat=P","Fill=—","Direction=H","UseDPDF=Y")</f>
        <v>0.31390000000000001</v>
      </c>
      <c r="H92" s="15">
        <f>_xll.BDH("CHTR US Equity","CUR_RATIO","FQ2 2019","FQ2 2019","Currency=USD","Period=FQ","BEST_FPERIOD_OVERRIDE=FQ","FILING_STATUS=MR","Sort=A","Dates=H","DateFormat=P","Fill=—","Direction=H","UseDPDF=Y")</f>
        <v>0.3382</v>
      </c>
      <c r="I92" s="15">
        <f>_xll.BDH("CHTR US Equity","CUR_RATIO","FQ3 2019","FQ3 2019","Currency=USD","Period=FQ","BEST_FPERIOD_OVERRIDE=FQ","FILING_STATUS=MR","Sort=A","Dates=H","DateFormat=P","Fill=—","Direction=H","UseDPDF=Y")</f>
        <v>0.2828</v>
      </c>
      <c r="J92" s="15">
        <f>_xll.BDH("CHTR US Equity","CUR_RATIO","FQ4 2019","FQ4 2019","Currency=USD","Period=FQ","BEST_FPERIOD_OVERRIDE=FQ","FILING_STATUS=MR","Sort=A","Dates=H","DateFormat=P","Fill=—","Direction=H","UseDPDF=Y")</f>
        <v>0.52249999999999996</v>
      </c>
      <c r="K92" s="15">
        <f>_xll.BDH("CHTR US Equity","CUR_RATIO","FQ1 2020","FQ1 2020","Currency=USD","Period=FQ","BEST_FPERIOD_OVERRIDE=FQ","FILING_STATUS=MR","Sort=A","Dates=H","DateFormat=P","Fill=—","Direction=H","UseDPDF=Y")</f>
        <v>0.43580000000000002</v>
      </c>
      <c r="L92" s="15">
        <f>_xll.BDH("CHTR US Equity","CUR_RATIO","FQ2 2020","FQ2 2020","Currency=USD","Period=FQ","BEST_FPERIOD_OVERRIDE=FQ","FILING_STATUS=MR","Sort=A","Dates=H","DateFormat=P","Fill=—","Direction=H","UseDPDF=Y")</f>
        <v>0.5212</v>
      </c>
    </row>
    <row r="93" spans="1:12" x14ac:dyDescent="0.35">
      <c r="A93" s="16" t="s">
        <v>172</v>
      </c>
      <c r="B93" s="16" t="s">
        <v>171</v>
      </c>
      <c r="C93" s="15" t="str">
        <f>_xll.BDH("CHTR US Equity","NUM_OF_EMPLOYEES","FQ1 2018","FQ1 2018","Currency=USD","Period=FQ","BEST_FPERIOD_OVERRIDE=FQ","FILING_STATUS=MR","Sort=A","Dates=H","DateFormat=P","Fill=—","Direction=H","UseDPDF=Y")</f>
        <v>—</v>
      </c>
      <c r="D93" s="15" t="str">
        <f>_xll.BDH("CHTR US Equity","NUM_OF_EMPLOYEES","FQ2 2018","FQ2 2018","Currency=USD","Period=FQ","BEST_FPERIOD_OVERRIDE=FQ","FILING_STATUS=MR","Sort=A","Dates=H","DateFormat=P","Fill=—","Direction=H","UseDPDF=Y")</f>
        <v>—</v>
      </c>
      <c r="E93" s="15" t="str">
        <f>_xll.BDH("CHTR US Equity","NUM_OF_EMPLOYEES","FQ3 2018","FQ3 2018","Currency=USD","Period=FQ","BEST_FPERIOD_OVERRIDE=FQ","FILING_STATUS=MR","Sort=A","Dates=H","DateFormat=P","Fill=—","Direction=H","UseDPDF=Y")</f>
        <v>—</v>
      </c>
      <c r="F93" s="15">
        <f>_xll.BDH("CHTR US Equity","NUM_OF_EMPLOYEES","FQ4 2018","FQ4 2018","Currency=USD","Period=FQ","BEST_FPERIOD_OVERRIDE=FQ","FILING_STATUS=MR","Sort=A","Dates=H","DateFormat=P","Fill=—","Direction=H","UseDPDF=Y")</f>
        <v>98000</v>
      </c>
      <c r="G93" s="15" t="str">
        <f>_xll.BDH("CHTR US Equity","NUM_OF_EMPLOYEES","FQ1 2019","FQ1 2019","Currency=USD","Period=FQ","BEST_FPERIOD_OVERRIDE=FQ","FILING_STATUS=MR","Sort=A","Dates=H","DateFormat=P","Fill=—","Direction=H","UseDPDF=Y")</f>
        <v>—</v>
      </c>
      <c r="H93" s="15" t="str">
        <f>_xll.BDH("CHTR US Equity","NUM_OF_EMPLOYEES","FQ2 2019","FQ2 2019","Currency=USD","Period=FQ","BEST_FPERIOD_OVERRIDE=FQ","FILING_STATUS=MR","Sort=A","Dates=H","DateFormat=P","Fill=—","Direction=H","UseDPDF=Y")</f>
        <v>—</v>
      </c>
      <c r="I93" s="15" t="str">
        <f>_xll.BDH("CHTR US Equity","NUM_OF_EMPLOYEES","FQ3 2019","FQ3 2019","Currency=USD","Period=FQ","BEST_FPERIOD_OVERRIDE=FQ","FILING_STATUS=MR","Sort=A","Dates=H","DateFormat=P","Fill=—","Direction=H","UseDPDF=Y")</f>
        <v>—</v>
      </c>
      <c r="J93" s="15">
        <f>_xll.BDH("CHTR US Equity","NUM_OF_EMPLOYEES","FQ4 2019","FQ4 2019","Currency=USD","Period=FQ","BEST_FPERIOD_OVERRIDE=FQ","FILING_STATUS=MR","Sort=A","Dates=H","DateFormat=P","Fill=—","Direction=H","UseDPDF=Y")</f>
        <v>95100</v>
      </c>
      <c r="K93" s="15" t="str">
        <f>_xll.BDH("CHTR US Equity","NUM_OF_EMPLOYEES","FQ1 2020","FQ1 2020","Currency=USD","Period=FQ","BEST_FPERIOD_OVERRIDE=FQ","FILING_STATUS=MR","Sort=A","Dates=H","DateFormat=P","Fill=—","Direction=H","UseDPDF=Y")</f>
        <v>—</v>
      </c>
      <c r="L93" s="15" t="str">
        <f>_xll.BDH("CHTR US Equity","NUM_OF_EMPLOYEES","FQ2 2020","FQ2 2020","Currency=USD","Period=FQ","BEST_FPERIOD_OVERRIDE=FQ","FILING_STATUS=MR","Sort=A","Dates=H","DateFormat=P","Fill=—","Direction=H","UseDPDF=Y")</f>
        <v>—</v>
      </c>
    </row>
    <row r="94" spans="1:12" x14ac:dyDescent="0.35">
      <c r="A94" s="18" t="s">
        <v>56</v>
      </c>
      <c r="B94" s="18"/>
      <c r="C94" s="18" t="s">
        <v>3</v>
      </c>
      <c r="D94" s="18"/>
      <c r="E94" s="18"/>
      <c r="F94" s="18"/>
      <c r="G94" s="18"/>
      <c r="H94" s="18"/>
      <c r="I94" s="18"/>
      <c r="J94" s="18"/>
      <c r="K94" s="18"/>
      <c r="L94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C34C9-8944-4BEF-8BC0-390414FFE985}">
  <dimension ref="A1:L69"/>
  <sheetViews>
    <sheetView tabSelected="1" workbookViewId="0"/>
  </sheetViews>
  <sheetFormatPr defaultRowHeight="14.5" x14ac:dyDescent="0.35"/>
  <cols>
    <col min="1" max="1" width="35.1796875" customWidth="1"/>
    <col min="2" max="2" width="0" hidden="1" customWidth="1"/>
    <col min="3" max="12" width="11.81640625" customWidth="1"/>
  </cols>
  <sheetData>
    <row r="1" spans="1:12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" x14ac:dyDescent="0.35">
      <c r="A2" s="2" t="s">
        <v>337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35">
      <c r="A4" s="4" t="s">
        <v>169</v>
      </c>
      <c r="B4" s="4"/>
      <c r="C4" s="5" t="s">
        <v>336</v>
      </c>
      <c r="D4" s="5" t="s">
        <v>335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</row>
    <row r="5" spans="1:12" x14ac:dyDescent="0.35">
      <c r="A5" s="6" t="s">
        <v>16</v>
      </c>
      <c r="B5" s="6"/>
      <c r="C5" s="7" t="s">
        <v>334</v>
      </c>
      <c r="D5" s="7" t="s">
        <v>333</v>
      </c>
      <c r="E5" s="7" t="s">
        <v>17</v>
      </c>
      <c r="F5" s="7" t="s">
        <v>18</v>
      </c>
      <c r="G5" s="7" t="s">
        <v>19</v>
      </c>
      <c r="H5" s="7" t="s">
        <v>20</v>
      </c>
      <c r="I5" s="7" t="s">
        <v>21</v>
      </c>
      <c r="J5" s="7" t="s">
        <v>22</v>
      </c>
      <c r="K5" s="7" t="s">
        <v>23</v>
      </c>
      <c r="L5" s="7" t="s">
        <v>24</v>
      </c>
    </row>
    <row r="6" spans="1:12" x14ac:dyDescent="0.35">
      <c r="A6" s="12" t="s">
        <v>414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35">
      <c r="A7" s="16" t="s">
        <v>435</v>
      </c>
      <c r="B7" s="16" t="s">
        <v>434</v>
      </c>
      <c r="C7" s="17">
        <f>_xll.BDH("CHTR US Equity","CF_NET_INC","FQ1 2018","FQ1 2018","Currency=USD","Period=FQ","BEST_FPERIOD_OVERRIDE=FQ","FILING_STATUS=MR","SCALING_FORMAT=MLN","Sort=A","Dates=H","DateFormat=P","Fill=—","Direction=H","UseDPDF=Y")</f>
        <v>168</v>
      </c>
      <c r="D7" s="17">
        <f>_xll.BDH("CHTR US Equity","CF_NET_INC","FQ2 2018","FQ2 2018","Currency=USD","Period=FQ","BEST_FPERIOD_OVERRIDE=FQ","FILING_STATUS=MR","SCALING_FORMAT=MLN","Sort=A","Dates=H","DateFormat=P","Fill=—","Direction=H","UseDPDF=Y")</f>
        <v>273</v>
      </c>
      <c r="E7" s="17">
        <f>_xll.BDH("CHTR US Equity","CF_NET_INC","FQ3 2018","FQ3 2018","Currency=USD","Period=FQ","BEST_FPERIOD_OVERRIDE=FQ","FILING_STATUS=MR","SCALING_FORMAT=MLN","Sort=A","Dates=H","DateFormat=P","Fill=—","Direction=H","UseDPDF=Y")</f>
        <v>493</v>
      </c>
      <c r="F7" s="17">
        <f>_xll.BDH("CHTR US Equity","CF_NET_INC","FQ4 2018","FQ4 2018","Currency=USD","Period=FQ","BEST_FPERIOD_OVERRIDE=FQ","FILING_STATUS=MR","SCALING_FORMAT=MLN","Sort=A","Dates=H","DateFormat=P","Fill=—","Direction=H","UseDPDF=Y")</f>
        <v>296</v>
      </c>
      <c r="G7" s="17">
        <f>_xll.BDH("CHTR US Equity","CF_NET_INC","FQ1 2019","FQ1 2019","Currency=USD","Period=FQ","BEST_FPERIOD_OVERRIDE=FQ","FILING_STATUS=MR","SCALING_FORMAT=MLN","Sort=A","Dates=H","DateFormat=P","Fill=—","Direction=H","UseDPDF=Y")</f>
        <v>253</v>
      </c>
      <c r="H7" s="17">
        <f>_xll.BDH("CHTR US Equity","CF_NET_INC","FQ2 2019","FQ2 2019","Currency=USD","Period=FQ","BEST_FPERIOD_OVERRIDE=FQ","FILING_STATUS=MR","SCALING_FORMAT=MLN","Sort=A","Dates=H","DateFormat=P","Fill=—","Direction=H","UseDPDF=Y")</f>
        <v>314</v>
      </c>
      <c r="I7" s="17">
        <f>_xll.BDH("CHTR US Equity","CF_NET_INC","FQ3 2019","FQ3 2019","Currency=USD","Period=FQ","BEST_FPERIOD_OVERRIDE=FQ","FILING_STATUS=MR","SCALING_FORMAT=MLN","Sort=A","Dates=H","DateFormat=P","Fill=—","Direction=H","UseDPDF=Y")</f>
        <v>387</v>
      </c>
      <c r="J7" s="17">
        <f>_xll.BDH("CHTR US Equity","CF_NET_INC","FQ4 2019","FQ4 2019","Currency=USD","Period=FQ","BEST_FPERIOD_OVERRIDE=FQ","FILING_STATUS=MR","SCALING_FORMAT=MLN","Sort=A","Dates=H","DateFormat=P","Fill=—","Direction=H","UseDPDF=Y")</f>
        <v>714</v>
      </c>
      <c r="K7" s="17">
        <f>_xll.BDH("CHTR US Equity","CF_NET_INC","FQ1 2020","FQ1 2020","Currency=USD","Period=FQ","BEST_FPERIOD_OVERRIDE=FQ","FILING_STATUS=MR","SCALING_FORMAT=MLN","Sort=A","Dates=H","DateFormat=P","Fill=—","Direction=H","UseDPDF=Y")</f>
        <v>396</v>
      </c>
      <c r="L7" s="17">
        <f>_xll.BDH("CHTR US Equity","CF_NET_INC","FQ2 2020","FQ2 2020","Currency=USD","Period=FQ","BEST_FPERIOD_OVERRIDE=FQ","FILING_STATUS=MR","SCALING_FORMAT=MLN","Sort=A","Dates=H","DateFormat=P","Fill=—","Direction=H","UseDPDF=Y")</f>
        <v>766</v>
      </c>
    </row>
    <row r="8" spans="1:12" x14ac:dyDescent="0.35">
      <c r="A8" s="16" t="s">
        <v>433</v>
      </c>
      <c r="B8" s="16" t="s">
        <v>432</v>
      </c>
      <c r="C8" s="17">
        <f>_xll.BDH("CHTR US Equity","CF_DEPR_AMORT","FQ1 2018","FQ1 2018","Currency=USD","Period=FQ","BEST_FPERIOD_OVERRIDE=FQ","FILING_STATUS=MR","SCALING_FORMAT=MLN","Sort=A","Dates=H","DateFormat=P","Fill=—","Direction=H","UseDPDF=Y")</f>
        <v>2710</v>
      </c>
      <c r="D8" s="17">
        <f>_xll.BDH("CHTR US Equity","CF_DEPR_AMORT","FQ2 2018","FQ2 2018","Currency=USD","Period=FQ","BEST_FPERIOD_OVERRIDE=FQ","FILING_STATUS=MR","SCALING_FORMAT=MLN","Sort=A","Dates=H","DateFormat=P","Fill=—","Direction=H","UseDPDF=Y")</f>
        <v>2592</v>
      </c>
      <c r="E8" s="17">
        <f>_xll.BDH("CHTR US Equity","CF_DEPR_AMORT","FQ3 2018","FQ3 2018","Currency=USD","Period=FQ","BEST_FPERIOD_OVERRIDE=FQ","FILING_STATUS=MR","SCALING_FORMAT=MLN","Sort=A","Dates=H","DateFormat=P","Fill=—","Direction=H","UseDPDF=Y")</f>
        <v>2482</v>
      </c>
      <c r="F8" s="17">
        <f>_xll.BDH("CHTR US Equity","CF_DEPR_AMORT","FQ4 2018","FQ4 2018","Currency=USD","Period=FQ","BEST_FPERIOD_OVERRIDE=FQ","FILING_STATUS=MR","SCALING_FORMAT=MLN","Sort=A","Dates=H","DateFormat=P","Fill=—","Direction=H","UseDPDF=Y")</f>
        <v>2534</v>
      </c>
      <c r="G8" s="17">
        <f>_xll.BDH("CHTR US Equity","CF_DEPR_AMORT","FQ1 2019","FQ1 2019","Currency=USD","Period=FQ","BEST_FPERIOD_OVERRIDE=FQ","FILING_STATUS=MR","SCALING_FORMAT=MLN","Sort=A","Dates=H","DateFormat=P","Fill=—","Direction=H","UseDPDF=Y")</f>
        <v>2550</v>
      </c>
      <c r="H8" s="17">
        <f>_xll.BDH("CHTR US Equity","CF_DEPR_AMORT","FQ2 2019","FQ2 2019","Currency=USD","Period=FQ","BEST_FPERIOD_OVERRIDE=FQ","FILING_STATUS=MR","SCALING_FORMAT=MLN","Sort=A","Dates=H","DateFormat=P","Fill=—","Direction=H","UseDPDF=Y")</f>
        <v>2500</v>
      </c>
      <c r="I8" s="17">
        <f>_xll.BDH("CHTR US Equity","CF_DEPR_AMORT","FQ3 2019","FQ3 2019","Currency=USD","Period=FQ","BEST_FPERIOD_OVERRIDE=FQ","FILING_STATUS=MR","SCALING_FORMAT=MLN","Sort=A","Dates=H","DateFormat=P","Fill=—","Direction=H","UseDPDF=Y")</f>
        <v>2415</v>
      </c>
      <c r="J8" s="17">
        <f>_xll.BDH("CHTR US Equity","CF_DEPR_AMORT","FQ4 2019","FQ4 2019","Currency=USD","Period=FQ","BEST_FPERIOD_OVERRIDE=FQ","FILING_STATUS=MR","SCALING_FORMAT=MLN","Sort=A","Dates=H","DateFormat=P","Fill=—","Direction=H","UseDPDF=Y")</f>
        <v>2461</v>
      </c>
      <c r="K8" s="17">
        <f>_xll.BDH("CHTR US Equity","CF_DEPR_AMORT","FQ1 2020","FQ1 2020","Currency=USD","Period=FQ","BEST_FPERIOD_OVERRIDE=FQ","FILING_STATUS=MR","SCALING_FORMAT=MLN","Sort=A","Dates=H","DateFormat=P","Fill=—","Direction=H","UseDPDF=Y")</f>
        <v>2497</v>
      </c>
      <c r="L8" s="17">
        <f>_xll.BDH("CHTR US Equity","CF_DEPR_AMORT","FQ2 2020","FQ2 2020","Currency=USD","Period=FQ","BEST_FPERIOD_OVERRIDE=FQ","FILING_STATUS=MR","SCALING_FORMAT=MLN","Sort=A","Dates=H","DateFormat=P","Fill=—","Direction=H","UseDPDF=Y")</f>
        <v>2428</v>
      </c>
    </row>
    <row r="9" spans="1:12" x14ac:dyDescent="0.35">
      <c r="A9" s="16" t="s">
        <v>431</v>
      </c>
      <c r="B9" s="16" t="s">
        <v>430</v>
      </c>
      <c r="C9" s="17">
        <f>_xll.BDH("CHTR US Equity","NON_CASH_ITEMS_DETAILED","FQ1 2018","FQ1 2018","Currency=USD","Period=FQ","BEST_FPERIOD_OVERRIDE=FQ","FILING_STATUS=MR","SCALING_FORMAT=MLN","Sort=A","Dates=H","DateFormat=P","Fill=—","Direction=H","UseDPDF=Y")</f>
        <v>26</v>
      </c>
      <c r="D9" s="17">
        <f>_xll.BDH("CHTR US Equity","NON_CASH_ITEMS_DETAILED","FQ2 2018","FQ2 2018","Currency=USD","Period=FQ","BEST_FPERIOD_OVERRIDE=FQ","FILING_STATUS=MR","SCALING_FORMAT=MLN","Sort=A","Dates=H","DateFormat=P","Fill=—","Direction=H","UseDPDF=Y")</f>
        <v>170</v>
      </c>
      <c r="E9" s="17">
        <f>_xll.BDH("CHTR US Equity","NON_CASH_ITEMS_DETAILED","FQ3 2018","FQ3 2018","Currency=USD","Period=FQ","BEST_FPERIOD_OVERRIDE=FQ","FILING_STATUS=MR","SCALING_FORMAT=MLN","Sort=A","Dates=H","DateFormat=P","Fill=—","Direction=H","UseDPDF=Y")</f>
        <v>-37</v>
      </c>
      <c r="F9" s="17">
        <f>_xll.BDH("CHTR US Equity","NON_CASH_ITEMS_DETAILED","FQ4 2018","FQ4 2018","Currency=USD","Period=FQ","BEST_FPERIOD_OVERRIDE=FQ","FILING_STATUS=MR","SCALING_FORMAT=MLN","Sort=A","Dates=H","DateFormat=P","Fill=—","Direction=H","UseDPDF=Y")</f>
        <v>303</v>
      </c>
      <c r="G9" s="17">
        <f>_xll.BDH("CHTR US Equity","NON_CASH_ITEMS_DETAILED","FQ1 2019","FQ1 2019","Currency=USD","Period=FQ","BEST_FPERIOD_OVERRIDE=FQ","FILING_STATUS=MR","SCALING_FORMAT=MLN","Sort=A","Dates=H","DateFormat=P","Fill=—","Direction=H","UseDPDF=Y")</f>
        <v>227</v>
      </c>
      <c r="H9" s="17">
        <f>_xll.BDH("CHTR US Equity","NON_CASH_ITEMS_DETAILED","FQ2 2019","FQ2 2019","Currency=USD","Period=FQ","BEST_FPERIOD_OVERRIDE=FQ","FILING_STATUS=MR","SCALING_FORMAT=MLN","Sort=A","Dates=H","DateFormat=P","Fill=—","Direction=H","UseDPDF=Y")</f>
        <v>356</v>
      </c>
      <c r="I9" s="17">
        <f>_xll.BDH("CHTR US Equity","NON_CASH_ITEMS_DETAILED","FQ3 2019","FQ3 2019","Currency=USD","Period=FQ","BEST_FPERIOD_OVERRIDE=FQ","FILING_STATUS=MR","SCALING_FORMAT=MLN","Sort=A","Dates=H","DateFormat=P","Fill=—","Direction=H","UseDPDF=Y")</f>
        <v>252</v>
      </c>
      <c r="J9" s="17">
        <f>_xll.BDH("CHTR US Equity","NON_CASH_ITEMS_DETAILED","FQ4 2019","FQ4 2019","Currency=USD","Period=FQ","BEST_FPERIOD_OVERRIDE=FQ","FILING_STATUS=MR","SCALING_FORMAT=MLN","Sort=A","Dates=H","DateFormat=P","Fill=—","Direction=H","UseDPDF=Y")</f>
        <v>324</v>
      </c>
      <c r="K9" s="17">
        <f>_xll.BDH("CHTR US Equity","NON_CASH_ITEMS_DETAILED","FQ1 2020","FQ1 2020","Currency=USD","Period=FQ","BEST_FPERIOD_OVERRIDE=FQ","FILING_STATUS=MR","SCALING_FORMAT=MLN","Sort=A","Dates=H","DateFormat=P","Fill=—","Direction=H","UseDPDF=Y")</f>
        <v>450</v>
      </c>
      <c r="L9" s="17">
        <f>_xll.BDH("CHTR US Equity","NON_CASH_ITEMS_DETAILED","FQ2 2020","FQ2 2020","Currency=USD","Period=FQ","BEST_FPERIOD_OVERRIDE=FQ","FILING_STATUS=MR","SCALING_FORMAT=MLN","Sort=A","Dates=H","DateFormat=P","Fill=—","Direction=H","UseDPDF=Y")</f>
        <v>270</v>
      </c>
    </row>
    <row r="10" spans="1:12" x14ac:dyDescent="0.35">
      <c r="A10" s="16" t="s">
        <v>429</v>
      </c>
      <c r="B10" s="16" t="s">
        <v>428</v>
      </c>
      <c r="C10" s="17">
        <f>_xll.BDH("CHTR US Equity","CF_STOCK_BASED_COMPENSATION","FQ1 2018","FQ1 2018","Currency=USD","Period=FQ","BEST_FPERIOD_OVERRIDE=FQ","FILING_STATUS=MR","SCALING_FORMAT=MLN","Sort=A","Dates=H","DateFormat=P","Fill=—","Direction=H","UseDPDF=Y")</f>
        <v>72</v>
      </c>
      <c r="D10" s="17">
        <f>_xll.BDH("CHTR US Equity","CF_STOCK_BASED_COMPENSATION","FQ2 2018","FQ2 2018","Currency=USD","Period=FQ","BEST_FPERIOD_OVERRIDE=FQ","FILING_STATUS=MR","SCALING_FORMAT=MLN","Sort=A","Dates=H","DateFormat=P","Fill=—","Direction=H","UseDPDF=Y")</f>
        <v>70</v>
      </c>
      <c r="E10" s="17">
        <f>_xll.BDH("CHTR US Equity","CF_STOCK_BASED_COMPENSATION","FQ3 2018","FQ3 2018","Currency=USD","Period=FQ","BEST_FPERIOD_OVERRIDE=FQ","FILING_STATUS=MR","SCALING_FORMAT=MLN","Sort=A","Dates=H","DateFormat=P","Fill=—","Direction=H","UseDPDF=Y")</f>
        <v>71</v>
      </c>
      <c r="F10" s="17">
        <f>_xll.BDH("CHTR US Equity","CF_STOCK_BASED_COMPENSATION","FQ4 2018","FQ4 2018","Currency=USD","Period=FQ","BEST_FPERIOD_OVERRIDE=FQ","FILING_STATUS=MR","SCALING_FORMAT=MLN","Sort=A","Dates=H","DateFormat=P","Fill=—","Direction=H","UseDPDF=Y")</f>
        <v>72</v>
      </c>
      <c r="G10" s="17">
        <f>_xll.BDH("CHTR US Equity","CF_STOCK_BASED_COMPENSATION","FQ1 2019","FQ1 2019","Currency=USD","Period=FQ","BEST_FPERIOD_OVERRIDE=FQ","FILING_STATUS=MR","SCALING_FORMAT=MLN","Sort=A","Dates=H","DateFormat=P","Fill=—","Direction=H","UseDPDF=Y")</f>
        <v>85</v>
      </c>
      <c r="H10" s="17">
        <f>_xll.BDH("CHTR US Equity","CF_STOCK_BASED_COMPENSATION","FQ2 2019","FQ2 2019","Currency=USD","Period=FQ","BEST_FPERIOD_OVERRIDE=FQ","FILING_STATUS=MR","SCALING_FORMAT=MLN","Sort=A","Dates=H","DateFormat=P","Fill=—","Direction=H","UseDPDF=Y")</f>
        <v>82</v>
      </c>
      <c r="I10" s="17">
        <f>_xll.BDH("CHTR US Equity","CF_STOCK_BASED_COMPENSATION","FQ3 2019","FQ3 2019","Currency=USD","Period=FQ","BEST_FPERIOD_OVERRIDE=FQ","FILING_STATUS=MR","SCALING_FORMAT=MLN","Sort=A","Dates=H","DateFormat=P","Fill=—","Direction=H","UseDPDF=Y")</f>
        <v>71</v>
      </c>
      <c r="J10" s="17">
        <f>_xll.BDH("CHTR US Equity","CF_STOCK_BASED_COMPENSATION","FQ4 2019","FQ4 2019","Currency=USD","Period=FQ","BEST_FPERIOD_OVERRIDE=FQ","FILING_STATUS=MR","SCALING_FORMAT=MLN","Sort=A","Dates=H","DateFormat=P","Fill=—","Direction=H","UseDPDF=Y")</f>
        <v>77</v>
      </c>
      <c r="K10" s="17">
        <f>_xll.BDH("CHTR US Equity","CF_STOCK_BASED_COMPENSATION","FQ1 2020","FQ1 2020","Currency=USD","Period=FQ","BEST_FPERIOD_OVERRIDE=FQ","FILING_STATUS=MR","SCALING_FORMAT=MLN","Sort=A","Dates=H","DateFormat=P","Fill=—","Direction=H","UseDPDF=Y")</f>
        <v>90</v>
      </c>
      <c r="L10" s="17">
        <f>_xll.BDH("CHTR US Equity","CF_STOCK_BASED_COMPENSATION","FQ2 2020","FQ2 2020","Currency=USD","Period=FQ","BEST_FPERIOD_OVERRIDE=FQ","FILING_STATUS=MR","SCALING_FORMAT=MLN","Sort=A","Dates=H","DateFormat=P","Fill=—","Direction=H","UseDPDF=Y")</f>
        <v>90</v>
      </c>
    </row>
    <row r="11" spans="1:12" x14ac:dyDescent="0.35">
      <c r="A11" s="16" t="s">
        <v>427</v>
      </c>
      <c r="B11" s="16" t="s">
        <v>426</v>
      </c>
      <c r="C11" s="17">
        <f>_xll.BDH("CHTR US Equity","CF_DEF_INC_TAX","FQ1 2018","FQ1 2018","Currency=USD","Period=FQ","BEST_FPERIOD_OVERRIDE=FQ","FILING_STATUS=MR","SCALING_FORMAT=MLN","Sort=A","Dates=H","DateFormat=P","Fill=—","Direction=H","UseDPDF=Y")</f>
        <v>28</v>
      </c>
      <c r="D11" s="17">
        <f>_xll.BDH("CHTR US Equity","CF_DEF_INC_TAX","FQ2 2018","FQ2 2018","Currency=USD","Period=FQ","BEST_FPERIOD_OVERRIDE=FQ","FILING_STATUS=MR","SCALING_FORMAT=MLN","Sort=A","Dates=H","DateFormat=P","Fill=—","Direction=H","UseDPDF=Y")</f>
        <v>29</v>
      </c>
      <c r="E11" s="17">
        <f>_xll.BDH("CHTR US Equity","CF_DEF_INC_TAX","FQ3 2018","FQ3 2018","Currency=USD","Period=FQ","BEST_FPERIOD_OVERRIDE=FQ","FILING_STATUS=MR","SCALING_FORMAT=MLN","Sort=A","Dates=H","DateFormat=P","Fill=—","Direction=H","UseDPDF=Y")</f>
        <v>80</v>
      </c>
      <c r="F11" s="17">
        <f>_xll.BDH("CHTR US Equity","CF_DEF_INC_TAX","FQ4 2018","FQ4 2018","Currency=USD","Period=FQ","BEST_FPERIOD_OVERRIDE=FQ","FILING_STATUS=MR","SCALING_FORMAT=MLN","Sort=A","Dates=H","DateFormat=P","Fill=—","Direction=H","UseDPDF=Y")</f>
        <v>-27</v>
      </c>
      <c r="G11" s="17">
        <f>_xll.BDH("CHTR US Equity","CF_DEF_INC_TAX","FQ1 2019","FQ1 2019","Currency=USD","Period=FQ","BEST_FPERIOD_OVERRIDE=FQ","FILING_STATUS=MR","SCALING_FORMAT=MLN","Sort=A","Dates=H","DateFormat=P","Fill=—","Direction=H","UseDPDF=Y")</f>
        <v>81</v>
      </c>
      <c r="H11" s="17">
        <f>_xll.BDH("CHTR US Equity","CF_DEF_INC_TAX","FQ2 2019","FQ2 2019","Currency=USD","Period=FQ","BEST_FPERIOD_OVERRIDE=FQ","FILING_STATUS=MR","SCALING_FORMAT=MLN","Sort=A","Dates=H","DateFormat=P","Fill=—","Direction=H","UseDPDF=Y")</f>
        <v>56</v>
      </c>
      <c r="I11" s="17">
        <f>_xll.BDH("CHTR US Equity","CF_DEF_INC_TAX","FQ3 2019","FQ3 2019","Currency=USD","Period=FQ","BEST_FPERIOD_OVERRIDE=FQ","FILING_STATUS=MR","SCALING_FORMAT=MLN","Sort=A","Dates=H","DateFormat=P","Fill=—","Direction=H","UseDPDF=Y")</f>
        <v>96</v>
      </c>
      <c r="J11" s="17">
        <f>_xll.BDH("CHTR US Equity","CF_DEF_INC_TAX","FQ4 2019","FQ4 2019","Currency=USD","Period=FQ","BEST_FPERIOD_OVERRIDE=FQ","FILING_STATUS=MR","SCALING_FORMAT=MLN","Sort=A","Dates=H","DateFormat=P","Fill=—","Direction=H","UseDPDF=Y")</f>
        <v>87</v>
      </c>
      <c r="K11" s="17">
        <f>_xll.BDH("CHTR US Equity","CF_DEF_INC_TAX","FQ1 2020","FQ1 2020","Currency=USD","Period=FQ","BEST_FPERIOD_OVERRIDE=FQ","FILING_STATUS=MR","SCALING_FORMAT=MLN","Sort=A","Dates=H","DateFormat=P","Fill=—","Direction=H","UseDPDF=Y")</f>
        <v>-14</v>
      </c>
      <c r="L11" s="17">
        <f>_xll.BDH("CHTR US Equity","CF_DEF_INC_TAX","FQ2 2020","FQ2 2020","Currency=USD","Period=FQ","BEST_FPERIOD_OVERRIDE=FQ","FILING_STATUS=MR","SCALING_FORMAT=MLN","Sort=A","Dates=H","DateFormat=P","Fill=—","Direction=H","UseDPDF=Y")</f>
        <v>115</v>
      </c>
    </row>
    <row r="12" spans="1:12" x14ac:dyDescent="0.35">
      <c r="A12" s="16" t="s">
        <v>425</v>
      </c>
      <c r="B12" s="16" t="s">
        <v>424</v>
      </c>
      <c r="C12" s="17">
        <f>_xll.BDH("CHTR US Equity","OTHER_NON_CASH_ADJ_LESS_DETAILED","FQ1 2018","FQ1 2018","Currency=USD","Period=FQ","BEST_FPERIOD_OVERRIDE=FQ","FILING_STATUS=MR","SCALING_FORMAT=MLN","Sort=A","Dates=H","DateFormat=P","Fill=—","Direction=H","UseDPDF=Y")</f>
        <v>-74</v>
      </c>
      <c r="D12" s="17">
        <f>_xll.BDH("CHTR US Equity","OTHER_NON_CASH_ADJ_LESS_DETAILED","FQ2 2018","FQ2 2018","Currency=USD","Period=FQ","BEST_FPERIOD_OVERRIDE=FQ","FILING_STATUS=MR","SCALING_FORMAT=MLN","Sort=A","Dates=H","DateFormat=P","Fill=—","Direction=H","UseDPDF=Y")</f>
        <v>71</v>
      </c>
      <c r="E12" s="17">
        <f>_xll.BDH("CHTR US Equity","OTHER_NON_CASH_ADJ_LESS_DETAILED","FQ3 2018","FQ3 2018","Currency=USD","Period=FQ","BEST_FPERIOD_OVERRIDE=FQ","FILING_STATUS=MR","SCALING_FORMAT=MLN","Sort=A","Dates=H","DateFormat=P","Fill=—","Direction=H","UseDPDF=Y")</f>
        <v>-188</v>
      </c>
      <c r="F12" s="17">
        <f>_xll.BDH("CHTR US Equity","OTHER_NON_CASH_ADJ_LESS_DETAILED","FQ4 2018","FQ4 2018","Currency=USD","Period=FQ","BEST_FPERIOD_OVERRIDE=FQ","FILING_STATUS=MR","SCALING_FORMAT=MLN","Sort=A","Dates=H","DateFormat=P","Fill=—","Direction=H","UseDPDF=Y")</f>
        <v>258</v>
      </c>
      <c r="G12" s="17">
        <f>_xll.BDH("CHTR US Equity","OTHER_NON_CASH_ADJ_LESS_DETAILED","FQ1 2019","FQ1 2019","Currency=USD","Period=FQ","BEST_FPERIOD_OVERRIDE=FQ","FILING_STATUS=MR","SCALING_FORMAT=MLN","Sort=A","Dates=H","DateFormat=P","Fill=—","Direction=H","UseDPDF=Y")</f>
        <v>61</v>
      </c>
      <c r="H12" s="17">
        <f>_xll.BDH("CHTR US Equity","OTHER_NON_CASH_ADJ_LESS_DETAILED","FQ2 2019","FQ2 2019","Currency=USD","Period=FQ","BEST_FPERIOD_OVERRIDE=FQ","FILING_STATUS=MR","SCALING_FORMAT=MLN","Sort=A","Dates=H","DateFormat=P","Fill=—","Direction=H","UseDPDF=Y")</f>
        <v>218</v>
      </c>
      <c r="I12" s="17">
        <f>_xll.BDH("CHTR US Equity","OTHER_NON_CASH_ADJ_LESS_DETAILED","FQ3 2019","FQ3 2019","Currency=USD","Period=FQ","BEST_FPERIOD_OVERRIDE=FQ","FILING_STATUS=MR","SCALING_FORMAT=MLN","Sort=A","Dates=H","DateFormat=P","Fill=—","Direction=H","UseDPDF=Y")</f>
        <v>85</v>
      </c>
      <c r="J12" s="17">
        <f>_xll.BDH("CHTR US Equity","OTHER_NON_CASH_ADJ_LESS_DETAILED","FQ4 2019","FQ4 2019","Currency=USD","Period=FQ","BEST_FPERIOD_OVERRIDE=FQ","FILING_STATUS=MR","SCALING_FORMAT=MLN","Sort=A","Dates=H","DateFormat=P","Fill=—","Direction=H","UseDPDF=Y")</f>
        <v>160</v>
      </c>
      <c r="K12" s="17">
        <f>_xll.BDH("CHTR US Equity","OTHER_NON_CASH_ADJ_LESS_DETAILED","FQ1 2020","FQ1 2020","Currency=USD","Period=FQ","BEST_FPERIOD_OVERRIDE=FQ","FILING_STATUS=MR","SCALING_FORMAT=MLN","Sort=A","Dates=H","DateFormat=P","Fill=—","Direction=H","UseDPDF=Y")</f>
        <v>374</v>
      </c>
      <c r="L12" s="17">
        <f>_xll.BDH("CHTR US Equity","OTHER_NON_CASH_ADJ_LESS_DETAILED","FQ2 2020","FQ2 2020","Currency=USD","Period=FQ","BEST_FPERIOD_OVERRIDE=FQ","FILING_STATUS=MR","SCALING_FORMAT=MLN","Sort=A","Dates=H","DateFormat=P","Fill=—","Direction=H","UseDPDF=Y")</f>
        <v>65</v>
      </c>
    </row>
    <row r="13" spans="1:12" x14ac:dyDescent="0.35">
      <c r="A13" s="16" t="s">
        <v>423</v>
      </c>
      <c r="B13" s="16" t="s">
        <v>422</v>
      </c>
      <c r="C13" s="17">
        <f>_xll.BDH("CHTR US Equity","CF_CHNG_NON_CASH_WORK_CAP","FQ1 2018","FQ1 2018","Currency=USD","Period=FQ","BEST_FPERIOD_OVERRIDE=FQ","FILING_STATUS=MR","SCALING_FORMAT=MLN","Sort=A","Dates=H","DateFormat=P","Fill=—","Direction=H","UseDPDF=Y")</f>
        <v>-205</v>
      </c>
      <c r="D13" s="17">
        <f>_xll.BDH("CHTR US Equity","CF_CHNG_NON_CASH_WORK_CAP","FQ2 2018","FQ2 2018","Currency=USD","Period=FQ","BEST_FPERIOD_OVERRIDE=FQ","FILING_STATUS=MR","SCALING_FORMAT=MLN","Sort=A","Dates=H","DateFormat=P","Fill=—","Direction=H","UseDPDF=Y")</f>
        <v>61</v>
      </c>
      <c r="E13" s="17">
        <f>_xll.BDH("CHTR US Equity","CF_CHNG_NON_CASH_WORK_CAP","FQ3 2018","FQ3 2018","Currency=USD","Period=FQ","BEST_FPERIOD_OVERRIDE=FQ","FILING_STATUS=MR","SCALING_FORMAT=MLN","Sort=A","Dates=H","DateFormat=P","Fill=—","Direction=H","UseDPDF=Y")</f>
        <v>-134</v>
      </c>
      <c r="F13" s="17">
        <f>_xll.BDH("CHTR US Equity","CF_CHNG_NON_CASH_WORK_CAP","FQ4 2018","FQ4 2018","Currency=USD","Period=FQ","BEST_FPERIOD_OVERRIDE=FQ","FILING_STATUS=MR","SCALING_FORMAT=MLN","Sort=A","Dates=H","DateFormat=P","Fill=—","Direction=H","UseDPDF=Y")</f>
        <v>35</v>
      </c>
      <c r="G13" s="17">
        <f>_xll.BDH("CHTR US Equity","CF_CHNG_NON_CASH_WORK_CAP","FQ1 2019","FQ1 2019","Currency=USD","Period=FQ","BEST_FPERIOD_OVERRIDE=FQ","FILING_STATUS=MR","SCALING_FORMAT=MLN","Sort=A","Dates=H","DateFormat=P","Fill=—","Direction=H","UseDPDF=Y")</f>
        <v>-344</v>
      </c>
      <c r="H13" s="17">
        <f>_xll.BDH("CHTR US Equity","CF_CHNG_NON_CASH_WORK_CAP","FQ2 2019","FQ2 2019","Currency=USD","Period=FQ","BEST_FPERIOD_OVERRIDE=FQ","FILING_STATUS=MR","SCALING_FORMAT=MLN","Sort=A","Dates=H","DateFormat=P","Fill=—","Direction=H","UseDPDF=Y")</f>
        <v>-409</v>
      </c>
      <c r="I13" s="17">
        <f>_xll.BDH("CHTR US Equity","CF_CHNG_NON_CASH_WORK_CAP","FQ3 2019","FQ3 2019","Currency=USD","Period=FQ","BEST_FPERIOD_OVERRIDE=FQ","FILING_STATUS=MR","SCALING_FORMAT=MLN","Sort=A","Dates=H","DateFormat=P","Fill=—","Direction=H","UseDPDF=Y")</f>
        <v>-111</v>
      </c>
      <c r="J13" s="17">
        <f>_xll.BDH("CHTR US Equity","CF_CHNG_NON_CASH_WORK_CAP","FQ4 2019","FQ4 2019","Currency=USD","Period=FQ","BEST_FPERIOD_OVERRIDE=FQ","FILING_STATUS=MR","SCALING_FORMAT=MLN","Sort=A","Dates=H","DateFormat=P","Fill=—","Direction=H","UseDPDF=Y")</f>
        <v>-141</v>
      </c>
      <c r="K13" s="17">
        <f>_xll.BDH("CHTR US Equity","CF_CHNG_NON_CASH_WORK_CAP","FQ1 2020","FQ1 2020","Currency=USD","Period=FQ","BEST_FPERIOD_OVERRIDE=FQ","FILING_STATUS=MR","SCALING_FORMAT=MLN","Sort=A","Dates=H","DateFormat=P","Fill=—","Direction=H","UseDPDF=Y")</f>
        <v>-123</v>
      </c>
      <c r="L13" s="17">
        <f>_xll.BDH("CHTR US Equity","CF_CHNG_NON_CASH_WORK_CAP","FQ2 2020","FQ2 2020","Currency=USD","Period=FQ","BEST_FPERIOD_OVERRIDE=FQ","FILING_STATUS=MR","SCALING_FORMAT=MLN","Sort=A","Dates=H","DateFormat=P","Fill=—","Direction=H","UseDPDF=Y")</f>
        <v>65</v>
      </c>
    </row>
    <row r="14" spans="1:12" x14ac:dyDescent="0.35">
      <c r="A14" s="16" t="s">
        <v>421</v>
      </c>
      <c r="B14" s="16" t="s">
        <v>420</v>
      </c>
      <c r="C14" s="17">
        <f>_xll.BDH("CHTR US Equity","CF_ACCT_RCV_UNBILLED_REV","FQ1 2018","FQ1 2018","Currency=USD","Period=FQ","BEST_FPERIOD_OVERRIDE=FQ","FILING_STATUS=MR","SCALING_FORMAT=MLN","Sort=A","Dates=H","DateFormat=P","Fill=—","Direction=H","UseDPDF=Y")</f>
        <v>226</v>
      </c>
      <c r="D14" s="17">
        <f>_xll.BDH("CHTR US Equity","CF_ACCT_RCV_UNBILLED_REV","FQ2 2018","FQ2 2018","Currency=USD","Period=FQ","BEST_FPERIOD_OVERRIDE=FQ","FILING_STATUS=MR","SCALING_FORMAT=MLN","Sort=A","Dates=H","DateFormat=P","Fill=—","Direction=H","UseDPDF=Y")</f>
        <v>-210</v>
      </c>
      <c r="E14" s="17">
        <f>_xll.BDH("CHTR US Equity","CF_ACCT_RCV_UNBILLED_REV","FQ3 2018","FQ3 2018","Currency=USD","Period=FQ","BEST_FPERIOD_OVERRIDE=FQ","FILING_STATUS=MR","SCALING_FORMAT=MLN","Sort=A","Dates=H","DateFormat=P","Fill=—","Direction=H","UseDPDF=Y")</f>
        <v>-117</v>
      </c>
      <c r="F14" s="17">
        <f>_xll.BDH("CHTR US Equity","CF_ACCT_RCV_UNBILLED_REV","FQ4 2018","FQ4 2018","Currency=USD","Period=FQ","BEST_FPERIOD_OVERRIDE=FQ","FILING_STATUS=MR","SCALING_FORMAT=MLN","Sort=A","Dates=H","DateFormat=P","Fill=—","Direction=H","UseDPDF=Y")</f>
        <v>3</v>
      </c>
      <c r="G14" s="17">
        <f>_xll.BDH("CHTR US Equity","CF_ACCT_RCV_UNBILLED_REV","FQ1 2019","FQ1 2019","Currency=USD","Period=FQ","BEST_FPERIOD_OVERRIDE=FQ","FILING_STATUS=MR","SCALING_FORMAT=MLN","Sort=A","Dates=H","DateFormat=P","Fill=—","Direction=H","UseDPDF=Y")</f>
        <v>155</v>
      </c>
      <c r="H14" s="17">
        <f>_xll.BDH("CHTR US Equity","CF_ACCT_RCV_UNBILLED_REV","FQ2 2019","FQ2 2019","Currency=USD","Period=FQ","BEST_FPERIOD_OVERRIDE=FQ","FILING_STATUS=MR","SCALING_FORMAT=MLN","Sort=A","Dates=H","DateFormat=P","Fill=—","Direction=H","UseDPDF=Y")</f>
        <v>-492</v>
      </c>
      <c r="I14" s="17">
        <f>_xll.BDH("CHTR US Equity","CF_ACCT_RCV_UNBILLED_REV","FQ3 2019","FQ3 2019","Currency=USD","Period=FQ","BEST_FPERIOD_OVERRIDE=FQ","FILING_STATUS=MR","SCALING_FORMAT=MLN","Sort=A","Dates=H","DateFormat=P","Fill=—","Direction=H","UseDPDF=Y")</f>
        <v>-227</v>
      </c>
      <c r="J14" s="17">
        <f>_xll.BDH("CHTR US Equity","CF_ACCT_RCV_UNBILLED_REV","FQ4 2019","FQ4 2019","Currency=USD","Period=FQ","BEST_FPERIOD_OVERRIDE=FQ","FILING_STATUS=MR","SCALING_FORMAT=MLN","Sort=A","Dates=H","DateFormat=P","Fill=—","Direction=H","UseDPDF=Y")</f>
        <v>59</v>
      </c>
      <c r="K14" s="17">
        <f>_xll.BDH("CHTR US Equity","CF_ACCT_RCV_UNBILLED_REV","FQ1 2020","FQ1 2020","Currency=USD","Period=FQ","BEST_FPERIOD_OVERRIDE=FQ","FILING_STATUS=MR","SCALING_FORMAT=MLN","Sort=A","Dates=H","DateFormat=P","Fill=—","Direction=H","UseDPDF=Y")</f>
        <v>136</v>
      </c>
      <c r="L14" s="17">
        <f>_xll.BDH("CHTR US Equity","CF_ACCT_RCV_UNBILLED_REV","FQ2 2020","FQ2 2020","Currency=USD","Period=FQ","BEST_FPERIOD_OVERRIDE=FQ","FILING_STATUS=MR","SCALING_FORMAT=MLN","Sort=A","Dates=H","DateFormat=P","Fill=—","Direction=H","UseDPDF=Y")</f>
        <v>97</v>
      </c>
    </row>
    <row r="15" spans="1:12" x14ac:dyDescent="0.35">
      <c r="A15" s="16" t="s">
        <v>419</v>
      </c>
      <c r="B15" s="16" t="s">
        <v>418</v>
      </c>
      <c r="C15" s="17">
        <f>_xll.BDH("CHTR US Equity","CF_CHANGE_IN_INVENTORIES","FQ1 2018","FQ1 2018","Currency=USD","Period=FQ","BEST_FPERIOD_OVERRIDE=FQ","FILING_STATUS=MR","SCALING_FORMAT=MLN","Sort=A","Dates=H","DateFormat=P","Fill=—","Direction=H","UseDPDF=Y")</f>
        <v>0</v>
      </c>
      <c r="D15" s="17">
        <f>_xll.BDH("CHTR US Equity","CF_CHANGE_IN_INVENTORIES","FQ2 2018","FQ2 2018","Currency=USD","Period=FQ","BEST_FPERIOD_OVERRIDE=FQ","FILING_STATUS=MR","SCALING_FORMAT=MLN","Sort=A","Dates=H","DateFormat=P","Fill=—","Direction=H","UseDPDF=Y")</f>
        <v>0</v>
      </c>
      <c r="E15" s="17">
        <f>_xll.BDH("CHTR US Equity","CF_CHANGE_IN_INVENTORIES","FQ3 2018","FQ3 2018","Currency=USD","Period=FQ","BEST_FPERIOD_OVERRIDE=FQ","FILING_STATUS=MR","SCALING_FORMAT=MLN","Sort=A","Dates=H","DateFormat=P","Fill=—","Direction=H","UseDPDF=Y")</f>
        <v>0</v>
      </c>
      <c r="F15" s="17">
        <f>_xll.BDH("CHTR US Equity","CF_CHANGE_IN_INVENTORIES","FQ4 2018","FQ4 2018","Currency=USD","Period=FQ","BEST_FPERIOD_OVERRIDE=FQ","FILING_STATUS=MR","SCALING_FORMAT=MLN","Sort=A","Dates=H","DateFormat=P","Fill=—","Direction=H","UseDPDF=Y")</f>
        <v>0</v>
      </c>
      <c r="G15" s="17">
        <f>_xll.BDH("CHTR US Equity","CF_CHANGE_IN_INVENTORIES","FQ1 2019","FQ1 2019","Currency=USD","Period=FQ","BEST_FPERIOD_OVERRIDE=FQ","FILING_STATUS=MR","SCALING_FORMAT=MLN","Sort=A","Dates=H","DateFormat=P","Fill=—","Direction=H","UseDPDF=Y")</f>
        <v>0</v>
      </c>
      <c r="H15" s="17" t="str">
        <f>_xll.BDH("CHTR US Equity","CF_CHANGE_IN_INVENTORIES","FQ2 2019","FQ2 2019","Currency=USD","Period=FQ","BEST_FPERIOD_OVERRIDE=FQ","FILING_STATUS=MR","SCALING_FORMAT=MLN","Sort=A","Dates=H","DateFormat=P","Fill=—","Direction=H","UseDPDF=Y")</f>
        <v>—</v>
      </c>
      <c r="I15" s="17">
        <f>_xll.BDH("CHTR US Equity","CF_CHANGE_IN_INVENTORIES","FQ3 2019","FQ3 2019","Currency=USD","Period=FQ","BEST_FPERIOD_OVERRIDE=FQ","FILING_STATUS=MR","SCALING_FORMAT=MLN","Sort=A","Dates=H","DateFormat=P","Fill=—","Direction=H","UseDPDF=Y")</f>
        <v>0</v>
      </c>
      <c r="J15" s="17">
        <f>_xll.BDH("CHTR US Equity","CF_CHANGE_IN_INVENTORIES","FQ4 2019","FQ4 2019","Currency=USD","Period=FQ","BEST_FPERIOD_OVERRIDE=FQ","FILING_STATUS=MR","SCALING_FORMAT=MLN","Sort=A","Dates=H","DateFormat=P","Fill=—","Direction=H","UseDPDF=Y")</f>
        <v>0</v>
      </c>
      <c r="K15" s="17">
        <f>_xll.BDH("CHTR US Equity","CF_CHANGE_IN_INVENTORIES","FQ1 2020","FQ1 2020","Currency=USD","Period=FQ","BEST_FPERIOD_OVERRIDE=FQ","FILING_STATUS=MR","SCALING_FORMAT=MLN","Sort=A","Dates=H","DateFormat=P","Fill=—","Direction=H","UseDPDF=Y")</f>
        <v>0</v>
      </c>
      <c r="L15" s="17">
        <f>_xll.BDH("CHTR US Equity","CF_CHANGE_IN_INVENTORIES","FQ2 2020","FQ2 2020","Currency=USD","Period=FQ","BEST_FPERIOD_OVERRIDE=FQ","FILING_STATUS=MR","SCALING_FORMAT=MLN","Sort=A","Dates=H","DateFormat=P","Fill=—","Direction=H","UseDPDF=Y")</f>
        <v>0</v>
      </c>
    </row>
    <row r="16" spans="1:12" x14ac:dyDescent="0.35">
      <c r="A16" s="16" t="s">
        <v>417</v>
      </c>
      <c r="B16" s="16" t="s">
        <v>416</v>
      </c>
      <c r="C16" s="17">
        <f>_xll.BDH("CHTR US Equity","INC_DEC_IN_OT_OP_AST_LIAB_DETAIL","FQ1 2018","FQ1 2018","Currency=USD","Period=FQ","BEST_FPERIOD_OVERRIDE=FQ","FILING_STATUS=MR","SCALING_FORMAT=MLN","Sort=A","Dates=H","DateFormat=P","Fill=—","Direction=H","UseDPDF=Y")</f>
        <v>-431</v>
      </c>
      <c r="D16" s="17">
        <f>_xll.BDH("CHTR US Equity","INC_DEC_IN_OT_OP_AST_LIAB_DETAIL","FQ2 2018","FQ2 2018","Currency=USD","Period=FQ","BEST_FPERIOD_OVERRIDE=FQ","FILING_STATUS=MR","SCALING_FORMAT=MLN","Sort=A","Dates=H","DateFormat=P","Fill=—","Direction=H","UseDPDF=Y")</f>
        <v>271</v>
      </c>
      <c r="E16" s="17">
        <f>_xll.BDH("CHTR US Equity","INC_DEC_IN_OT_OP_AST_LIAB_DETAIL","FQ3 2018","FQ3 2018","Currency=USD","Period=FQ","BEST_FPERIOD_OVERRIDE=FQ","FILING_STATUS=MR","SCALING_FORMAT=MLN","Sort=A","Dates=H","DateFormat=P","Fill=—","Direction=H","UseDPDF=Y")</f>
        <v>-17</v>
      </c>
      <c r="F16" s="17">
        <f>_xll.BDH("CHTR US Equity","INC_DEC_IN_OT_OP_AST_LIAB_DETAIL","FQ4 2018","FQ4 2018","Currency=USD","Period=FQ","BEST_FPERIOD_OVERRIDE=FQ","FILING_STATUS=MR","SCALING_FORMAT=MLN","Sort=A","Dates=H","DateFormat=P","Fill=—","Direction=H","UseDPDF=Y")</f>
        <v>32</v>
      </c>
      <c r="G16" s="17">
        <f>_xll.BDH("CHTR US Equity","INC_DEC_IN_OT_OP_AST_LIAB_DETAIL","FQ1 2019","FQ1 2019","Currency=USD","Period=FQ","BEST_FPERIOD_OVERRIDE=FQ","FILING_STATUS=MR","SCALING_FORMAT=MLN","Sort=A","Dates=H","DateFormat=P","Fill=—","Direction=H","UseDPDF=Y")</f>
        <v>-499</v>
      </c>
      <c r="H16" s="17">
        <f>_xll.BDH("CHTR US Equity","INC_DEC_IN_OT_OP_AST_LIAB_DETAIL","FQ2 2019","FQ2 2019","Currency=USD","Period=FQ","BEST_FPERIOD_OVERRIDE=FQ","FILING_STATUS=MR","SCALING_FORMAT=MLN","Sort=A","Dates=H","DateFormat=P","Fill=—","Direction=H","UseDPDF=Y")</f>
        <v>83</v>
      </c>
      <c r="I16" s="17">
        <f>_xll.BDH("CHTR US Equity","INC_DEC_IN_OT_OP_AST_LIAB_DETAIL","FQ3 2019","FQ3 2019","Currency=USD","Period=FQ","BEST_FPERIOD_OVERRIDE=FQ","FILING_STATUS=MR","SCALING_FORMAT=MLN","Sort=A","Dates=H","DateFormat=P","Fill=—","Direction=H","UseDPDF=Y")</f>
        <v>116</v>
      </c>
      <c r="J16" s="17">
        <f>_xll.BDH("CHTR US Equity","INC_DEC_IN_OT_OP_AST_LIAB_DETAIL","FQ4 2019","FQ4 2019","Currency=USD","Period=FQ","BEST_FPERIOD_OVERRIDE=FQ","FILING_STATUS=MR","SCALING_FORMAT=MLN","Sort=A","Dates=H","DateFormat=P","Fill=—","Direction=H","UseDPDF=Y")</f>
        <v>-200</v>
      </c>
      <c r="K16" s="17">
        <f>_xll.BDH("CHTR US Equity","INC_DEC_IN_OT_OP_AST_LIAB_DETAIL","FQ1 2020","FQ1 2020","Currency=USD","Period=FQ","BEST_FPERIOD_OVERRIDE=FQ","FILING_STATUS=MR","SCALING_FORMAT=MLN","Sort=A","Dates=H","DateFormat=P","Fill=—","Direction=H","UseDPDF=Y")</f>
        <v>-259</v>
      </c>
      <c r="L16" s="17">
        <f>_xll.BDH("CHTR US Equity","INC_DEC_IN_OT_OP_AST_LIAB_DETAIL","FQ2 2020","FQ2 2020","Currency=USD","Period=FQ","BEST_FPERIOD_OVERRIDE=FQ","FILING_STATUS=MR","SCALING_FORMAT=MLN","Sort=A","Dates=H","DateFormat=P","Fill=—","Direction=H","UseDPDF=Y")</f>
        <v>-32</v>
      </c>
    </row>
    <row r="17" spans="1:12" x14ac:dyDescent="0.35">
      <c r="A17" s="16" t="s">
        <v>362</v>
      </c>
      <c r="B17" s="16" t="s">
        <v>415</v>
      </c>
      <c r="C17" s="17">
        <f>_xll.BDH("CHTR US Equity","CF_NET_CASH_DISCONT_OPS_OPER","FQ1 2018","FQ1 2018","Currency=USD","Period=FQ","BEST_FPERIOD_OVERRIDE=FQ","FILING_STATUS=MR","SCALING_FORMAT=MLN","Sort=A","Dates=H","DateFormat=P","Fill=—","Direction=H","UseDPDF=Y")</f>
        <v>0</v>
      </c>
      <c r="D17" s="17">
        <f>_xll.BDH("CHTR US Equity","CF_NET_CASH_DISCONT_OPS_OPER","FQ2 2018","FQ2 2018","Currency=USD","Period=FQ","BEST_FPERIOD_OVERRIDE=FQ","FILING_STATUS=MR","SCALING_FORMAT=MLN","Sort=A","Dates=H","DateFormat=P","Fill=—","Direction=H","UseDPDF=Y")</f>
        <v>0</v>
      </c>
      <c r="E17" s="17">
        <f>_xll.BDH("CHTR US Equity","CF_NET_CASH_DISCONT_OPS_OPER","FQ3 2018","FQ3 2018","Currency=USD","Period=FQ","BEST_FPERIOD_OVERRIDE=FQ","FILING_STATUS=MR","SCALING_FORMAT=MLN","Sort=A","Dates=H","DateFormat=P","Fill=—","Direction=H","UseDPDF=Y")</f>
        <v>0</v>
      </c>
      <c r="F17" s="17">
        <f>_xll.BDH("CHTR US Equity","CF_NET_CASH_DISCONT_OPS_OPER","FQ4 2018","FQ4 2018","Currency=USD","Period=FQ","BEST_FPERIOD_OVERRIDE=FQ","FILING_STATUS=MR","SCALING_FORMAT=MLN","Sort=A","Dates=H","DateFormat=P","Fill=—","Direction=H","UseDPDF=Y")</f>
        <v>0</v>
      </c>
      <c r="G17" s="17">
        <f>_xll.BDH("CHTR US Equity","CF_NET_CASH_DISCONT_OPS_OPER","FQ1 2019","FQ1 2019","Currency=USD","Period=FQ","BEST_FPERIOD_OVERRIDE=FQ","FILING_STATUS=MR","SCALING_FORMAT=MLN","Sort=A","Dates=H","DateFormat=P","Fill=—","Direction=H","UseDPDF=Y")</f>
        <v>0</v>
      </c>
      <c r="H17" s="17">
        <f>_xll.BDH("CHTR US Equity","CF_NET_CASH_DISCONT_OPS_OPER","FQ2 2019","FQ2 2019","Currency=USD","Period=FQ","BEST_FPERIOD_OVERRIDE=FQ","FILING_STATUS=MR","SCALING_FORMAT=MLN","Sort=A","Dates=H","DateFormat=P","Fill=—","Direction=H","UseDPDF=Y")</f>
        <v>0</v>
      </c>
      <c r="I17" s="17">
        <f>_xll.BDH("CHTR US Equity","CF_NET_CASH_DISCONT_OPS_OPER","FQ3 2019","FQ3 2019","Currency=USD","Period=FQ","BEST_FPERIOD_OVERRIDE=FQ","FILING_STATUS=MR","SCALING_FORMAT=MLN","Sort=A","Dates=H","DateFormat=P","Fill=—","Direction=H","UseDPDF=Y")</f>
        <v>0</v>
      </c>
      <c r="J17" s="17">
        <f>_xll.BDH("CHTR US Equity","CF_NET_CASH_DISCONT_OPS_OPER","FQ4 2019","FQ4 2019","Currency=USD","Period=FQ","BEST_FPERIOD_OVERRIDE=FQ","FILING_STATUS=MR","SCALING_FORMAT=MLN","Sort=A","Dates=H","DateFormat=P","Fill=—","Direction=H","UseDPDF=Y")</f>
        <v>0</v>
      </c>
      <c r="K17" s="17">
        <f>_xll.BDH("CHTR US Equity","CF_NET_CASH_DISCONT_OPS_OPER","FQ1 2020","FQ1 2020","Currency=USD","Period=FQ","BEST_FPERIOD_OVERRIDE=FQ","FILING_STATUS=MR","SCALING_FORMAT=MLN","Sort=A","Dates=H","DateFormat=P","Fill=—","Direction=H","UseDPDF=Y")</f>
        <v>0</v>
      </c>
      <c r="L17" s="17">
        <f>_xll.BDH("CHTR US Equity","CF_NET_CASH_DISCONT_OPS_OPER","FQ2 2020","FQ2 2020","Currency=USD","Period=FQ","BEST_FPERIOD_OVERRIDE=FQ","FILING_STATUS=MR","SCALING_FORMAT=MLN","Sort=A","Dates=H","DateFormat=P","Fill=—","Direction=H","UseDPDF=Y")</f>
        <v>0</v>
      </c>
    </row>
    <row r="18" spans="1:12" x14ac:dyDescent="0.35">
      <c r="A18" s="12" t="s">
        <v>414</v>
      </c>
      <c r="B18" s="12" t="s">
        <v>51</v>
      </c>
      <c r="C18" s="10">
        <f>_xll.BDH("CHTR US Equity","CF_CASH_FROM_OPER","FQ1 2018","FQ1 2018","Currency=USD","Period=FQ","BEST_FPERIOD_OVERRIDE=FQ","FILING_STATUS=MR","SCALING_FORMAT=MLN","Sort=A","Dates=H","DateFormat=P","Fill=—","Direction=H","UseDPDF=Y")</f>
        <v>2699</v>
      </c>
      <c r="D18" s="10">
        <f>_xll.BDH("CHTR US Equity","CF_CASH_FROM_OPER","FQ2 2018","FQ2 2018","Currency=USD","Period=FQ","BEST_FPERIOD_OVERRIDE=FQ","FILING_STATUS=MR","SCALING_FORMAT=MLN","Sort=A","Dates=H","DateFormat=P","Fill=—","Direction=H","UseDPDF=Y")</f>
        <v>3096</v>
      </c>
      <c r="E18" s="10">
        <f>_xll.BDH("CHTR US Equity","CF_CASH_FROM_OPER","FQ3 2018","FQ3 2018","Currency=USD","Period=FQ","BEST_FPERIOD_OVERRIDE=FQ","FILING_STATUS=MR","SCALING_FORMAT=MLN","Sort=A","Dates=H","DateFormat=P","Fill=—","Direction=H","UseDPDF=Y")</f>
        <v>2804</v>
      </c>
      <c r="F18" s="10">
        <f>_xll.BDH("CHTR US Equity","CF_CASH_FROM_OPER","FQ4 2018","FQ4 2018","Currency=USD","Period=FQ","BEST_FPERIOD_OVERRIDE=FQ","FILING_STATUS=MR","SCALING_FORMAT=MLN","Sort=A","Dates=H","DateFormat=P","Fill=—","Direction=H","UseDPDF=Y")</f>
        <v>3168</v>
      </c>
      <c r="G18" s="10">
        <f>_xll.BDH("CHTR US Equity","CF_CASH_FROM_OPER","FQ1 2019","FQ1 2019","Currency=USD","Period=FQ","BEST_FPERIOD_OVERRIDE=FQ","FILING_STATUS=MR","SCALING_FORMAT=MLN","Sort=A","Dates=H","DateFormat=P","Fill=—","Direction=H","UseDPDF=Y")</f>
        <v>2686</v>
      </c>
      <c r="H18" s="10">
        <f>_xll.BDH("CHTR US Equity","CF_CASH_FROM_OPER","FQ2 2019","FQ2 2019","Currency=USD","Period=FQ","BEST_FPERIOD_OVERRIDE=FQ","FILING_STATUS=MR","SCALING_FORMAT=MLN","Sort=A","Dates=H","DateFormat=P","Fill=—","Direction=H","UseDPDF=Y")</f>
        <v>2761</v>
      </c>
      <c r="I18" s="10">
        <f>_xll.BDH("CHTR US Equity","CF_CASH_FROM_OPER","FQ3 2019","FQ3 2019","Currency=USD","Period=FQ","BEST_FPERIOD_OVERRIDE=FQ","FILING_STATUS=MR","SCALING_FORMAT=MLN","Sort=A","Dates=H","DateFormat=P","Fill=—","Direction=H","UseDPDF=Y")</f>
        <v>2943</v>
      </c>
      <c r="J18" s="10">
        <f>_xll.BDH("CHTR US Equity","CF_CASH_FROM_OPER","FQ4 2019","FQ4 2019","Currency=USD","Period=FQ","BEST_FPERIOD_OVERRIDE=FQ","FILING_STATUS=MR","SCALING_FORMAT=MLN","Sort=A","Dates=H","DateFormat=P","Fill=—","Direction=H","UseDPDF=Y")</f>
        <v>3358</v>
      </c>
      <c r="K18" s="10">
        <f>_xll.BDH("CHTR US Equity","CF_CASH_FROM_OPER","FQ1 2020","FQ1 2020","Currency=USD","Period=FQ","BEST_FPERIOD_OVERRIDE=FQ","FILING_STATUS=MR","SCALING_FORMAT=MLN","Sort=A","Dates=H","DateFormat=P","Fill=—","Direction=H","UseDPDF=Y")</f>
        <v>3220</v>
      </c>
      <c r="L18" s="10">
        <f>_xll.BDH("CHTR US Equity","CF_CASH_FROM_OPER","FQ2 2020","FQ2 2020","Currency=USD","Period=FQ","BEST_FPERIOD_OVERRIDE=FQ","FILING_STATUS=MR","SCALING_FORMAT=MLN","Sort=A","Dates=H","DateFormat=P","Fill=—","Direction=H","UseDPDF=Y")</f>
        <v>3529</v>
      </c>
    </row>
    <row r="19" spans="1:12" x14ac:dyDescent="0.3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 x14ac:dyDescent="0.35">
      <c r="A20" s="12" t="s">
        <v>382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 x14ac:dyDescent="0.35">
      <c r="A21" s="16" t="s">
        <v>413</v>
      </c>
      <c r="B21" s="16" t="s">
        <v>412</v>
      </c>
      <c r="C21" s="17">
        <f>_xll.BDH("CHTR US Equity","CHG_IN_FXD_&amp;_INTANG_AST_DETAILED","FQ1 2018","FQ1 2018","Currency=USD","Period=FQ","BEST_FPERIOD_OVERRIDE=FQ","FILING_STATUS=MR","SCALING_FORMAT=MLN","Sort=A","Dates=H","DateFormat=P","Fill=—","Direction=H","UseDPDF=Y")</f>
        <v>-2183</v>
      </c>
      <c r="D21" s="17">
        <f>_xll.BDH("CHTR US Equity","CHG_IN_FXD_&amp;_INTANG_AST_DETAILED","FQ2 2018","FQ2 2018","Currency=USD","Period=FQ","BEST_FPERIOD_OVERRIDE=FQ","FILING_STATUS=MR","SCALING_FORMAT=MLN","Sort=A","Dates=H","DateFormat=P","Fill=—","Direction=H","UseDPDF=Y")</f>
        <v>-2391</v>
      </c>
      <c r="E21" s="17">
        <f>_xll.BDH("CHTR US Equity","CHG_IN_FXD_&amp;_INTANG_AST_DETAILED","FQ3 2018","FQ3 2018","Currency=USD","Period=FQ","BEST_FPERIOD_OVERRIDE=FQ","FILING_STATUS=MR","SCALING_FORMAT=MLN","Sort=A","Dates=H","DateFormat=P","Fill=—","Direction=H","UseDPDF=Y")</f>
        <v>-2118</v>
      </c>
      <c r="F21" s="17">
        <f>_xll.BDH("CHTR US Equity","CHG_IN_FXD_&amp;_INTANG_AST_DETAILED","FQ4 2018","FQ4 2018","Currency=USD","Period=FQ","BEST_FPERIOD_OVERRIDE=FQ","FILING_STATUS=MR","SCALING_FORMAT=MLN","Sort=A","Dates=H","DateFormat=P","Fill=—","Direction=H","UseDPDF=Y")</f>
        <v>-2433</v>
      </c>
      <c r="G21" s="17">
        <f>_xll.BDH("CHTR US Equity","CHG_IN_FXD_&amp;_INTANG_AST_DETAILED","FQ1 2019","FQ1 2019","Currency=USD","Period=FQ","BEST_FPERIOD_OVERRIDE=FQ","FILING_STATUS=MR","SCALING_FORMAT=MLN","Sort=A","Dates=H","DateFormat=P","Fill=—","Direction=H","UseDPDF=Y")</f>
        <v>-1665</v>
      </c>
      <c r="H21" s="17">
        <f>_xll.BDH("CHTR US Equity","CHG_IN_FXD_&amp;_INTANG_AST_DETAILED","FQ2 2019","FQ2 2019","Currency=USD","Period=FQ","BEST_FPERIOD_OVERRIDE=FQ","FILING_STATUS=MR","SCALING_FORMAT=MLN","Sort=A","Dates=H","DateFormat=P","Fill=—","Direction=H","UseDPDF=Y")</f>
        <v>-1597</v>
      </c>
      <c r="I21" s="17">
        <f>_xll.BDH("CHTR US Equity","CHG_IN_FXD_&amp;_INTANG_AST_DETAILED","FQ3 2019","FQ3 2019","Currency=USD","Period=FQ","BEST_FPERIOD_OVERRIDE=FQ","FILING_STATUS=MR","SCALING_FORMAT=MLN","Sort=A","Dates=H","DateFormat=P","Fill=—","Direction=H","UseDPDF=Y")</f>
        <v>-1651</v>
      </c>
      <c r="J21" s="17">
        <f>_xll.BDH("CHTR US Equity","CHG_IN_FXD_&amp;_INTANG_AST_DETAILED","FQ4 2019","FQ4 2019","Currency=USD","Period=FQ","BEST_FPERIOD_OVERRIDE=FQ","FILING_STATUS=MR","SCALING_FORMAT=MLN","Sort=A","Dates=H","DateFormat=P","Fill=—","Direction=H","UseDPDF=Y")</f>
        <v>-2282</v>
      </c>
      <c r="K21" s="17">
        <f>_xll.BDH("CHTR US Equity","CHG_IN_FXD_&amp;_INTANG_AST_DETAILED","FQ1 2020","FQ1 2020","Currency=USD","Period=FQ","BEST_FPERIOD_OVERRIDE=FQ","FILING_STATUS=MR","SCALING_FORMAT=MLN","Sort=A","Dates=H","DateFormat=P","Fill=—","Direction=H","UseDPDF=Y")</f>
        <v>-1461</v>
      </c>
      <c r="L21" s="17">
        <f>_xll.BDH("CHTR US Equity","CHG_IN_FXD_&amp;_INTANG_AST_DETAILED","FQ2 2020","FQ2 2020","Currency=USD","Period=FQ","BEST_FPERIOD_OVERRIDE=FQ","FILING_STATUS=MR","SCALING_FORMAT=MLN","Sort=A","Dates=H","DateFormat=P","Fill=—","Direction=H","UseDPDF=Y")</f>
        <v>-1877</v>
      </c>
    </row>
    <row r="22" spans="1:12" x14ac:dyDescent="0.35">
      <c r="A22" s="16" t="s">
        <v>411</v>
      </c>
      <c r="B22" s="16" t="s">
        <v>410</v>
      </c>
      <c r="C22" s="17">
        <f>_xll.BDH("CHTR US Equity","DISP_FXD_&amp;_INTANGIBLES_DETAILED","FQ1 2018","FQ1 2018","Currency=USD","Period=FQ","BEST_FPERIOD_OVERRIDE=FQ","FILING_STATUS=MR","SCALING_FORMAT=MLN","Sort=A","Dates=H","DateFormat=P","Fill=—","Direction=H","UseDPDF=Y")</f>
        <v>0</v>
      </c>
      <c r="D22" s="17">
        <f>_xll.BDH("CHTR US Equity","DISP_FXD_&amp;_INTANGIBLES_DETAILED","FQ2 2018","FQ2 2018","Currency=USD","Period=FQ","BEST_FPERIOD_OVERRIDE=FQ","FILING_STATUS=MR","SCALING_FORMAT=MLN","Sort=A","Dates=H","DateFormat=P","Fill=—","Direction=H","UseDPDF=Y")</f>
        <v>0</v>
      </c>
      <c r="E22" s="17">
        <f>_xll.BDH("CHTR US Equity","DISP_FXD_&amp;_INTANGIBLES_DETAILED","FQ3 2018","FQ3 2018","Currency=USD","Period=FQ","BEST_FPERIOD_OVERRIDE=FQ","FILING_STATUS=MR","SCALING_FORMAT=MLN","Sort=A","Dates=H","DateFormat=P","Fill=—","Direction=H","UseDPDF=Y")</f>
        <v>0</v>
      </c>
      <c r="F22" s="17">
        <f>_xll.BDH("CHTR US Equity","DISP_FXD_&amp;_INTANGIBLES_DETAILED","FQ4 2018","FQ4 2018","Currency=USD","Period=FQ","BEST_FPERIOD_OVERRIDE=FQ","FILING_STATUS=MR","SCALING_FORMAT=MLN","Sort=A","Dates=H","DateFormat=P","Fill=—","Direction=H","UseDPDF=Y")</f>
        <v>0</v>
      </c>
      <c r="G22" s="17">
        <f>_xll.BDH("CHTR US Equity","DISP_FXD_&amp;_INTANGIBLES_DETAILED","FQ1 2019","FQ1 2019","Currency=USD","Period=FQ","BEST_FPERIOD_OVERRIDE=FQ","FILING_STATUS=MR","SCALING_FORMAT=MLN","Sort=A","Dates=H","DateFormat=P","Fill=—","Direction=H","UseDPDF=Y")</f>
        <v>0</v>
      </c>
      <c r="H22" s="17">
        <f>_xll.BDH("CHTR US Equity","DISP_FXD_&amp;_INTANGIBLES_DETAILED","FQ2 2019","FQ2 2019","Currency=USD","Period=FQ","BEST_FPERIOD_OVERRIDE=FQ","FILING_STATUS=MR","SCALING_FORMAT=MLN","Sort=A","Dates=H","DateFormat=P","Fill=—","Direction=H","UseDPDF=Y")</f>
        <v>0</v>
      </c>
      <c r="I22" s="17">
        <f>_xll.BDH("CHTR US Equity","DISP_FXD_&amp;_INTANGIBLES_DETAILED","FQ3 2019","FQ3 2019","Currency=USD","Period=FQ","BEST_FPERIOD_OVERRIDE=FQ","FILING_STATUS=MR","SCALING_FORMAT=MLN","Sort=A","Dates=H","DateFormat=P","Fill=—","Direction=H","UseDPDF=Y")</f>
        <v>0</v>
      </c>
      <c r="J22" s="17">
        <f>_xll.BDH("CHTR US Equity","DISP_FXD_&amp;_INTANGIBLES_DETAILED","FQ4 2019","FQ4 2019","Currency=USD","Period=FQ","BEST_FPERIOD_OVERRIDE=FQ","FILING_STATUS=MR","SCALING_FORMAT=MLN","Sort=A","Dates=H","DateFormat=P","Fill=—","Direction=H","UseDPDF=Y")</f>
        <v>0</v>
      </c>
      <c r="K22" s="17">
        <f>_xll.BDH("CHTR US Equity","DISP_FXD_&amp;_INTANGIBLES_DETAILED","FQ1 2020","FQ1 2020","Currency=USD","Period=FQ","BEST_FPERIOD_OVERRIDE=FQ","FILING_STATUS=MR","SCALING_FORMAT=MLN","Sort=A","Dates=H","DateFormat=P","Fill=—","Direction=H","UseDPDF=Y")</f>
        <v>0</v>
      </c>
      <c r="L22" s="17">
        <f>_xll.BDH("CHTR US Equity","DISP_FXD_&amp;_INTANGIBLES_DETAILED","FQ2 2020","FQ2 2020","Currency=USD","Period=FQ","BEST_FPERIOD_OVERRIDE=FQ","FILING_STATUS=MR","SCALING_FORMAT=MLN","Sort=A","Dates=H","DateFormat=P","Fill=—","Direction=H","UseDPDF=Y")</f>
        <v>0</v>
      </c>
    </row>
    <row r="23" spans="1:12" x14ac:dyDescent="0.35">
      <c r="A23" s="8" t="s">
        <v>409</v>
      </c>
      <c r="B23" s="8" t="s">
        <v>408</v>
      </c>
      <c r="C23" s="9">
        <f>_xll.BDH("CHTR US Equity","CF_DISPOSAL_OF_FIXED_PROD_ASSETS","FQ1 2018","FQ1 2018","Currency=USD","Period=FQ","BEST_FPERIOD_OVERRIDE=FQ","FILING_STATUS=MR","SCALING_FORMAT=MLN","Sort=A","Dates=H","DateFormat=P","Fill=—","Direction=H","UseDPDF=Y")</f>
        <v>0</v>
      </c>
      <c r="D23" s="9">
        <f>_xll.BDH("CHTR US Equity","CF_DISPOSAL_OF_FIXED_PROD_ASSETS","FQ2 2018","FQ2 2018","Currency=USD","Period=FQ","BEST_FPERIOD_OVERRIDE=FQ","FILING_STATUS=MR","SCALING_FORMAT=MLN","Sort=A","Dates=H","DateFormat=P","Fill=—","Direction=H","UseDPDF=Y")</f>
        <v>0</v>
      </c>
      <c r="E23" s="9">
        <f>_xll.BDH("CHTR US Equity","CF_DISPOSAL_OF_FIXED_PROD_ASSETS","FQ3 2018","FQ3 2018","Currency=USD","Period=FQ","BEST_FPERIOD_OVERRIDE=FQ","FILING_STATUS=MR","SCALING_FORMAT=MLN","Sort=A","Dates=H","DateFormat=P","Fill=—","Direction=H","UseDPDF=Y")</f>
        <v>0</v>
      </c>
      <c r="F23" s="9">
        <f>_xll.BDH("CHTR US Equity","CF_DISPOSAL_OF_FIXED_PROD_ASSETS","FQ4 2018","FQ4 2018","Currency=USD","Period=FQ","BEST_FPERIOD_OVERRIDE=FQ","FILING_STATUS=MR","SCALING_FORMAT=MLN","Sort=A","Dates=H","DateFormat=P","Fill=—","Direction=H","UseDPDF=Y")</f>
        <v>0</v>
      </c>
      <c r="G23" s="9">
        <f>_xll.BDH("CHTR US Equity","CF_DISPOSAL_OF_FIXED_PROD_ASSETS","FQ1 2019","FQ1 2019","Currency=USD","Period=FQ","BEST_FPERIOD_OVERRIDE=FQ","FILING_STATUS=MR","SCALING_FORMAT=MLN","Sort=A","Dates=H","DateFormat=P","Fill=—","Direction=H","UseDPDF=Y")</f>
        <v>0</v>
      </c>
      <c r="H23" s="9" t="str">
        <f>_xll.BDH("CHTR US Equity","CF_DISPOSAL_OF_FIXED_PROD_ASSETS","FQ2 2019","FQ2 2019","Currency=USD","Period=FQ","BEST_FPERIOD_OVERRIDE=FQ","FILING_STATUS=MR","SCALING_FORMAT=MLN","Sort=A","Dates=H","DateFormat=P","Fill=—","Direction=H","UseDPDF=Y")</f>
        <v>—</v>
      </c>
      <c r="I23" s="9">
        <f>_xll.BDH("CHTR US Equity","CF_DISPOSAL_OF_FIXED_PROD_ASSETS","FQ3 2019","FQ3 2019","Currency=USD","Period=FQ","BEST_FPERIOD_OVERRIDE=FQ","FILING_STATUS=MR","SCALING_FORMAT=MLN","Sort=A","Dates=H","DateFormat=P","Fill=—","Direction=H","UseDPDF=Y")</f>
        <v>0</v>
      </c>
      <c r="J23" s="9">
        <f>_xll.BDH("CHTR US Equity","CF_DISPOSAL_OF_FIXED_PROD_ASSETS","FQ4 2019","FQ4 2019","Currency=USD","Period=FQ","BEST_FPERIOD_OVERRIDE=FQ","FILING_STATUS=MR","SCALING_FORMAT=MLN","Sort=A","Dates=H","DateFormat=P","Fill=—","Direction=H","UseDPDF=Y")</f>
        <v>0</v>
      </c>
      <c r="K23" s="9">
        <f>_xll.BDH("CHTR US Equity","CF_DISPOSAL_OF_FIXED_PROD_ASSETS","FQ1 2020","FQ1 2020","Currency=USD","Period=FQ","BEST_FPERIOD_OVERRIDE=FQ","FILING_STATUS=MR","SCALING_FORMAT=MLN","Sort=A","Dates=H","DateFormat=P","Fill=—","Direction=H","UseDPDF=Y")</f>
        <v>0</v>
      </c>
      <c r="L23" s="9">
        <f>_xll.BDH("CHTR US Equity","CF_DISPOSAL_OF_FIXED_PROD_ASSETS","FQ2 2020","FQ2 2020","Currency=USD","Period=FQ","BEST_FPERIOD_OVERRIDE=FQ","FILING_STATUS=MR","SCALING_FORMAT=MLN","Sort=A","Dates=H","DateFormat=P","Fill=—","Direction=H","UseDPDF=Y")</f>
        <v>0</v>
      </c>
    </row>
    <row r="24" spans="1:12" x14ac:dyDescent="0.35">
      <c r="A24" s="8" t="s">
        <v>407</v>
      </c>
      <c r="B24" s="8" t="s">
        <v>406</v>
      </c>
      <c r="C24" s="9">
        <f>_xll.BDH("CHTR US Equity","CF_DISPOSAL_OF_INTANGIBLE_ASSETS","FQ1 2018","FQ1 2018","Currency=USD","Period=FQ","BEST_FPERIOD_OVERRIDE=FQ","FILING_STATUS=MR","SCALING_FORMAT=MLN","Sort=A","Dates=H","DateFormat=P","Fill=—","Direction=H","UseDPDF=Y")</f>
        <v>0</v>
      </c>
      <c r="D24" s="9">
        <f>_xll.BDH("CHTR US Equity","CF_DISPOSAL_OF_INTANGIBLE_ASSETS","FQ2 2018","FQ2 2018","Currency=USD","Period=FQ","BEST_FPERIOD_OVERRIDE=FQ","FILING_STATUS=MR","SCALING_FORMAT=MLN","Sort=A","Dates=H","DateFormat=P","Fill=—","Direction=H","UseDPDF=Y")</f>
        <v>0</v>
      </c>
      <c r="E24" s="9">
        <f>_xll.BDH("CHTR US Equity","CF_DISPOSAL_OF_INTANGIBLE_ASSETS","FQ3 2018","FQ3 2018","Currency=USD","Period=FQ","BEST_FPERIOD_OVERRIDE=FQ","FILING_STATUS=MR","SCALING_FORMAT=MLN","Sort=A","Dates=H","DateFormat=P","Fill=—","Direction=H","UseDPDF=Y")</f>
        <v>0</v>
      </c>
      <c r="F24" s="9">
        <f>_xll.BDH("CHTR US Equity","CF_DISPOSAL_OF_INTANGIBLE_ASSETS","FQ4 2018","FQ4 2018","Currency=USD","Period=FQ","BEST_FPERIOD_OVERRIDE=FQ","FILING_STATUS=MR","SCALING_FORMAT=MLN","Sort=A","Dates=H","DateFormat=P","Fill=—","Direction=H","UseDPDF=Y")</f>
        <v>0</v>
      </c>
      <c r="G24" s="9">
        <f>_xll.BDH("CHTR US Equity","CF_DISPOSAL_OF_INTANGIBLE_ASSETS","FQ1 2019","FQ1 2019","Currency=USD","Period=FQ","BEST_FPERIOD_OVERRIDE=FQ","FILING_STATUS=MR","SCALING_FORMAT=MLN","Sort=A","Dates=H","DateFormat=P","Fill=—","Direction=H","UseDPDF=Y")</f>
        <v>0</v>
      </c>
      <c r="H24" s="9" t="str">
        <f>_xll.BDH("CHTR US Equity","CF_DISPOSAL_OF_INTANGIBLE_ASSETS","FQ2 2019","FQ2 2019","Currency=USD","Period=FQ","BEST_FPERIOD_OVERRIDE=FQ","FILING_STATUS=MR","SCALING_FORMAT=MLN","Sort=A","Dates=H","DateFormat=P","Fill=—","Direction=H","UseDPDF=Y")</f>
        <v>—</v>
      </c>
      <c r="I24" s="9">
        <f>_xll.BDH("CHTR US Equity","CF_DISPOSAL_OF_INTANGIBLE_ASSETS","FQ3 2019","FQ3 2019","Currency=USD","Period=FQ","BEST_FPERIOD_OVERRIDE=FQ","FILING_STATUS=MR","SCALING_FORMAT=MLN","Sort=A","Dates=H","DateFormat=P","Fill=—","Direction=H","UseDPDF=Y")</f>
        <v>0</v>
      </c>
      <c r="J24" s="9">
        <f>_xll.BDH("CHTR US Equity","CF_DISPOSAL_OF_INTANGIBLE_ASSETS","FQ4 2019","FQ4 2019","Currency=USD","Period=FQ","BEST_FPERIOD_OVERRIDE=FQ","FILING_STATUS=MR","SCALING_FORMAT=MLN","Sort=A","Dates=H","DateFormat=P","Fill=—","Direction=H","UseDPDF=Y")</f>
        <v>0</v>
      </c>
      <c r="K24" s="9">
        <f>_xll.BDH("CHTR US Equity","CF_DISPOSAL_OF_INTANGIBLE_ASSETS","FQ1 2020","FQ1 2020","Currency=USD","Period=FQ","BEST_FPERIOD_OVERRIDE=FQ","FILING_STATUS=MR","SCALING_FORMAT=MLN","Sort=A","Dates=H","DateFormat=P","Fill=—","Direction=H","UseDPDF=Y")</f>
        <v>0</v>
      </c>
      <c r="L24" s="9">
        <f>_xll.BDH("CHTR US Equity","CF_DISPOSAL_OF_INTANGIBLE_ASSETS","FQ2 2020","FQ2 2020","Currency=USD","Period=FQ","BEST_FPERIOD_OVERRIDE=FQ","FILING_STATUS=MR","SCALING_FORMAT=MLN","Sort=A","Dates=H","DateFormat=P","Fill=—","Direction=H","UseDPDF=Y")</f>
        <v>0</v>
      </c>
    </row>
    <row r="25" spans="1:12" x14ac:dyDescent="0.35">
      <c r="A25" s="16" t="s">
        <v>405</v>
      </c>
      <c r="B25" s="16" t="s">
        <v>404</v>
      </c>
      <c r="C25" s="17">
        <f>_xll.BDH("CHTR US Equity","ACQUIS_FXD_&amp;_INTANG_DETAILED","FQ1 2018","FQ1 2018","Currency=USD","Period=FQ","BEST_FPERIOD_OVERRIDE=FQ","FILING_STATUS=MR","SCALING_FORMAT=MLN","Sort=A","Dates=H","DateFormat=P","Fill=—","Direction=H","UseDPDF=Y")</f>
        <v>-2183</v>
      </c>
      <c r="D25" s="17">
        <f>_xll.BDH("CHTR US Equity","ACQUIS_FXD_&amp;_INTANG_DETAILED","FQ2 2018","FQ2 2018","Currency=USD","Period=FQ","BEST_FPERIOD_OVERRIDE=FQ","FILING_STATUS=MR","SCALING_FORMAT=MLN","Sort=A","Dates=H","DateFormat=P","Fill=—","Direction=H","UseDPDF=Y")</f>
        <v>-2391</v>
      </c>
      <c r="E25" s="17">
        <f>_xll.BDH("CHTR US Equity","ACQUIS_FXD_&amp;_INTANG_DETAILED","FQ3 2018","FQ3 2018","Currency=USD","Period=FQ","BEST_FPERIOD_OVERRIDE=FQ","FILING_STATUS=MR","SCALING_FORMAT=MLN","Sort=A","Dates=H","DateFormat=P","Fill=—","Direction=H","UseDPDF=Y")</f>
        <v>-2118</v>
      </c>
      <c r="F25" s="17">
        <f>_xll.BDH("CHTR US Equity","ACQUIS_FXD_&amp;_INTANG_DETAILED","FQ4 2018","FQ4 2018","Currency=USD","Period=FQ","BEST_FPERIOD_OVERRIDE=FQ","FILING_STATUS=MR","SCALING_FORMAT=MLN","Sort=A","Dates=H","DateFormat=P","Fill=—","Direction=H","UseDPDF=Y")</f>
        <v>-2433</v>
      </c>
      <c r="G25" s="17">
        <f>_xll.BDH("CHTR US Equity","ACQUIS_FXD_&amp;_INTANG_DETAILED","FQ1 2019","FQ1 2019","Currency=USD","Period=FQ","BEST_FPERIOD_OVERRIDE=FQ","FILING_STATUS=MR","SCALING_FORMAT=MLN","Sort=A","Dates=H","DateFormat=P","Fill=—","Direction=H","UseDPDF=Y")</f>
        <v>-1665</v>
      </c>
      <c r="H25" s="17">
        <f>_xll.BDH("CHTR US Equity","ACQUIS_FXD_&amp;_INTANG_DETAILED","FQ2 2019","FQ2 2019","Currency=USD","Period=FQ","BEST_FPERIOD_OVERRIDE=FQ","FILING_STATUS=MR","SCALING_FORMAT=MLN","Sort=A","Dates=H","DateFormat=P","Fill=—","Direction=H","UseDPDF=Y")</f>
        <v>-1597</v>
      </c>
      <c r="I25" s="17">
        <f>_xll.BDH("CHTR US Equity","ACQUIS_FXD_&amp;_INTANG_DETAILED","FQ3 2019","FQ3 2019","Currency=USD","Period=FQ","BEST_FPERIOD_OVERRIDE=FQ","FILING_STATUS=MR","SCALING_FORMAT=MLN","Sort=A","Dates=H","DateFormat=P","Fill=—","Direction=H","UseDPDF=Y")</f>
        <v>-1651</v>
      </c>
      <c r="J25" s="17">
        <f>_xll.BDH("CHTR US Equity","ACQUIS_FXD_&amp;_INTANG_DETAILED","FQ4 2019","FQ4 2019","Currency=USD","Period=FQ","BEST_FPERIOD_OVERRIDE=FQ","FILING_STATUS=MR","SCALING_FORMAT=MLN","Sort=A","Dates=H","DateFormat=P","Fill=—","Direction=H","UseDPDF=Y")</f>
        <v>-2282</v>
      </c>
      <c r="K25" s="17">
        <f>_xll.BDH("CHTR US Equity","ACQUIS_FXD_&amp;_INTANG_DETAILED","FQ1 2020","FQ1 2020","Currency=USD","Period=FQ","BEST_FPERIOD_OVERRIDE=FQ","FILING_STATUS=MR","SCALING_FORMAT=MLN","Sort=A","Dates=H","DateFormat=P","Fill=—","Direction=H","UseDPDF=Y")</f>
        <v>-1461</v>
      </c>
      <c r="L25" s="17">
        <f>_xll.BDH("CHTR US Equity","ACQUIS_FXD_&amp;_INTANG_DETAILED","FQ2 2020","FQ2 2020","Currency=USD","Period=FQ","BEST_FPERIOD_OVERRIDE=FQ","FILING_STATUS=MR","SCALING_FORMAT=MLN","Sort=A","Dates=H","DateFormat=P","Fill=—","Direction=H","UseDPDF=Y")</f>
        <v>-1877</v>
      </c>
    </row>
    <row r="26" spans="1:12" x14ac:dyDescent="0.35">
      <c r="A26" s="8" t="s">
        <v>403</v>
      </c>
      <c r="B26" s="8" t="s">
        <v>402</v>
      </c>
      <c r="C26" s="9">
        <f>_xll.BDH("CHTR US Equity","CF_PURCHASE_OF_FIXED_PROD_ASSETS","FQ1 2018","FQ1 2018","Currency=USD","Period=FQ","BEST_FPERIOD_OVERRIDE=FQ","FILING_STATUS=MR","SCALING_FORMAT=MLN","Sort=A","Dates=H","DateFormat=P","Fill=—","Direction=H","UseDPDF=Y")</f>
        <v>-2183</v>
      </c>
      <c r="D26" s="9">
        <f>_xll.BDH("CHTR US Equity","CF_PURCHASE_OF_FIXED_PROD_ASSETS","FQ2 2018","FQ2 2018","Currency=USD","Period=FQ","BEST_FPERIOD_OVERRIDE=FQ","FILING_STATUS=MR","SCALING_FORMAT=MLN","Sort=A","Dates=H","DateFormat=P","Fill=—","Direction=H","UseDPDF=Y")</f>
        <v>-2391</v>
      </c>
      <c r="E26" s="9">
        <f>_xll.BDH("CHTR US Equity","CF_PURCHASE_OF_FIXED_PROD_ASSETS","FQ3 2018","FQ3 2018","Currency=USD","Period=FQ","BEST_FPERIOD_OVERRIDE=FQ","FILING_STATUS=MR","SCALING_FORMAT=MLN","Sort=A","Dates=H","DateFormat=P","Fill=—","Direction=H","UseDPDF=Y")</f>
        <v>-2118</v>
      </c>
      <c r="F26" s="9">
        <f>_xll.BDH("CHTR US Equity","CF_PURCHASE_OF_FIXED_PROD_ASSETS","FQ4 2018","FQ4 2018","Currency=USD","Period=FQ","BEST_FPERIOD_OVERRIDE=FQ","FILING_STATUS=MR","SCALING_FORMAT=MLN","Sort=A","Dates=H","DateFormat=P","Fill=—","Direction=H","UseDPDF=Y")</f>
        <v>-2433</v>
      </c>
      <c r="G26" s="9">
        <f>_xll.BDH("CHTR US Equity","CF_PURCHASE_OF_FIXED_PROD_ASSETS","FQ1 2019","FQ1 2019","Currency=USD","Period=FQ","BEST_FPERIOD_OVERRIDE=FQ","FILING_STATUS=MR","SCALING_FORMAT=MLN","Sort=A","Dates=H","DateFormat=P","Fill=—","Direction=H","UseDPDF=Y")</f>
        <v>-1665</v>
      </c>
      <c r="H26" s="9">
        <f>_xll.BDH("CHTR US Equity","CF_PURCHASE_OF_FIXED_PROD_ASSETS","FQ2 2019","FQ2 2019","Currency=USD","Period=FQ","BEST_FPERIOD_OVERRIDE=FQ","FILING_STATUS=MR","SCALING_FORMAT=MLN","Sort=A","Dates=H","DateFormat=P","Fill=—","Direction=H","UseDPDF=Y")</f>
        <v>-1597</v>
      </c>
      <c r="I26" s="9">
        <f>_xll.BDH("CHTR US Equity","CF_PURCHASE_OF_FIXED_PROD_ASSETS","FQ3 2019","FQ3 2019","Currency=USD","Period=FQ","BEST_FPERIOD_OVERRIDE=FQ","FILING_STATUS=MR","SCALING_FORMAT=MLN","Sort=A","Dates=H","DateFormat=P","Fill=—","Direction=H","UseDPDF=Y")</f>
        <v>-1651</v>
      </c>
      <c r="J26" s="9">
        <f>_xll.BDH("CHTR US Equity","CF_PURCHASE_OF_FIXED_PROD_ASSETS","FQ4 2019","FQ4 2019","Currency=USD","Period=FQ","BEST_FPERIOD_OVERRIDE=FQ","FILING_STATUS=MR","SCALING_FORMAT=MLN","Sort=A","Dates=H","DateFormat=P","Fill=—","Direction=H","UseDPDF=Y")</f>
        <v>-2282</v>
      </c>
      <c r="K26" s="9">
        <f>_xll.BDH("CHTR US Equity","CF_PURCHASE_OF_FIXED_PROD_ASSETS","FQ1 2020","FQ1 2020","Currency=USD","Period=FQ","BEST_FPERIOD_OVERRIDE=FQ","FILING_STATUS=MR","SCALING_FORMAT=MLN","Sort=A","Dates=H","DateFormat=P","Fill=—","Direction=H","UseDPDF=Y")</f>
        <v>-1461</v>
      </c>
      <c r="L26" s="9">
        <f>_xll.BDH("CHTR US Equity","CF_PURCHASE_OF_FIXED_PROD_ASSETS","FQ2 2020","FQ2 2020","Currency=USD","Period=FQ","BEST_FPERIOD_OVERRIDE=FQ","FILING_STATUS=MR","SCALING_FORMAT=MLN","Sort=A","Dates=H","DateFormat=P","Fill=—","Direction=H","UseDPDF=Y")</f>
        <v>-1877</v>
      </c>
    </row>
    <row r="27" spans="1:12" x14ac:dyDescent="0.35">
      <c r="A27" s="8" t="s">
        <v>401</v>
      </c>
      <c r="B27" s="8" t="s">
        <v>400</v>
      </c>
      <c r="C27" s="9">
        <f>_xll.BDH("CHTR US Equity","CF_ACQUISITION_OF_INTANG_ASSETS","FQ1 2018","FQ1 2018","Currency=USD","Period=FQ","BEST_FPERIOD_OVERRIDE=FQ","FILING_STATUS=MR","SCALING_FORMAT=MLN","Sort=A","Dates=H","DateFormat=P","Fill=—","Direction=H","UseDPDF=Y")</f>
        <v>0</v>
      </c>
      <c r="D27" s="9">
        <f>_xll.BDH("CHTR US Equity","CF_ACQUISITION_OF_INTANG_ASSETS","FQ2 2018","FQ2 2018","Currency=USD","Period=FQ","BEST_FPERIOD_OVERRIDE=FQ","FILING_STATUS=MR","SCALING_FORMAT=MLN","Sort=A","Dates=H","DateFormat=P","Fill=—","Direction=H","UseDPDF=Y")</f>
        <v>0</v>
      </c>
      <c r="E27" s="9">
        <f>_xll.BDH("CHTR US Equity","CF_ACQUISITION_OF_INTANG_ASSETS","FQ3 2018","FQ3 2018","Currency=USD","Period=FQ","BEST_FPERIOD_OVERRIDE=FQ","FILING_STATUS=MR","SCALING_FORMAT=MLN","Sort=A","Dates=H","DateFormat=P","Fill=—","Direction=H","UseDPDF=Y")</f>
        <v>0</v>
      </c>
      <c r="F27" s="9">
        <f>_xll.BDH("CHTR US Equity","CF_ACQUISITION_OF_INTANG_ASSETS","FQ4 2018","FQ4 2018","Currency=USD","Period=FQ","BEST_FPERIOD_OVERRIDE=FQ","FILING_STATUS=MR","SCALING_FORMAT=MLN","Sort=A","Dates=H","DateFormat=P","Fill=—","Direction=H","UseDPDF=Y")</f>
        <v>0</v>
      </c>
      <c r="G27" s="9">
        <f>_xll.BDH("CHTR US Equity","CF_ACQUISITION_OF_INTANG_ASSETS","FQ1 2019","FQ1 2019","Currency=USD","Period=FQ","BEST_FPERIOD_OVERRIDE=FQ","FILING_STATUS=MR","SCALING_FORMAT=MLN","Sort=A","Dates=H","DateFormat=P","Fill=—","Direction=H","UseDPDF=Y")</f>
        <v>0</v>
      </c>
      <c r="H27" s="9">
        <f>_xll.BDH("CHTR US Equity","CF_ACQUISITION_OF_INTANG_ASSETS","FQ2 2019","FQ2 2019","Currency=USD","Period=FQ","BEST_FPERIOD_OVERRIDE=FQ","FILING_STATUS=MR","SCALING_FORMAT=MLN","Sort=A","Dates=H","DateFormat=P","Fill=—","Direction=H","UseDPDF=Y")</f>
        <v>0</v>
      </c>
      <c r="I27" s="9">
        <f>_xll.BDH("CHTR US Equity","CF_ACQUISITION_OF_INTANG_ASSETS","FQ3 2019","FQ3 2019","Currency=USD","Period=FQ","BEST_FPERIOD_OVERRIDE=FQ","FILING_STATUS=MR","SCALING_FORMAT=MLN","Sort=A","Dates=H","DateFormat=P","Fill=—","Direction=H","UseDPDF=Y")</f>
        <v>0</v>
      </c>
      <c r="J27" s="9">
        <f>_xll.BDH("CHTR US Equity","CF_ACQUISITION_OF_INTANG_ASSETS","FQ4 2019","FQ4 2019","Currency=USD","Period=FQ","BEST_FPERIOD_OVERRIDE=FQ","FILING_STATUS=MR","SCALING_FORMAT=MLN","Sort=A","Dates=H","DateFormat=P","Fill=—","Direction=H","UseDPDF=Y")</f>
        <v>0</v>
      </c>
      <c r="K27" s="9">
        <f>_xll.BDH("CHTR US Equity","CF_ACQUISITION_OF_INTANG_ASSETS","FQ1 2020","FQ1 2020","Currency=USD","Period=FQ","BEST_FPERIOD_OVERRIDE=FQ","FILING_STATUS=MR","SCALING_FORMAT=MLN","Sort=A","Dates=H","DateFormat=P","Fill=—","Direction=H","UseDPDF=Y")</f>
        <v>0</v>
      </c>
      <c r="L27" s="9">
        <f>_xll.BDH("CHTR US Equity","CF_ACQUISITION_OF_INTANG_ASSETS","FQ2 2020","FQ2 2020","Currency=USD","Period=FQ","BEST_FPERIOD_OVERRIDE=FQ","FILING_STATUS=MR","SCALING_FORMAT=MLN","Sort=A","Dates=H","DateFormat=P","Fill=—","Direction=H","UseDPDF=Y")</f>
        <v>0</v>
      </c>
    </row>
    <row r="28" spans="1:12" x14ac:dyDescent="0.35">
      <c r="A28" s="16" t="s">
        <v>399</v>
      </c>
      <c r="B28" s="16" t="s">
        <v>398</v>
      </c>
      <c r="C28" s="17">
        <f>_xll.BDH("CHTR US Equity","NET_CHG_IN_LT_INVEST_DETAILED","FQ1 2018","FQ1 2018","Currency=USD","Period=FQ","BEST_FPERIOD_OVERRIDE=FQ","FILING_STATUS=MR","SCALING_FORMAT=MLN","Sort=A","Dates=H","DateFormat=P","Fill=—","Direction=H","UseDPDF=Y")</f>
        <v>0</v>
      </c>
      <c r="D28" s="17">
        <f>_xll.BDH("CHTR US Equity","NET_CHG_IN_LT_INVEST_DETAILED","FQ2 2018","FQ2 2018","Currency=USD","Period=FQ","BEST_FPERIOD_OVERRIDE=FQ","FILING_STATUS=MR","SCALING_FORMAT=MLN","Sort=A","Dates=H","DateFormat=P","Fill=—","Direction=H","UseDPDF=Y")</f>
        <v>0</v>
      </c>
      <c r="E28" s="17">
        <f>_xll.BDH("CHTR US Equity","NET_CHG_IN_LT_INVEST_DETAILED","FQ3 2018","FQ3 2018","Currency=USD","Period=FQ","BEST_FPERIOD_OVERRIDE=FQ","FILING_STATUS=MR","SCALING_FORMAT=MLN","Sort=A","Dates=H","DateFormat=P","Fill=—","Direction=H","UseDPDF=Y")</f>
        <v>0</v>
      </c>
      <c r="F28" s="17">
        <f>_xll.BDH("CHTR US Equity","NET_CHG_IN_LT_INVEST_DETAILED","FQ4 2018","FQ4 2018","Currency=USD","Period=FQ","BEST_FPERIOD_OVERRIDE=FQ","FILING_STATUS=MR","SCALING_FORMAT=MLN","Sort=A","Dates=H","DateFormat=P","Fill=—","Direction=H","UseDPDF=Y")</f>
        <v>0</v>
      </c>
      <c r="G28" s="17">
        <f>_xll.BDH("CHTR US Equity","NET_CHG_IN_LT_INVEST_DETAILED","FQ1 2019","FQ1 2019","Currency=USD","Period=FQ","BEST_FPERIOD_OVERRIDE=FQ","FILING_STATUS=MR","SCALING_FORMAT=MLN","Sort=A","Dates=H","DateFormat=P","Fill=—","Direction=H","UseDPDF=Y")</f>
        <v>0</v>
      </c>
      <c r="H28" s="17">
        <f>_xll.BDH("CHTR US Equity","NET_CHG_IN_LT_INVEST_DETAILED","FQ2 2019","FQ2 2019","Currency=USD","Period=FQ","BEST_FPERIOD_OVERRIDE=FQ","FILING_STATUS=MR","SCALING_FORMAT=MLN","Sort=A","Dates=H","DateFormat=P","Fill=—","Direction=H","UseDPDF=Y")</f>
        <v>0</v>
      </c>
      <c r="I28" s="17">
        <f>_xll.BDH("CHTR US Equity","NET_CHG_IN_LT_INVEST_DETAILED","FQ3 2019","FQ3 2019","Currency=USD","Period=FQ","BEST_FPERIOD_OVERRIDE=FQ","FILING_STATUS=MR","SCALING_FORMAT=MLN","Sort=A","Dates=H","DateFormat=P","Fill=—","Direction=H","UseDPDF=Y")</f>
        <v>0</v>
      </c>
      <c r="J28" s="17">
        <f>_xll.BDH("CHTR US Equity","NET_CHG_IN_LT_INVEST_DETAILED","FQ4 2019","FQ4 2019","Currency=USD","Period=FQ","BEST_FPERIOD_OVERRIDE=FQ","FILING_STATUS=MR","SCALING_FORMAT=MLN","Sort=A","Dates=H","DateFormat=P","Fill=—","Direction=H","UseDPDF=Y")</f>
        <v>0</v>
      </c>
      <c r="K28" s="17">
        <f>_xll.BDH("CHTR US Equity","NET_CHG_IN_LT_INVEST_DETAILED","FQ1 2020","FQ1 2020","Currency=USD","Period=FQ","BEST_FPERIOD_OVERRIDE=FQ","FILING_STATUS=MR","SCALING_FORMAT=MLN","Sort=A","Dates=H","DateFormat=P","Fill=—","Direction=H","UseDPDF=Y")</f>
        <v>0</v>
      </c>
      <c r="L28" s="17">
        <f>_xll.BDH("CHTR US Equity","NET_CHG_IN_LT_INVEST_DETAILED","FQ2 2020","FQ2 2020","Currency=USD","Period=FQ","BEST_FPERIOD_OVERRIDE=FQ","FILING_STATUS=MR","SCALING_FORMAT=MLN","Sort=A","Dates=H","DateFormat=P","Fill=—","Direction=H","UseDPDF=Y")</f>
        <v>0</v>
      </c>
    </row>
    <row r="29" spans="1:12" x14ac:dyDescent="0.35">
      <c r="A29" s="16" t="s">
        <v>397</v>
      </c>
      <c r="B29" s="16" t="s">
        <v>396</v>
      </c>
      <c r="C29" s="17">
        <f>_xll.BDH("CHTR US Equity","CF_DECR_INVEST","FQ1 2018","FQ1 2018","Currency=USD","Period=FQ","BEST_FPERIOD_OVERRIDE=FQ","FILING_STATUS=MR","SCALING_FORMAT=MLN","Sort=A","Dates=H","DateFormat=P","Fill=—","Direction=H","UseDPDF=Y")</f>
        <v>0</v>
      </c>
      <c r="D29" s="17">
        <f>_xll.BDH("CHTR US Equity","CF_DECR_INVEST","FQ2 2018","FQ2 2018","Currency=USD","Period=FQ","BEST_FPERIOD_OVERRIDE=FQ","FILING_STATUS=MR","SCALING_FORMAT=MLN","Sort=A","Dates=H","DateFormat=P","Fill=—","Direction=H","UseDPDF=Y")</f>
        <v>0</v>
      </c>
      <c r="E29" s="17">
        <f>_xll.BDH("CHTR US Equity","CF_DECR_INVEST","FQ3 2018","FQ3 2018","Currency=USD","Period=FQ","BEST_FPERIOD_OVERRIDE=FQ","FILING_STATUS=MR","SCALING_FORMAT=MLN","Sort=A","Dates=H","DateFormat=P","Fill=—","Direction=H","UseDPDF=Y")</f>
        <v>0</v>
      </c>
      <c r="F29" s="17">
        <f>_xll.BDH("CHTR US Equity","CF_DECR_INVEST","FQ4 2018","FQ4 2018","Currency=USD","Period=FQ","BEST_FPERIOD_OVERRIDE=FQ","FILING_STATUS=MR","SCALING_FORMAT=MLN","Sort=A","Dates=H","DateFormat=P","Fill=—","Direction=H","UseDPDF=Y")</f>
        <v>0</v>
      </c>
      <c r="G29" s="17">
        <f>_xll.BDH("CHTR US Equity","CF_DECR_INVEST","FQ1 2019","FQ1 2019","Currency=USD","Period=FQ","BEST_FPERIOD_OVERRIDE=FQ","FILING_STATUS=MR","SCALING_FORMAT=MLN","Sort=A","Dates=H","DateFormat=P","Fill=—","Direction=H","UseDPDF=Y")</f>
        <v>0</v>
      </c>
      <c r="H29" s="17">
        <f>_xll.BDH("CHTR US Equity","CF_DECR_INVEST","FQ2 2019","FQ2 2019","Currency=USD","Period=FQ","BEST_FPERIOD_OVERRIDE=FQ","FILING_STATUS=MR","SCALING_FORMAT=MLN","Sort=A","Dates=H","DateFormat=P","Fill=—","Direction=H","UseDPDF=Y")</f>
        <v>0</v>
      </c>
      <c r="I29" s="17">
        <f>_xll.BDH("CHTR US Equity","CF_DECR_INVEST","FQ3 2019","FQ3 2019","Currency=USD","Period=FQ","BEST_FPERIOD_OVERRIDE=FQ","FILING_STATUS=MR","SCALING_FORMAT=MLN","Sort=A","Dates=H","DateFormat=P","Fill=—","Direction=H","UseDPDF=Y")</f>
        <v>0</v>
      </c>
      <c r="J29" s="17">
        <f>_xll.BDH("CHTR US Equity","CF_DECR_INVEST","FQ4 2019","FQ4 2019","Currency=USD","Period=FQ","BEST_FPERIOD_OVERRIDE=FQ","FILING_STATUS=MR","SCALING_FORMAT=MLN","Sort=A","Dates=H","DateFormat=P","Fill=—","Direction=H","UseDPDF=Y")</f>
        <v>0</v>
      </c>
      <c r="K29" s="17">
        <f>_xll.BDH("CHTR US Equity","CF_DECR_INVEST","FQ1 2020","FQ1 2020","Currency=USD","Period=FQ","BEST_FPERIOD_OVERRIDE=FQ","FILING_STATUS=MR","SCALING_FORMAT=MLN","Sort=A","Dates=H","DateFormat=P","Fill=—","Direction=H","UseDPDF=Y")</f>
        <v>0</v>
      </c>
      <c r="L29" s="17">
        <f>_xll.BDH("CHTR US Equity","CF_DECR_INVEST","FQ2 2020","FQ2 2020","Currency=USD","Period=FQ","BEST_FPERIOD_OVERRIDE=FQ","FILING_STATUS=MR","SCALING_FORMAT=MLN","Sort=A","Dates=H","DateFormat=P","Fill=—","Direction=H","UseDPDF=Y")</f>
        <v>0</v>
      </c>
    </row>
    <row r="30" spans="1:12" x14ac:dyDescent="0.35">
      <c r="A30" s="16" t="s">
        <v>395</v>
      </c>
      <c r="B30" s="16" t="s">
        <v>394</v>
      </c>
      <c r="C30" s="17">
        <f>_xll.BDH("CHTR US Equity","CF_INCR_INVEST","FQ1 2018","FQ1 2018","Currency=USD","Period=FQ","BEST_FPERIOD_OVERRIDE=FQ","FILING_STATUS=MR","SCALING_FORMAT=MLN","Sort=A","Dates=H","DateFormat=P","Fill=—","Direction=H","UseDPDF=Y")</f>
        <v>0</v>
      </c>
      <c r="D30" s="17">
        <f>_xll.BDH("CHTR US Equity","CF_INCR_INVEST","FQ2 2018","FQ2 2018","Currency=USD","Period=FQ","BEST_FPERIOD_OVERRIDE=FQ","FILING_STATUS=MR","SCALING_FORMAT=MLN","Sort=A","Dates=H","DateFormat=P","Fill=—","Direction=H","UseDPDF=Y")</f>
        <v>0</v>
      </c>
      <c r="E30" s="17">
        <f>_xll.BDH("CHTR US Equity","CF_INCR_INVEST","FQ3 2018","FQ3 2018","Currency=USD","Period=FQ","BEST_FPERIOD_OVERRIDE=FQ","FILING_STATUS=MR","SCALING_FORMAT=MLN","Sort=A","Dates=H","DateFormat=P","Fill=—","Direction=H","UseDPDF=Y")</f>
        <v>0</v>
      </c>
      <c r="F30" s="17">
        <f>_xll.BDH("CHTR US Equity","CF_INCR_INVEST","FQ4 2018","FQ4 2018","Currency=USD","Period=FQ","BEST_FPERIOD_OVERRIDE=FQ","FILING_STATUS=MR","SCALING_FORMAT=MLN","Sort=A","Dates=H","DateFormat=P","Fill=—","Direction=H","UseDPDF=Y")</f>
        <v>0</v>
      </c>
      <c r="G30" s="17">
        <f>_xll.BDH("CHTR US Equity","CF_INCR_INVEST","FQ1 2019","FQ1 2019","Currency=USD","Period=FQ","BEST_FPERIOD_OVERRIDE=FQ","FILING_STATUS=MR","SCALING_FORMAT=MLN","Sort=A","Dates=H","DateFormat=P","Fill=—","Direction=H","UseDPDF=Y")</f>
        <v>0</v>
      </c>
      <c r="H30" s="17">
        <f>_xll.BDH("CHTR US Equity","CF_INCR_INVEST","FQ2 2019","FQ2 2019","Currency=USD","Period=FQ","BEST_FPERIOD_OVERRIDE=FQ","FILING_STATUS=MR","SCALING_FORMAT=MLN","Sort=A","Dates=H","DateFormat=P","Fill=—","Direction=H","UseDPDF=Y")</f>
        <v>0</v>
      </c>
      <c r="I30" s="17">
        <f>_xll.BDH("CHTR US Equity","CF_INCR_INVEST","FQ3 2019","FQ3 2019","Currency=USD","Period=FQ","BEST_FPERIOD_OVERRIDE=FQ","FILING_STATUS=MR","SCALING_FORMAT=MLN","Sort=A","Dates=H","DateFormat=P","Fill=—","Direction=H","UseDPDF=Y")</f>
        <v>0</v>
      </c>
      <c r="J30" s="17">
        <f>_xll.BDH("CHTR US Equity","CF_INCR_INVEST","FQ4 2019","FQ4 2019","Currency=USD","Period=FQ","BEST_FPERIOD_OVERRIDE=FQ","FILING_STATUS=MR","SCALING_FORMAT=MLN","Sort=A","Dates=H","DateFormat=P","Fill=—","Direction=H","UseDPDF=Y")</f>
        <v>0</v>
      </c>
      <c r="K30" s="17">
        <f>_xll.BDH("CHTR US Equity","CF_INCR_INVEST","FQ1 2020","FQ1 2020","Currency=USD","Period=FQ","BEST_FPERIOD_OVERRIDE=FQ","FILING_STATUS=MR","SCALING_FORMAT=MLN","Sort=A","Dates=H","DateFormat=P","Fill=—","Direction=H","UseDPDF=Y")</f>
        <v>0</v>
      </c>
      <c r="L30" s="17">
        <f>_xll.BDH("CHTR US Equity","CF_INCR_INVEST","FQ2 2020","FQ2 2020","Currency=USD","Period=FQ","BEST_FPERIOD_OVERRIDE=FQ","FILING_STATUS=MR","SCALING_FORMAT=MLN","Sort=A","Dates=H","DateFormat=P","Fill=—","Direction=H","UseDPDF=Y")</f>
        <v>0</v>
      </c>
    </row>
    <row r="31" spans="1:12" x14ac:dyDescent="0.35">
      <c r="A31" s="16" t="s">
        <v>393</v>
      </c>
      <c r="B31" s="16" t="s">
        <v>392</v>
      </c>
      <c r="C31" s="17">
        <f>_xll.BDH("CHTR US Equity","CF_NT_CSH_RCVD_PD_FOR_ACQUIS_DIV","FQ1 2018","FQ1 2018","Currency=USD","Period=FQ","BEST_FPERIOD_OVERRIDE=FQ","FILING_STATUS=MR","SCALING_FORMAT=MLN","Sort=A","Dates=H","DateFormat=P","Fill=—","Direction=H","UseDPDF=Y")</f>
        <v>0</v>
      </c>
      <c r="D31" s="17">
        <f>_xll.BDH("CHTR US Equity","CF_NT_CSH_RCVD_PD_FOR_ACQUIS_DIV","FQ2 2018","FQ2 2018","Currency=USD","Period=FQ","BEST_FPERIOD_OVERRIDE=FQ","FILING_STATUS=MR","SCALING_FORMAT=MLN","Sort=A","Dates=H","DateFormat=P","Fill=—","Direction=H","UseDPDF=Y")</f>
        <v>0</v>
      </c>
      <c r="E31" s="17">
        <f>_xll.BDH("CHTR US Equity","CF_NT_CSH_RCVD_PD_FOR_ACQUIS_DIV","FQ3 2018","FQ3 2018","Currency=USD","Period=FQ","BEST_FPERIOD_OVERRIDE=FQ","FILING_STATUS=MR","SCALING_FORMAT=MLN","Sort=A","Dates=H","DateFormat=P","Fill=—","Direction=H","UseDPDF=Y")</f>
        <v>0</v>
      </c>
      <c r="F31" s="17">
        <f>_xll.BDH("CHTR US Equity","CF_NT_CSH_RCVD_PD_FOR_ACQUIS_DIV","FQ4 2018","FQ4 2018","Currency=USD","Period=FQ","BEST_FPERIOD_OVERRIDE=FQ","FILING_STATUS=MR","SCALING_FORMAT=MLN","Sort=A","Dates=H","DateFormat=P","Fill=—","Direction=H","UseDPDF=Y")</f>
        <v>0</v>
      </c>
      <c r="G31" s="17">
        <f>_xll.BDH("CHTR US Equity","CF_NT_CSH_RCVD_PD_FOR_ACQUIS_DIV","FQ1 2019","FQ1 2019","Currency=USD","Period=FQ","BEST_FPERIOD_OVERRIDE=FQ","FILING_STATUS=MR","SCALING_FORMAT=MLN","Sort=A","Dates=H","DateFormat=P","Fill=—","Direction=H","UseDPDF=Y")</f>
        <v>0</v>
      </c>
      <c r="H31" s="17">
        <f>_xll.BDH("CHTR US Equity","CF_NT_CSH_RCVD_PD_FOR_ACQUIS_DIV","FQ2 2019","FQ2 2019","Currency=USD","Period=FQ","BEST_FPERIOD_OVERRIDE=FQ","FILING_STATUS=MR","SCALING_FORMAT=MLN","Sort=A","Dates=H","DateFormat=P","Fill=—","Direction=H","UseDPDF=Y")</f>
        <v>0</v>
      </c>
      <c r="I31" s="17">
        <f>_xll.BDH("CHTR US Equity","CF_NT_CSH_RCVD_PD_FOR_ACQUIS_DIV","FQ3 2019","FQ3 2019","Currency=USD","Period=FQ","BEST_FPERIOD_OVERRIDE=FQ","FILING_STATUS=MR","SCALING_FORMAT=MLN","Sort=A","Dates=H","DateFormat=P","Fill=—","Direction=H","UseDPDF=Y")</f>
        <v>0</v>
      </c>
      <c r="J31" s="17">
        <f>_xll.BDH("CHTR US Equity","CF_NT_CSH_RCVD_PD_FOR_ACQUIS_DIV","FQ4 2019","FQ4 2019","Currency=USD","Period=FQ","BEST_FPERIOD_OVERRIDE=FQ","FILING_STATUS=MR","SCALING_FORMAT=MLN","Sort=A","Dates=H","DateFormat=P","Fill=—","Direction=H","UseDPDF=Y")</f>
        <v>0</v>
      </c>
      <c r="K31" s="17">
        <f>_xll.BDH("CHTR US Equity","CF_NT_CSH_RCVD_PD_FOR_ACQUIS_DIV","FQ1 2020","FQ1 2020","Currency=USD","Period=FQ","BEST_FPERIOD_OVERRIDE=FQ","FILING_STATUS=MR","SCALING_FORMAT=MLN","Sort=A","Dates=H","DateFormat=P","Fill=—","Direction=H","UseDPDF=Y")</f>
        <v>0</v>
      </c>
      <c r="L31" s="17">
        <f>_xll.BDH("CHTR US Equity","CF_NT_CSH_RCVD_PD_FOR_ACQUIS_DIV","FQ2 2020","FQ2 2020","Currency=USD","Period=FQ","BEST_FPERIOD_OVERRIDE=FQ","FILING_STATUS=MR","SCALING_FORMAT=MLN","Sort=A","Dates=H","DateFormat=P","Fill=—","Direction=H","UseDPDF=Y")</f>
        <v>0</v>
      </c>
    </row>
    <row r="32" spans="1:12" x14ac:dyDescent="0.35">
      <c r="A32" s="16" t="s">
        <v>391</v>
      </c>
      <c r="B32" s="16" t="s">
        <v>390</v>
      </c>
      <c r="C32" s="17">
        <f>_xll.BDH("CHTR US Equity","CF_CASH_FOR_DIVESTITURES","FQ1 2018","FQ1 2018","Currency=USD","Period=FQ","BEST_FPERIOD_OVERRIDE=FQ","FILING_STATUS=MR","SCALING_FORMAT=MLN","Sort=A","Dates=H","DateFormat=P","Fill=—","Direction=H","UseDPDF=Y")</f>
        <v>0</v>
      </c>
      <c r="D32" s="17">
        <f>_xll.BDH("CHTR US Equity","CF_CASH_FOR_DIVESTITURES","FQ2 2018","FQ2 2018","Currency=USD","Period=FQ","BEST_FPERIOD_OVERRIDE=FQ","FILING_STATUS=MR","SCALING_FORMAT=MLN","Sort=A","Dates=H","DateFormat=P","Fill=—","Direction=H","UseDPDF=Y")</f>
        <v>0</v>
      </c>
      <c r="E32" s="17">
        <f>_xll.BDH("CHTR US Equity","CF_CASH_FOR_DIVESTITURES","FQ3 2018","FQ3 2018","Currency=USD","Period=FQ","BEST_FPERIOD_OVERRIDE=FQ","FILING_STATUS=MR","SCALING_FORMAT=MLN","Sort=A","Dates=H","DateFormat=P","Fill=—","Direction=H","UseDPDF=Y")</f>
        <v>0</v>
      </c>
      <c r="F32" s="17">
        <f>_xll.BDH("CHTR US Equity","CF_CASH_FOR_DIVESTITURES","FQ4 2018","FQ4 2018","Currency=USD","Period=FQ","BEST_FPERIOD_OVERRIDE=FQ","FILING_STATUS=MR","SCALING_FORMAT=MLN","Sort=A","Dates=H","DateFormat=P","Fill=—","Direction=H","UseDPDF=Y")</f>
        <v>0</v>
      </c>
      <c r="G32" s="17">
        <f>_xll.BDH("CHTR US Equity","CF_CASH_FOR_DIVESTITURES","FQ1 2019","FQ1 2019","Currency=USD","Period=FQ","BEST_FPERIOD_OVERRIDE=FQ","FILING_STATUS=MR","SCALING_FORMAT=MLN","Sort=A","Dates=H","DateFormat=P","Fill=—","Direction=H","UseDPDF=Y")</f>
        <v>0</v>
      </c>
      <c r="H32" s="17">
        <f>_xll.BDH("CHTR US Equity","CF_CASH_FOR_DIVESTITURES","FQ2 2019","FQ2 2019","Currency=USD","Period=FQ","BEST_FPERIOD_OVERRIDE=FQ","FILING_STATUS=MR","SCALING_FORMAT=MLN","Sort=A","Dates=H","DateFormat=P","Fill=—","Direction=H","UseDPDF=Y")</f>
        <v>0</v>
      </c>
      <c r="I32" s="17">
        <f>_xll.BDH("CHTR US Equity","CF_CASH_FOR_DIVESTITURES","FQ3 2019","FQ3 2019","Currency=USD","Period=FQ","BEST_FPERIOD_OVERRIDE=FQ","FILING_STATUS=MR","SCALING_FORMAT=MLN","Sort=A","Dates=H","DateFormat=P","Fill=—","Direction=H","UseDPDF=Y")</f>
        <v>0</v>
      </c>
      <c r="J32" s="17">
        <f>_xll.BDH("CHTR US Equity","CF_CASH_FOR_DIVESTITURES","FQ4 2019","FQ4 2019","Currency=USD","Period=FQ","BEST_FPERIOD_OVERRIDE=FQ","FILING_STATUS=MR","SCALING_FORMAT=MLN","Sort=A","Dates=H","DateFormat=P","Fill=—","Direction=H","UseDPDF=Y")</f>
        <v>0</v>
      </c>
      <c r="K32" s="17">
        <f>_xll.BDH("CHTR US Equity","CF_CASH_FOR_DIVESTITURES","FQ1 2020","FQ1 2020","Currency=USD","Period=FQ","BEST_FPERIOD_OVERRIDE=FQ","FILING_STATUS=MR","SCALING_FORMAT=MLN","Sort=A","Dates=H","DateFormat=P","Fill=—","Direction=H","UseDPDF=Y")</f>
        <v>0</v>
      </c>
      <c r="L32" s="17">
        <f>_xll.BDH("CHTR US Equity","CF_CASH_FOR_DIVESTITURES","FQ2 2020","FQ2 2020","Currency=USD","Period=FQ","BEST_FPERIOD_OVERRIDE=FQ","FILING_STATUS=MR","SCALING_FORMAT=MLN","Sort=A","Dates=H","DateFormat=P","Fill=—","Direction=H","UseDPDF=Y")</f>
        <v>0</v>
      </c>
    </row>
    <row r="33" spans="1:12" x14ac:dyDescent="0.35">
      <c r="A33" s="16" t="s">
        <v>389</v>
      </c>
      <c r="B33" s="16" t="s">
        <v>388</v>
      </c>
      <c r="C33" s="17">
        <f>_xll.BDH("CHTR US Equity","CF_CASH_FOR_ACQUIS_SUBSIDIARIES","FQ1 2018","FQ1 2018","Currency=USD","Period=FQ","BEST_FPERIOD_OVERRIDE=FQ","FILING_STATUS=MR","SCALING_FORMAT=MLN","Sort=A","Dates=H","DateFormat=P","Fill=—","Direction=H","UseDPDF=Y")</f>
        <v>0</v>
      </c>
      <c r="D33" s="17">
        <f>_xll.BDH("CHTR US Equity","CF_CASH_FOR_ACQUIS_SUBSIDIARIES","FQ2 2018","FQ2 2018","Currency=USD","Period=FQ","BEST_FPERIOD_OVERRIDE=FQ","FILING_STATUS=MR","SCALING_FORMAT=MLN","Sort=A","Dates=H","DateFormat=P","Fill=—","Direction=H","UseDPDF=Y")</f>
        <v>0</v>
      </c>
      <c r="E33" s="17">
        <f>_xll.BDH("CHTR US Equity","CF_CASH_FOR_ACQUIS_SUBSIDIARIES","FQ3 2018","FQ3 2018","Currency=USD","Period=FQ","BEST_FPERIOD_OVERRIDE=FQ","FILING_STATUS=MR","SCALING_FORMAT=MLN","Sort=A","Dates=H","DateFormat=P","Fill=—","Direction=H","UseDPDF=Y")</f>
        <v>0</v>
      </c>
      <c r="F33" s="17">
        <f>_xll.BDH("CHTR US Equity","CF_CASH_FOR_ACQUIS_SUBSIDIARIES","FQ4 2018","FQ4 2018","Currency=USD","Period=FQ","BEST_FPERIOD_OVERRIDE=FQ","FILING_STATUS=MR","SCALING_FORMAT=MLN","Sort=A","Dates=H","DateFormat=P","Fill=—","Direction=H","UseDPDF=Y")</f>
        <v>0</v>
      </c>
      <c r="G33" s="17">
        <f>_xll.BDH("CHTR US Equity","CF_CASH_FOR_ACQUIS_SUBSIDIARIES","FQ1 2019","FQ1 2019","Currency=USD","Period=FQ","BEST_FPERIOD_OVERRIDE=FQ","FILING_STATUS=MR","SCALING_FORMAT=MLN","Sort=A","Dates=H","DateFormat=P","Fill=—","Direction=H","UseDPDF=Y")</f>
        <v>0</v>
      </c>
      <c r="H33" s="17">
        <f>_xll.BDH("CHTR US Equity","CF_CASH_FOR_ACQUIS_SUBSIDIARIES","FQ2 2019","FQ2 2019","Currency=USD","Period=FQ","BEST_FPERIOD_OVERRIDE=FQ","FILING_STATUS=MR","SCALING_FORMAT=MLN","Sort=A","Dates=H","DateFormat=P","Fill=—","Direction=H","UseDPDF=Y")</f>
        <v>0</v>
      </c>
      <c r="I33" s="17">
        <f>_xll.BDH("CHTR US Equity","CF_CASH_FOR_ACQUIS_SUBSIDIARIES","FQ3 2019","FQ3 2019","Currency=USD","Period=FQ","BEST_FPERIOD_OVERRIDE=FQ","FILING_STATUS=MR","SCALING_FORMAT=MLN","Sort=A","Dates=H","DateFormat=P","Fill=—","Direction=H","UseDPDF=Y")</f>
        <v>0</v>
      </c>
      <c r="J33" s="17">
        <f>_xll.BDH("CHTR US Equity","CF_CASH_FOR_ACQUIS_SUBSIDIARIES","FQ4 2019","FQ4 2019","Currency=USD","Period=FQ","BEST_FPERIOD_OVERRIDE=FQ","FILING_STATUS=MR","SCALING_FORMAT=MLN","Sort=A","Dates=H","DateFormat=P","Fill=—","Direction=H","UseDPDF=Y")</f>
        <v>0</v>
      </c>
      <c r="K33" s="17">
        <f>_xll.BDH("CHTR US Equity","CF_CASH_FOR_ACQUIS_SUBSIDIARIES","FQ1 2020","FQ1 2020","Currency=USD","Period=FQ","BEST_FPERIOD_OVERRIDE=FQ","FILING_STATUS=MR","SCALING_FORMAT=MLN","Sort=A","Dates=H","DateFormat=P","Fill=—","Direction=H","UseDPDF=Y")</f>
        <v>0</v>
      </c>
      <c r="L33" s="17">
        <f>_xll.BDH("CHTR US Equity","CF_CASH_FOR_ACQUIS_SUBSIDIARIES","FQ2 2020","FQ2 2020","Currency=USD","Period=FQ","BEST_FPERIOD_OVERRIDE=FQ","FILING_STATUS=MR","SCALING_FORMAT=MLN","Sort=A","Dates=H","DateFormat=P","Fill=—","Direction=H","UseDPDF=Y")</f>
        <v>0</v>
      </c>
    </row>
    <row r="34" spans="1:12" x14ac:dyDescent="0.35">
      <c r="A34" s="16" t="s">
        <v>387</v>
      </c>
      <c r="B34" s="16" t="s">
        <v>386</v>
      </c>
      <c r="C34" s="17">
        <f>_xll.BDH("CHTR US Equity","CF_CASH_FOR_JOINT_VENTURES_ASSOC","FQ1 2018","FQ1 2018","Currency=USD","Period=FQ","BEST_FPERIOD_OVERRIDE=FQ","FILING_STATUS=MR","SCALING_FORMAT=MLN","Sort=A","Dates=H","DateFormat=P","Fill=—","Direction=H","UseDPDF=Y")</f>
        <v>0</v>
      </c>
      <c r="D34" s="17">
        <f>_xll.BDH("CHTR US Equity","CF_CASH_FOR_JOINT_VENTURES_ASSOC","FQ2 2018","FQ2 2018","Currency=USD","Period=FQ","BEST_FPERIOD_OVERRIDE=FQ","FILING_STATUS=MR","SCALING_FORMAT=MLN","Sort=A","Dates=H","DateFormat=P","Fill=—","Direction=H","UseDPDF=Y")</f>
        <v>0</v>
      </c>
      <c r="E34" s="17">
        <f>_xll.BDH("CHTR US Equity","CF_CASH_FOR_JOINT_VENTURES_ASSOC","FQ3 2018","FQ3 2018","Currency=USD","Period=FQ","BEST_FPERIOD_OVERRIDE=FQ","FILING_STATUS=MR","SCALING_FORMAT=MLN","Sort=A","Dates=H","DateFormat=P","Fill=—","Direction=H","UseDPDF=Y")</f>
        <v>0</v>
      </c>
      <c r="F34" s="17">
        <f>_xll.BDH("CHTR US Equity","CF_CASH_FOR_JOINT_VENTURES_ASSOC","FQ4 2018","FQ4 2018","Currency=USD","Period=FQ","BEST_FPERIOD_OVERRIDE=FQ","FILING_STATUS=MR","SCALING_FORMAT=MLN","Sort=A","Dates=H","DateFormat=P","Fill=—","Direction=H","UseDPDF=Y")</f>
        <v>0</v>
      </c>
      <c r="G34" s="17">
        <f>_xll.BDH("CHTR US Equity","CF_CASH_FOR_JOINT_VENTURES_ASSOC","FQ1 2019","FQ1 2019","Currency=USD","Period=FQ","BEST_FPERIOD_OVERRIDE=FQ","FILING_STATUS=MR","SCALING_FORMAT=MLN","Sort=A","Dates=H","DateFormat=P","Fill=—","Direction=H","UseDPDF=Y")</f>
        <v>0</v>
      </c>
      <c r="H34" s="17">
        <f>_xll.BDH("CHTR US Equity","CF_CASH_FOR_JOINT_VENTURES_ASSOC","FQ2 2019","FQ2 2019","Currency=USD","Period=FQ","BEST_FPERIOD_OVERRIDE=FQ","FILING_STATUS=MR","SCALING_FORMAT=MLN","Sort=A","Dates=H","DateFormat=P","Fill=—","Direction=H","UseDPDF=Y")</f>
        <v>0</v>
      </c>
      <c r="I34" s="17">
        <f>_xll.BDH("CHTR US Equity","CF_CASH_FOR_JOINT_VENTURES_ASSOC","FQ3 2019","FQ3 2019","Currency=USD","Period=FQ","BEST_FPERIOD_OVERRIDE=FQ","FILING_STATUS=MR","SCALING_FORMAT=MLN","Sort=A","Dates=H","DateFormat=P","Fill=—","Direction=H","UseDPDF=Y")</f>
        <v>0</v>
      </c>
      <c r="J34" s="17">
        <f>_xll.BDH("CHTR US Equity","CF_CASH_FOR_JOINT_VENTURES_ASSOC","FQ4 2019","FQ4 2019","Currency=USD","Period=FQ","BEST_FPERIOD_OVERRIDE=FQ","FILING_STATUS=MR","SCALING_FORMAT=MLN","Sort=A","Dates=H","DateFormat=P","Fill=—","Direction=H","UseDPDF=Y")</f>
        <v>0</v>
      </c>
      <c r="K34" s="17">
        <f>_xll.BDH("CHTR US Equity","CF_CASH_FOR_JOINT_VENTURES_ASSOC","FQ1 2020","FQ1 2020","Currency=USD","Period=FQ","BEST_FPERIOD_OVERRIDE=FQ","FILING_STATUS=MR","SCALING_FORMAT=MLN","Sort=A","Dates=H","DateFormat=P","Fill=—","Direction=H","UseDPDF=Y")</f>
        <v>0</v>
      </c>
      <c r="L34" s="17">
        <f>_xll.BDH("CHTR US Equity","CF_CASH_FOR_JOINT_VENTURES_ASSOC","FQ2 2020","FQ2 2020","Currency=USD","Period=FQ","BEST_FPERIOD_OVERRIDE=FQ","FILING_STATUS=MR","SCALING_FORMAT=MLN","Sort=A","Dates=H","DateFormat=P","Fill=—","Direction=H","UseDPDF=Y")</f>
        <v>0</v>
      </c>
    </row>
    <row r="35" spans="1:12" x14ac:dyDescent="0.35">
      <c r="A35" s="16" t="s">
        <v>385</v>
      </c>
      <c r="B35" s="16" t="s">
        <v>384</v>
      </c>
      <c r="C35" s="17">
        <f>_xll.BDH("CHTR US Equity","OTHER_INVESTING_ACT_DETAILED","FQ1 2018","FQ1 2018","Currency=USD","Period=FQ","BEST_FPERIOD_OVERRIDE=FQ","FILING_STATUS=MR","SCALING_FORMAT=MLN","Sort=A","Dates=H","DateFormat=P","Fill=—","Direction=H","UseDPDF=Y")</f>
        <v>-555</v>
      </c>
      <c r="D35" s="17">
        <f>_xll.BDH("CHTR US Equity","OTHER_INVESTING_ACT_DETAILED","FQ2 2018","FQ2 2018","Currency=USD","Period=FQ","BEST_FPERIOD_OVERRIDE=FQ","FILING_STATUS=MR","SCALING_FORMAT=MLN","Sort=A","Dates=H","DateFormat=P","Fill=—","Direction=H","UseDPDF=Y")</f>
        <v>22</v>
      </c>
      <c r="E35" s="17">
        <f>_xll.BDH("CHTR US Equity","OTHER_INVESTING_ACT_DETAILED","FQ3 2018","FQ3 2018","Currency=USD","Period=FQ","BEST_FPERIOD_OVERRIDE=FQ","FILING_STATUS=MR","SCALING_FORMAT=MLN","Sort=A","Dates=H","DateFormat=P","Fill=—","Direction=H","UseDPDF=Y")</f>
        <v>-205</v>
      </c>
      <c r="F35" s="17">
        <f>_xll.BDH("CHTR US Equity","OTHER_INVESTING_ACT_DETAILED","FQ4 2018","FQ4 2018","Currency=USD","Period=FQ","BEST_FPERIOD_OVERRIDE=FQ","FILING_STATUS=MR","SCALING_FORMAT=MLN","Sort=A","Dates=H","DateFormat=P","Fill=—","Direction=H","UseDPDF=Y")</f>
        <v>127</v>
      </c>
      <c r="G35" s="17">
        <f>_xll.BDH("CHTR US Equity","OTHER_INVESTING_ACT_DETAILED","FQ1 2019","FQ1 2019","Currency=USD","Period=FQ","BEST_FPERIOD_OVERRIDE=FQ","FILING_STATUS=MR","SCALING_FORMAT=MLN","Sort=A","Dates=H","DateFormat=P","Fill=—","Direction=H","UseDPDF=Y")</f>
        <v>-415</v>
      </c>
      <c r="H35" s="17">
        <f>_xll.BDH("CHTR US Equity","OTHER_INVESTING_ACT_DETAILED","FQ2 2019","FQ2 2019","Currency=USD","Period=FQ","BEST_FPERIOD_OVERRIDE=FQ","FILING_STATUS=MR","SCALING_FORMAT=MLN","Sort=A","Dates=H","DateFormat=P","Fill=—","Direction=H","UseDPDF=Y")</f>
        <v>-69</v>
      </c>
      <c r="I35" s="17">
        <f>_xll.BDH("CHTR US Equity","OTHER_INVESTING_ACT_DETAILED","FQ3 2019","FQ3 2019","Currency=USD","Period=FQ","BEST_FPERIOD_OVERRIDE=FQ","FILING_STATUS=MR","SCALING_FORMAT=MLN","Sort=A","Dates=H","DateFormat=P","Fill=—","Direction=H","UseDPDF=Y")</f>
        <v>-80</v>
      </c>
      <c r="J35" s="17">
        <f>_xll.BDH("CHTR US Equity","OTHER_INVESTING_ACT_DETAILED","FQ4 2019","FQ4 2019","Currency=USD","Period=FQ","BEST_FPERIOD_OVERRIDE=FQ","FILING_STATUS=MR","SCALING_FORMAT=MLN","Sort=A","Dates=H","DateFormat=P","Fill=—","Direction=H","UseDPDF=Y")</f>
        <v>428</v>
      </c>
      <c r="K35" s="17">
        <f>_xll.BDH("CHTR US Equity","OTHER_INVESTING_ACT_DETAILED","FQ1 2020","FQ1 2020","Currency=USD","Period=FQ","BEST_FPERIOD_OVERRIDE=FQ","FILING_STATUS=MR","SCALING_FORMAT=MLN","Sort=A","Dates=H","DateFormat=P","Fill=—","Direction=H","UseDPDF=Y")</f>
        <v>-389</v>
      </c>
      <c r="L35" s="17">
        <f>_xll.BDH("CHTR US Equity","OTHER_INVESTING_ACT_DETAILED","FQ2 2020","FQ2 2020","Currency=USD","Period=FQ","BEST_FPERIOD_OVERRIDE=FQ","FILING_STATUS=MR","SCALING_FORMAT=MLN","Sort=A","Dates=H","DateFormat=P","Fill=—","Direction=H","UseDPDF=Y")</f>
        <v>126</v>
      </c>
    </row>
    <row r="36" spans="1:12" x14ac:dyDescent="0.35">
      <c r="A36" s="16" t="s">
        <v>362</v>
      </c>
      <c r="B36" s="16" t="s">
        <v>383</v>
      </c>
      <c r="C36" s="17">
        <f>_xll.BDH("CHTR US Equity","CF_NET_CASH_DISCONTINUED_OPS_INV","FQ1 2018","FQ1 2018","Currency=USD","Period=FQ","BEST_FPERIOD_OVERRIDE=FQ","FILING_STATUS=MR","SCALING_FORMAT=MLN","Sort=A","Dates=H","DateFormat=P","Fill=—","Direction=H","UseDPDF=Y")</f>
        <v>0</v>
      </c>
      <c r="D36" s="17">
        <f>_xll.BDH("CHTR US Equity","CF_NET_CASH_DISCONTINUED_OPS_INV","FQ2 2018","FQ2 2018","Currency=USD","Period=FQ","BEST_FPERIOD_OVERRIDE=FQ","FILING_STATUS=MR","SCALING_FORMAT=MLN","Sort=A","Dates=H","DateFormat=P","Fill=—","Direction=H","UseDPDF=Y")</f>
        <v>0</v>
      </c>
      <c r="E36" s="17">
        <f>_xll.BDH("CHTR US Equity","CF_NET_CASH_DISCONTINUED_OPS_INV","FQ3 2018","FQ3 2018","Currency=USD","Period=FQ","BEST_FPERIOD_OVERRIDE=FQ","FILING_STATUS=MR","SCALING_FORMAT=MLN","Sort=A","Dates=H","DateFormat=P","Fill=—","Direction=H","UseDPDF=Y")</f>
        <v>0</v>
      </c>
      <c r="F36" s="17">
        <f>_xll.BDH("CHTR US Equity","CF_NET_CASH_DISCONTINUED_OPS_INV","FQ4 2018","FQ4 2018","Currency=USD","Period=FQ","BEST_FPERIOD_OVERRIDE=FQ","FILING_STATUS=MR","SCALING_FORMAT=MLN","Sort=A","Dates=H","DateFormat=P","Fill=—","Direction=H","UseDPDF=Y")</f>
        <v>0</v>
      </c>
      <c r="G36" s="17">
        <f>_xll.BDH("CHTR US Equity","CF_NET_CASH_DISCONTINUED_OPS_INV","FQ1 2019","FQ1 2019","Currency=USD","Period=FQ","BEST_FPERIOD_OVERRIDE=FQ","FILING_STATUS=MR","SCALING_FORMAT=MLN","Sort=A","Dates=H","DateFormat=P","Fill=—","Direction=H","UseDPDF=Y")</f>
        <v>0</v>
      </c>
      <c r="H36" s="17">
        <f>_xll.BDH("CHTR US Equity","CF_NET_CASH_DISCONTINUED_OPS_INV","FQ2 2019","FQ2 2019","Currency=USD","Period=FQ","BEST_FPERIOD_OVERRIDE=FQ","FILING_STATUS=MR","SCALING_FORMAT=MLN","Sort=A","Dates=H","DateFormat=P","Fill=—","Direction=H","UseDPDF=Y")</f>
        <v>0</v>
      </c>
      <c r="I36" s="17">
        <f>_xll.BDH("CHTR US Equity","CF_NET_CASH_DISCONTINUED_OPS_INV","FQ3 2019","FQ3 2019","Currency=USD","Period=FQ","BEST_FPERIOD_OVERRIDE=FQ","FILING_STATUS=MR","SCALING_FORMAT=MLN","Sort=A","Dates=H","DateFormat=P","Fill=—","Direction=H","UseDPDF=Y")</f>
        <v>0</v>
      </c>
      <c r="J36" s="17">
        <f>_xll.BDH("CHTR US Equity","CF_NET_CASH_DISCONTINUED_OPS_INV","FQ4 2019","FQ4 2019","Currency=USD","Period=FQ","BEST_FPERIOD_OVERRIDE=FQ","FILING_STATUS=MR","SCALING_FORMAT=MLN","Sort=A","Dates=H","DateFormat=P","Fill=—","Direction=H","UseDPDF=Y")</f>
        <v>0</v>
      </c>
      <c r="K36" s="17">
        <f>_xll.BDH("CHTR US Equity","CF_NET_CASH_DISCONTINUED_OPS_INV","FQ1 2020","FQ1 2020","Currency=USD","Period=FQ","BEST_FPERIOD_OVERRIDE=FQ","FILING_STATUS=MR","SCALING_FORMAT=MLN","Sort=A","Dates=H","DateFormat=P","Fill=—","Direction=H","UseDPDF=Y")</f>
        <v>0</v>
      </c>
      <c r="L36" s="17">
        <f>_xll.BDH("CHTR US Equity","CF_NET_CASH_DISCONTINUED_OPS_INV","FQ2 2020","FQ2 2020","Currency=USD","Period=FQ","BEST_FPERIOD_OVERRIDE=FQ","FILING_STATUS=MR","SCALING_FORMAT=MLN","Sort=A","Dates=H","DateFormat=P","Fill=—","Direction=H","UseDPDF=Y")</f>
        <v>0</v>
      </c>
    </row>
    <row r="37" spans="1:12" x14ac:dyDescent="0.35">
      <c r="A37" s="12" t="s">
        <v>382</v>
      </c>
      <c r="B37" s="12" t="s">
        <v>381</v>
      </c>
      <c r="C37" s="10">
        <f>_xll.BDH("CHTR US Equity","CF_CASH_FROM_INV_ACT","FQ1 2018","FQ1 2018","Currency=USD","Period=FQ","BEST_FPERIOD_OVERRIDE=FQ","FILING_STATUS=MR","SCALING_FORMAT=MLN","Sort=A","Dates=H","DateFormat=P","Fill=—","Direction=H","UseDPDF=Y")</f>
        <v>-2738</v>
      </c>
      <c r="D37" s="10">
        <f>_xll.BDH("CHTR US Equity","CF_CASH_FROM_INV_ACT","FQ2 2018","FQ2 2018","Currency=USD","Period=FQ","BEST_FPERIOD_OVERRIDE=FQ","FILING_STATUS=MR","SCALING_FORMAT=MLN","Sort=A","Dates=H","DateFormat=P","Fill=—","Direction=H","UseDPDF=Y")</f>
        <v>-2369</v>
      </c>
      <c r="E37" s="10">
        <f>_xll.BDH("CHTR US Equity","CF_CASH_FROM_INV_ACT","FQ3 2018","FQ3 2018","Currency=USD","Period=FQ","BEST_FPERIOD_OVERRIDE=FQ","FILING_STATUS=MR","SCALING_FORMAT=MLN","Sort=A","Dates=H","DateFormat=P","Fill=—","Direction=H","UseDPDF=Y")</f>
        <v>-2323</v>
      </c>
      <c r="F37" s="10">
        <f>_xll.BDH("CHTR US Equity","CF_CASH_FROM_INV_ACT","FQ4 2018","FQ4 2018","Currency=USD","Period=FQ","BEST_FPERIOD_OVERRIDE=FQ","FILING_STATUS=MR","SCALING_FORMAT=MLN","Sort=A","Dates=H","DateFormat=P","Fill=—","Direction=H","UseDPDF=Y")</f>
        <v>-2306</v>
      </c>
      <c r="G37" s="10">
        <f>_xll.BDH("CHTR US Equity","CF_CASH_FROM_INV_ACT","FQ1 2019","FQ1 2019","Currency=USD","Period=FQ","BEST_FPERIOD_OVERRIDE=FQ","FILING_STATUS=MR","SCALING_FORMAT=MLN","Sort=A","Dates=H","DateFormat=P","Fill=—","Direction=H","UseDPDF=Y")</f>
        <v>-2080</v>
      </c>
      <c r="H37" s="10">
        <f>_xll.BDH("CHTR US Equity","CF_CASH_FROM_INV_ACT","FQ2 2019","FQ2 2019","Currency=USD","Period=FQ","BEST_FPERIOD_OVERRIDE=FQ","FILING_STATUS=MR","SCALING_FORMAT=MLN","Sort=A","Dates=H","DateFormat=P","Fill=—","Direction=H","UseDPDF=Y")</f>
        <v>-1666</v>
      </c>
      <c r="I37" s="10">
        <f>_xll.BDH("CHTR US Equity","CF_CASH_FROM_INV_ACT","FQ3 2019","FQ3 2019","Currency=USD","Period=FQ","BEST_FPERIOD_OVERRIDE=FQ","FILING_STATUS=MR","SCALING_FORMAT=MLN","Sort=A","Dates=H","DateFormat=P","Fill=—","Direction=H","UseDPDF=Y")</f>
        <v>-1731</v>
      </c>
      <c r="J37" s="10">
        <f>_xll.BDH("CHTR US Equity","CF_CASH_FROM_INV_ACT","FQ4 2019","FQ4 2019","Currency=USD","Period=FQ","BEST_FPERIOD_OVERRIDE=FQ","FILING_STATUS=MR","SCALING_FORMAT=MLN","Sort=A","Dates=H","DateFormat=P","Fill=—","Direction=H","UseDPDF=Y")</f>
        <v>-1854</v>
      </c>
      <c r="K37" s="10">
        <f>_xll.BDH("CHTR US Equity","CF_CASH_FROM_INV_ACT","FQ1 2020","FQ1 2020","Currency=USD","Period=FQ","BEST_FPERIOD_OVERRIDE=FQ","FILING_STATUS=MR","SCALING_FORMAT=MLN","Sort=A","Dates=H","DateFormat=P","Fill=—","Direction=H","UseDPDF=Y")</f>
        <v>-1850</v>
      </c>
      <c r="L37" s="10">
        <f>_xll.BDH("CHTR US Equity","CF_CASH_FROM_INV_ACT","FQ2 2020","FQ2 2020","Currency=USD","Period=FQ","BEST_FPERIOD_OVERRIDE=FQ","FILING_STATUS=MR","SCALING_FORMAT=MLN","Sort=A","Dates=H","DateFormat=P","Fill=—","Direction=H","UseDPDF=Y")</f>
        <v>-1751</v>
      </c>
    </row>
    <row r="38" spans="1:12" x14ac:dyDescent="0.35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2" x14ac:dyDescent="0.35">
      <c r="A39" s="12" t="s">
        <v>360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2" x14ac:dyDescent="0.35">
      <c r="A40" s="16" t="s">
        <v>380</v>
      </c>
      <c r="B40" s="16" t="s">
        <v>379</v>
      </c>
      <c r="C40" s="17">
        <f>_xll.BDH("CHTR US Equity","CF_DVD_PAID","FQ1 2018","FQ1 2018","Currency=USD","Period=FQ","BEST_FPERIOD_OVERRIDE=FQ","FILING_STATUS=MR","SCALING_FORMAT=MLN","Sort=A","Dates=H","DateFormat=P","Fill=—","Direction=H","UseDPDF=Y")</f>
        <v>0</v>
      </c>
      <c r="D40" s="17">
        <f>_xll.BDH("CHTR US Equity","CF_DVD_PAID","FQ2 2018","FQ2 2018","Currency=USD","Period=FQ","BEST_FPERIOD_OVERRIDE=FQ","FILING_STATUS=MR","SCALING_FORMAT=MLN","Sort=A","Dates=H","DateFormat=P","Fill=—","Direction=H","UseDPDF=Y")</f>
        <v>0</v>
      </c>
      <c r="E40" s="17">
        <f>_xll.BDH("CHTR US Equity","CF_DVD_PAID","FQ3 2018","FQ3 2018","Currency=USD","Period=FQ","BEST_FPERIOD_OVERRIDE=FQ","FILING_STATUS=MR","SCALING_FORMAT=MLN","Sort=A","Dates=H","DateFormat=P","Fill=—","Direction=H","UseDPDF=Y")</f>
        <v>0</v>
      </c>
      <c r="F40" s="17">
        <f>_xll.BDH("CHTR US Equity","CF_DVD_PAID","FQ4 2018","FQ4 2018","Currency=USD","Period=FQ","BEST_FPERIOD_OVERRIDE=FQ","FILING_STATUS=MR","SCALING_FORMAT=MLN","Sort=A","Dates=H","DateFormat=P","Fill=—","Direction=H","UseDPDF=Y")</f>
        <v>0</v>
      </c>
      <c r="G40" s="17">
        <f>_xll.BDH("CHTR US Equity","CF_DVD_PAID","FQ1 2019","FQ1 2019","Currency=USD","Period=FQ","BEST_FPERIOD_OVERRIDE=FQ","FILING_STATUS=MR","SCALING_FORMAT=MLN","Sort=A","Dates=H","DateFormat=P","Fill=—","Direction=H","UseDPDF=Y")</f>
        <v>0</v>
      </c>
      <c r="H40" s="17">
        <f>_xll.BDH("CHTR US Equity","CF_DVD_PAID","FQ2 2019","FQ2 2019","Currency=USD","Period=FQ","BEST_FPERIOD_OVERRIDE=FQ","FILING_STATUS=MR","SCALING_FORMAT=MLN","Sort=A","Dates=H","DateFormat=P","Fill=—","Direction=H","UseDPDF=Y")</f>
        <v>0</v>
      </c>
      <c r="I40" s="17">
        <f>_xll.BDH("CHTR US Equity","CF_DVD_PAID","FQ3 2019","FQ3 2019","Currency=USD","Period=FQ","BEST_FPERIOD_OVERRIDE=FQ","FILING_STATUS=MR","SCALING_FORMAT=MLN","Sort=A","Dates=H","DateFormat=P","Fill=—","Direction=H","UseDPDF=Y")</f>
        <v>0</v>
      </c>
      <c r="J40" s="17">
        <f>_xll.BDH("CHTR US Equity","CF_DVD_PAID","FQ4 2019","FQ4 2019","Currency=USD","Period=FQ","BEST_FPERIOD_OVERRIDE=FQ","FILING_STATUS=MR","SCALING_FORMAT=MLN","Sort=A","Dates=H","DateFormat=P","Fill=—","Direction=H","UseDPDF=Y")</f>
        <v>0</v>
      </c>
      <c r="K40" s="17">
        <f>_xll.BDH("CHTR US Equity","CF_DVD_PAID","FQ1 2020","FQ1 2020","Currency=USD","Period=FQ","BEST_FPERIOD_OVERRIDE=FQ","FILING_STATUS=MR","SCALING_FORMAT=MLN","Sort=A","Dates=H","DateFormat=P","Fill=—","Direction=H","UseDPDF=Y")</f>
        <v>0</v>
      </c>
      <c r="L40" s="17">
        <f>_xll.BDH("CHTR US Equity","CF_DVD_PAID","FQ2 2020","FQ2 2020","Currency=USD","Period=FQ","BEST_FPERIOD_OVERRIDE=FQ","FILING_STATUS=MR","SCALING_FORMAT=MLN","Sort=A","Dates=H","DateFormat=P","Fill=—","Direction=H","UseDPDF=Y")</f>
        <v>0</v>
      </c>
    </row>
    <row r="41" spans="1:12" x14ac:dyDescent="0.35">
      <c r="A41" s="16" t="s">
        <v>378</v>
      </c>
      <c r="B41" s="16" t="s">
        <v>377</v>
      </c>
      <c r="C41" s="17">
        <f>_xll.BDH("CHTR US Equity","PROC_FR_REPAYMNTS_BOR_DETAILED","FQ1 2018","FQ1 2018","Currency=USD","Period=FQ","BEST_FPERIOD_OVERRIDE=FQ","FILING_STATUS=MR","SCALING_FORMAT=MLN","Sort=A","Dates=H","DateFormat=P","Fill=—","Direction=H","UseDPDF=Y")</f>
        <v>744</v>
      </c>
      <c r="D41" s="17">
        <f>_xll.BDH("CHTR US Equity","PROC_FR_REPAYMNTS_BOR_DETAILED","FQ2 2018","FQ2 2018","Currency=USD","Period=FQ","BEST_FPERIOD_OVERRIDE=FQ","FILING_STATUS=MR","SCALING_FORMAT=MLN","Sort=A","Dates=H","DateFormat=P","Fill=—","Direction=H","UseDPDF=Y")</f>
        <v>1384</v>
      </c>
      <c r="E41" s="17">
        <f>_xll.BDH("CHTR US Equity","PROC_FR_REPAYMNTS_BOR_DETAILED","FQ3 2018","FQ3 2018","Currency=USD","Period=FQ","BEST_FPERIOD_OVERRIDE=FQ","FILING_STATUS=MR","SCALING_FORMAT=MLN","Sort=A","Dates=H","DateFormat=P","Fill=—","Direction=H","UseDPDF=Y")</f>
        <v>460</v>
      </c>
      <c r="F41" s="17">
        <f>_xll.BDH("CHTR US Equity","PROC_FR_REPAYMNTS_BOR_DETAILED","FQ4 2018","FQ4 2018","Currency=USD","Period=FQ","BEST_FPERIOD_OVERRIDE=FQ","FILING_STATUS=MR","SCALING_FORMAT=MLN","Sort=A","Dates=H","DateFormat=P","Fill=—","Direction=H","UseDPDF=Y")</f>
        <v>463</v>
      </c>
      <c r="G41" s="17">
        <f>_xll.BDH("CHTR US Equity","PROC_FR_REPAYMNTS_BOR_DETAILED","FQ1 2019","FQ1 2019","Currency=USD","Period=FQ","BEST_FPERIOD_OVERRIDE=FQ","FILING_STATUS=MR","SCALING_FORMAT=MLN","Sort=A","Dates=H","DateFormat=P","Fill=—","Direction=H","UseDPDF=Y")</f>
        <v>1312</v>
      </c>
      <c r="H41" s="17">
        <f>_xll.BDH("CHTR US Equity","PROC_FR_REPAYMNTS_BOR_DETAILED","FQ2 2019","FQ2 2019","Currency=USD","Period=FQ","BEST_FPERIOD_OVERRIDE=FQ","FILING_STATUS=MR","SCALING_FORMAT=MLN","Sort=A","Dates=H","DateFormat=P","Fill=—","Direction=H","UseDPDF=Y")</f>
        <v>-721</v>
      </c>
      <c r="I41" s="17">
        <f>_xll.BDH("CHTR US Equity","PROC_FR_REPAYMNTS_BOR_DETAILED","FQ3 2019","FQ3 2019","Currency=USD","Period=FQ","BEST_FPERIOD_OVERRIDE=FQ","FILING_STATUS=MR","SCALING_FORMAT=MLN","Sort=A","Dates=H","DateFormat=P","Fill=—","Direction=H","UseDPDF=Y")</f>
        <v>1680</v>
      </c>
      <c r="J41" s="17">
        <f>_xll.BDH("CHTR US Equity","PROC_FR_REPAYMNTS_BOR_DETAILED","FQ4 2019","FQ4 2019","Currency=USD","Period=FQ","BEST_FPERIOD_OVERRIDE=FQ","FILING_STATUS=MR","SCALING_FORMAT=MLN","Sort=A","Dates=H","DateFormat=P","Fill=—","Direction=H","UseDPDF=Y")</f>
        <v>4105</v>
      </c>
      <c r="K41" s="17">
        <f>_xll.BDH("CHTR US Equity","PROC_FR_REPAYMNTS_BOR_DETAILED","FQ1 2020","FQ1 2020","Currency=USD","Period=FQ","BEST_FPERIOD_OVERRIDE=FQ","FILING_STATUS=MR","SCALING_FORMAT=MLN","Sort=A","Dates=H","DateFormat=P","Fill=—","Direction=H","UseDPDF=Y")</f>
        <v>750</v>
      </c>
      <c r="L41" s="17">
        <f>_xll.BDH("CHTR US Equity","PROC_FR_REPAYMNTS_BOR_DETAILED","FQ2 2020","FQ2 2020","Currency=USD","Period=FQ","BEST_FPERIOD_OVERRIDE=FQ","FILING_STATUS=MR","SCALING_FORMAT=MLN","Sort=A","Dates=H","DateFormat=P","Fill=—","Direction=H","UseDPDF=Y")</f>
        <v>-1320</v>
      </c>
    </row>
    <row r="42" spans="1:12" x14ac:dyDescent="0.35">
      <c r="A42" s="16" t="s">
        <v>376</v>
      </c>
      <c r="B42" s="16" t="s">
        <v>375</v>
      </c>
      <c r="C42" s="17">
        <f>_xll.BDH("CHTR US Equity","CF_NET_CHG_IN_ST_DBT_&amp;_CPTL_LEAS","FQ1 2018","FQ1 2018","Currency=USD","Period=FQ","BEST_FPERIOD_OVERRIDE=FQ","FILING_STATUS=MR","SCALING_FORMAT=MLN","Sort=A","Dates=H","DateFormat=P","Fill=—","Direction=H","UseDPDF=Y")</f>
        <v>0</v>
      </c>
      <c r="D42" s="17">
        <f>_xll.BDH("CHTR US Equity","CF_NET_CHG_IN_ST_DBT_&amp;_CPTL_LEAS","FQ2 2018","FQ2 2018","Currency=USD","Period=FQ","BEST_FPERIOD_OVERRIDE=FQ","FILING_STATUS=MR","SCALING_FORMAT=MLN","Sort=A","Dates=H","DateFormat=P","Fill=—","Direction=H","UseDPDF=Y")</f>
        <v>0</v>
      </c>
      <c r="E42" s="17">
        <f>_xll.BDH("CHTR US Equity","CF_NET_CHG_IN_ST_DBT_&amp;_CPTL_LEAS","FQ3 2018","FQ3 2018","Currency=USD","Period=FQ","BEST_FPERIOD_OVERRIDE=FQ","FILING_STATUS=MR","SCALING_FORMAT=MLN","Sort=A","Dates=H","DateFormat=P","Fill=—","Direction=H","UseDPDF=Y")</f>
        <v>0</v>
      </c>
      <c r="F42" s="17">
        <f>_xll.BDH("CHTR US Equity","CF_NET_CHG_IN_ST_DBT_&amp;_CPTL_LEAS","FQ4 2018","FQ4 2018","Currency=USD","Period=FQ","BEST_FPERIOD_OVERRIDE=FQ","FILING_STATUS=MR","SCALING_FORMAT=MLN","Sort=A","Dates=H","DateFormat=P","Fill=—","Direction=H","UseDPDF=Y")</f>
        <v>0</v>
      </c>
      <c r="G42" s="17">
        <f>_xll.BDH("CHTR US Equity","CF_NET_CHG_IN_ST_DBT_&amp;_CPTL_LEAS","FQ1 2019","FQ1 2019","Currency=USD","Period=FQ","BEST_FPERIOD_OVERRIDE=FQ","FILING_STATUS=MR","SCALING_FORMAT=MLN","Sort=A","Dates=H","DateFormat=P","Fill=—","Direction=H","UseDPDF=Y")</f>
        <v>0</v>
      </c>
      <c r="H42" s="17" t="str">
        <f>_xll.BDH("CHTR US Equity","CF_NET_CHG_IN_ST_DBT_&amp;_CPTL_LEAS","FQ2 2019","FQ2 2019","Currency=USD","Period=FQ","BEST_FPERIOD_OVERRIDE=FQ","FILING_STATUS=MR","SCALING_FORMAT=MLN","Sort=A","Dates=H","DateFormat=P","Fill=—","Direction=H","UseDPDF=Y")</f>
        <v>—</v>
      </c>
      <c r="I42" s="17">
        <f>_xll.BDH("CHTR US Equity","CF_NET_CHG_IN_ST_DBT_&amp;_CPTL_LEAS","FQ3 2019","FQ3 2019","Currency=USD","Period=FQ","BEST_FPERIOD_OVERRIDE=FQ","FILING_STATUS=MR","SCALING_FORMAT=MLN","Sort=A","Dates=H","DateFormat=P","Fill=—","Direction=H","UseDPDF=Y")</f>
        <v>0</v>
      </c>
      <c r="J42" s="17">
        <f>_xll.BDH("CHTR US Equity","CF_NET_CHG_IN_ST_DBT_&amp;_CPTL_LEAS","FQ4 2019","FQ4 2019","Currency=USD","Period=FQ","BEST_FPERIOD_OVERRIDE=FQ","FILING_STATUS=MR","SCALING_FORMAT=MLN","Sort=A","Dates=H","DateFormat=P","Fill=—","Direction=H","UseDPDF=Y")</f>
        <v>0</v>
      </c>
      <c r="K42" s="17">
        <f>_xll.BDH("CHTR US Equity","CF_NET_CHG_IN_ST_DBT_&amp;_CPTL_LEAS","FQ1 2020","FQ1 2020","Currency=USD","Period=FQ","BEST_FPERIOD_OVERRIDE=FQ","FILING_STATUS=MR","SCALING_FORMAT=MLN","Sort=A","Dates=H","DateFormat=P","Fill=—","Direction=H","UseDPDF=Y")</f>
        <v>0</v>
      </c>
      <c r="L42" s="17">
        <f>_xll.BDH("CHTR US Equity","CF_NET_CHG_IN_ST_DBT_&amp;_CPTL_LEAS","FQ2 2020","FQ2 2020","Currency=USD","Period=FQ","BEST_FPERIOD_OVERRIDE=FQ","FILING_STATUS=MR","SCALING_FORMAT=MLN","Sort=A","Dates=H","DateFormat=P","Fill=—","Direction=H","UseDPDF=Y")</f>
        <v>0</v>
      </c>
    </row>
    <row r="43" spans="1:12" x14ac:dyDescent="0.35">
      <c r="A43" s="16" t="s">
        <v>374</v>
      </c>
      <c r="B43" s="16" t="s">
        <v>373</v>
      </c>
      <c r="C43" s="17">
        <f>_xll.BDH("CHTR US Equity","CF_PROC_LT_DEBT_&amp;_CAPITAL_LEASE","FQ1 2018","FQ1 2018","Currency=USD","Period=FQ","BEST_FPERIOD_OVERRIDE=FQ","FILING_STATUS=MR","SCALING_FORMAT=MLN","Sort=A","Dates=H","DateFormat=P","Fill=—","Direction=H","UseDPDF=Y")</f>
        <v>2929</v>
      </c>
      <c r="D43" s="17">
        <f>_xll.BDH("CHTR US Equity","CF_PROC_LT_DEBT_&amp;_CAPITAL_LEASE","FQ2 2018","FQ2 2018","Currency=USD","Period=FQ","BEST_FPERIOD_OVERRIDE=FQ","FILING_STATUS=MR","SCALING_FORMAT=MLN","Sort=A","Dates=H","DateFormat=P","Fill=—","Direction=H","UseDPDF=Y")</f>
        <v>2699</v>
      </c>
      <c r="E43" s="17">
        <f>_xll.BDH("CHTR US Equity","CF_PROC_LT_DEBT_&amp;_CAPITAL_LEASE","FQ3 2018","FQ3 2018","Currency=USD","Period=FQ","BEST_FPERIOD_OVERRIDE=FQ","FILING_STATUS=MR","SCALING_FORMAT=MLN","Sort=A","Dates=H","DateFormat=P","Fill=—","Direction=H","UseDPDF=Y")</f>
        <v>5924</v>
      </c>
      <c r="F43" s="17">
        <f>_xll.BDH("CHTR US Equity","CF_PROC_LT_DEBT_&amp;_CAPITAL_LEASE","FQ4 2018","FQ4 2018","Currency=USD","Period=FQ","BEST_FPERIOD_OVERRIDE=FQ","FILING_STATUS=MR","SCALING_FORMAT=MLN","Sort=A","Dates=H","DateFormat=P","Fill=—","Direction=H","UseDPDF=Y")</f>
        <v>2268</v>
      </c>
      <c r="G43" s="17">
        <f>_xll.BDH("CHTR US Equity","CF_PROC_LT_DEBT_&amp;_CAPITAL_LEASE","FQ1 2019","FQ1 2019","Currency=USD","Period=FQ","BEST_FPERIOD_OVERRIDE=FQ","FILING_STATUS=MR","SCALING_FORMAT=MLN","Sort=A","Dates=H","DateFormat=P","Fill=—","Direction=H","UseDPDF=Y")</f>
        <v>6884</v>
      </c>
      <c r="H43" s="17">
        <f>_xll.BDH("CHTR US Equity","CF_PROC_LT_DEBT_&amp;_CAPITAL_LEASE","FQ2 2019","FQ2 2019","Currency=USD","Period=FQ","BEST_FPERIOD_OVERRIDE=FQ","FILING_STATUS=MR","SCALING_FORMAT=MLN","Sort=A","Dates=H","DateFormat=P","Fill=—","Direction=H","UseDPDF=Y")</f>
        <v>3830</v>
      </c>
      <c r="I43" s="17">
        <f>_xll.BDH("CHTR US Equity","CF_PROC_LT_DEBT_&amp;_CAPITAL_LEASE","FQ3 2019","FQ3 2019","Currency=USD","Period=FQ","BEST_FPERIOD_OVERRIDE=FQ","FILING_STATUS=MR","SCALING_FORMAT=MLN","Sort=A","Dates=H","DateFormat=P","Fill=—","Direction=H","UseDPDF=Y")</f>
        <v>2443</v>
      </c>
      <c r="J43" s="17">
        <f>_xll.BDH("CHTR US Equity","CF_PROC_LT_DEBT_&amp;_CAPITAL_LEASE","FQ4 2019","FQ4 2019","Currency=USD","Period=FQ","BEST_FPERIOD_OVERRIDE=FQ","FILING_STATUS=MR","SCALING_FORMAT=MLN","Sort=A","Dates=H","DateFormat=P","Fill=—","Direction=H","UseDPDF=Y")</f>
        <v>6528</v>
      </c>
      <c r="K43" s="17">
        <f>_xll.BDH("CHTR US Equity","CF_PROC_LT_DEBT_&amp;_CAPITAL_LEASE","FQ1 2020","FQ1 2020","Currency=USD","Period=FQ","BEST_FPERIOD_OVERRIDE=FQ","FILING_STATUS=MR","SCALING_FORMAT=MLN","Sort=A","Dates=H","DateFormat=P","Fill=—","Direction=H","UseDPDF=Y")</f>
        <v>4339</v>
      </c>
      <c r="L43" s="17">
        <f>_xll.BDH("CHTR US Equity","CF_PROC_LT_DEBT_&amp;_CAPITAL_LEASE","FQ2 2020","FQ2 2020","Currency=USD","Period=FQ","BEST_FPERIOD_OVERRIDE=FQ","FILING_STATUS=MR","SCALING_FORMAT=MLN","Sort=A","Dates=H","DateFormat=P","Fill=—","Direction=H","UseDPDF=Y")</f>
        <v>2983</v>
      </c>
    </row>
    <row r="44" spans="1:12" x14ac:dyDescent="0.35">
      <c r="A44" s="16" t="s">
        <v>372</v>
      </c>
      <c r="B44" s="16" t="s">
        <v>371</v>
      </c>
      <c r="C44" s="17">
        <f>_xll.BDH("CHTR US Equity","CF_PYMT_LT_DEBT_&amp;_CAPITAL_LEASE","FQ1 2018","FQ1 2018","Currency=USD","Period=FQ","BEST_FPERIOD_OVERRIDE=FQ","FILING_STATUS=MR","SCALING_FORMAT=MLN","Sort=A","Dates=H","DateFormat=P","Fill=—","Direction=H","UseDPDF=Y")</f>
        <v>-2185</v>
      </c>
      <c r="D44" s="17">
        <f>_xll.BDH("CHTR US Equity","CF_PYMT_LT_DEBT_&amp;_CAPITAL_LEASE","FQ2 2018","FQ2 2018","Currency=USD","Period=FQ","BEST_FPERIOD_OVERRIDE=FQ","FILING_STATUS=MR","SCALING_FORMAT=MLN","Sort=A","Dates=H","DateFormat=P","Fill=—","Direction=H","UseDPDF=Y")</f>
        <v>-1315</v>
      </c>
      <c r="E44" s="17">
        <f>_xll.BDH("CHTR US Equity","CF_PYMT_LT_DEBT_&amp;_CAPITAL_LEASE","FQ3 2018","FQ3 2018","Currency=USD","Period=FQ","BEST_FPERIOD_OVERRIDE=FQ","FILING_STATUS=MR","SCALING_FORMAT=MLN","Sort=A","Dates=H","DateFormat=P","Fill=—","Direction=H","UseDPDF=Y")</f>
        <v>-5464</v>
      </c>
      <c r="F44" s="17">
        <f>_xll.BDH("CHTR US Equity","CF_PYMT_LT_DEBT_&amp;_CAPITAL_LEASE","FQ4 2018","FQ4 2018","Currency=USD","Period=FQ","BEST_FPERIOD_OVERRIDE=FQ","FILING_STATUS=MR","SCALING_FORMAT=MLN","Sort=A","Dates=H","DateFormat=P","Fill=—","Direction=H","UseDPDF=Y")</f>
        <v>-1805</v>
      </c>
      <c r="G44" s="17">
        <f>_xll.BDH("CHTR US Equity","CF_PYMT_LT_DEBT_&amp;_CAPITAL_LEASE","FQ1 2019","FQ1 2019","Currency=USD","Period=FQ","BEST_FPERIOD_OVERRIDE=FQ","FILING_STATUS=MR","SCALING_FORMAT=MLN","Sort=A","Dates=H","DateFormat=P","Fill=—","Direction=H","UseDPDF=Y")</f>
        <v>-5572</v>
      </c>
      <c r="H44" s="17">
        <f>_xll.BDH("CHTR US Equity","CF_PYMT_LT_DEBT_&amp;_CAPITAL_LEASE","FQ2 2019","FQ2 2019","Currency=USD","Period=FQ","BEST_FPERIOD_OVERRIDE=FQ","FILING_STATUS=MR","SCALING_FORMAT=MLN","Sort=A","Dates=H","DateFormat=P","Fill=—","Direction=H","UseDPDF=Y")</f>
        <v>-4551</v>
      </c>
      <c r="I44" s="17">
        <f>_xll.BDH("CHTR US Equity","CF_PYMT_LT_DEBT_&amp;_CAPITAL_LEASE","FQ3 2019","FQ3 2019","Currency=USD","Period=FQ","BEST_FPERIOD_OVERRIDE=FQ","FILING_STATUS=MR","SCALING_FORMAT=MLN","Sort=A","Dates=H","DateFormat=P","Fill=—","Direction=H","UseDPDF=Y")</f>
        <v>-763</v>
      </c>
      <c r="J44" s="17">
        <f>_xll.BDH("CHTR US Equity","CF_PYMT_LT_DEBT_&amp;_CAPITAL_LEASE","FQ4 2019","FQ4 2019","Currency=USD","Period=FQ","BEST_FPERIOD_OVERRIDE=FQ","FILING_STATUS=MR","SCALING_FORMAT=MLN","Sort=A","Dates=H","DateFormat=P","Fill=—","Direction=H","UseDPDF=Y")</f>
        <v>-2423</v>
      </c>
      <c r="K44" s="17">
        <f>_xll.BDH("CHTR US Equity","CF_PYMT_LT_DEBT_&amp;_CAPITAL_LEASE","FQ1 2020","FQ1 2020","Currency=USD","Period=FQ","BEST_FPERIOD_OVERRIDE=FQ","FILING_STATUS=MR","SCALING_FORMAT=MLN","Sort=A","Dates=H","DateFormat=P","Fill=—","Direction=H","UseDPDF=Y")</f>
        <v>-3589</v>
      </c>
      <c r="L44" s="17">
        <f>_xll.BDH("CHTR US Equity","CF_PYMT_LT_DEBT_&amp;_CAPITAL_LEASE","FQ2 2020","FQ2 2020","Currency=USD","Period=FQ","BEST_FPERIOD_OVERRIDE=FQ","FILING_STATUS=MR","SCALING_FORMAT=MLN","Sort=A","Dates=H","DateFormat=P","Fill=—","Direction=H","UseDPDF=Y")</f>
        <v>-4303</v>
      </c>
    </row>
    <row r="45" spans="1:12" x14ac:dyDescent="0.35">
      <c r="A45" s="16" t="s">
        <v>370</v>
      </c>
      <c r="B45" s="16" t="s">
        <v>369</v>
      </c>
      <c r="C45" s="17">
        <f>_xll.BDH("CHTR US Equity","PROC_FR_REPURCH_EQTY_DETAILED","FQ1 2018","FQ1 2018","Currency=USD","Period=FQ","BEST_FPERIOD_OVERRIDE=FQ","FILING_STATUS=MR","SCALING_FORMAT=MLN","Sort=A","Dates=H","DateFormat=P","Fill=—","Direction=H","UseDPDF=Y")</f>
        <v>-581</v>
      </c>
      <c r="D45" s="17">
        <f>_xll.BDH("CHTR US Equity","PROC_FR_REPURCH_EQTY_DETAILED","FQ2 2018","FQ2 2018","Currency=USD","Period=FQ","BEST_FPERIOD_OVERRIDE=FQ","FILING_STATUS=MR","SCALING_FORMAT=MLN","Sort=A","Dates=H","DateFormat=P","Fill=—","Direction=H","UseDPDF=Y")</f>
        <v>-1657</v>
      </c>
      <c r="E45" s="17">
        <f>_xll.BDH("CHTR US Equity","PROC_FR_REPURCH_EQTY_DETAILED","FQ3 2018","FQ3 2018","Currency=USD","Period=FQ","BEST_FPERIOD_OVERRIDE=FQ","FILING_STATUS=MR","SCALING_FORMAT=MLN","Sort=A","Dates=H","DateFormat=P","Fill=—","Direction=H","UseDPDF=Y")</f>
        <v>-920</v>
      </c>
      <c r="F45" s="17">
        <f>_xll.BDH("CHTR US Equity","PROC_FR_REPURCH_EQTY_DETAILED","FQ4 2018","FQ4 2018","Currency=USD","Period=FQ","BEST_FPERIOD_OVERRIDE=FQ","FILING_STATUS=MR","SCALING_FORMAT=MLN","Sort=A","Dates=H","DateFormat=P","Fill=—","Direction=H","UseDPDF=Y")</f>
        <v>-1172</v>
      </c>
      <c r="G45" s="17">
        <f>_xll.BDH("CHTR US Equity","PROC_FR_REPURCH_EQTY_DETAILED","FQ1 2019","FQ1 2019","Currency=USD","Period=FQ","BEST_FPERIOD_OVERRIDE=FQ","FILING_STATUS=MR","SCALING_FORMAT=MLN","Sort=A","Dates=H","DateFormat=P","Fill=—","Direction=H","UseDPDF=Y")</f>
        <v>-896</v>
      </c>
      <c r="H45" s="17">
        <f>_xll.BDH("CHTR US Equity","PROC_FR_REPURCH_EQTY_DETAILED","FQ2 2019","FQ2 2019","Currency=USD","Period=FQ","BEST_FPERIOD_OVERRIDE=FQ","FILING_STATUS=MR","SCALING_FORMAT=MLN","Sort=A","Dates=H","DateFormat=P","Fill=—","Direction=H","UseDPDF=Y")</f>
        <v>-824</v>
      </c>
      <c r="I45" s="17">
        <f>_xll.BDH("CHTR US Equity","PROC_FR_REPURCH_EQTY_DETAILED","FQ3 2019","FQ3 2019","Currency=USD","Period=FQ","BEST_FPERIOD_OVERRIDE=FQ","FILING_STATUS=MR","SCALING_FORMAT=MLN","Sort=A","Dates=H","DateFormat=P","Fill=—","Direction=H","UseDPDF=Y")</f>
        <v>-2742</v>
      </c>
      <c r="J45" s="17">
        <f>_xll.BDH("CHTR US Equity","PROC_FR_REPURCH_EQTY_DETAILED","FQ4 2019","FQ4 2019","Currency=USD","Period=FQ","BEST_FPERIOD_OVERRIDE=FQ","FILING_STATUS=MR","SCALING_FORMAT=MLN","Sort=A","Dates=H","DateFormat=P","Fill=—","Direction=H","UseDPDF=Y")</f>
        <v>-2293</v>
      </c>
      <c r="K45" s="17">
        <f>_xll.BDH("CHTR US Equity","PROC_FR_REPURCH_EQTY_DETAILED","FQ1 2020","FQ1 2020","Currency=USD","Period=FQ","BEST_FPERIOD_OVERRIDE=FQ","FILING_STATUS=MR","SCALING_FORMAT=MLN","Sort=A","Dates=H","DateFormat=P","Fill=—","Direction=H","UseDPDF=Y")</f>
        <v>-2236</v>
      </c>
      <c r="L45" s="17">
        <f>_xll.BDH("CHTR US Equity","PROC_FR_REPURCH_EQTY_DETAILED","FQ2 2020","FQ2 2020","Currency=USD","Period=FQ","BEST_FPERIOD_OVERRIDE=FQ","FILING_STATUS=MR","SCALING_FORMAT=MLN","Sort=A","Dates=H","DateFormat=P","Fill=—","Direction=H","UseDPDF=Y")</f>
        <v>-1127</v>
      </c>
    </row>
    <row r="46" spans="1:12" x14ac:dyDescent="0.35">
      <c r="A46" s="16" t="s">
        <v>368</v>
      </c>
      <c r="B46" s="16" t="s">
        <v>367</v>
      </c>
      <c r="C46" s="17">
        <f>_xll.BDH("CHTR US Equity","CF_INCR_CAP_STOCK","FQ1 2018","FQ1 2018","Currency=USD","Period=FQ","BEST_FPERIOD_OVERRIDE=FQ","FILING_STATUS=MR","SCALING_FORMAT=MLN","Sort=A","Dates=H","DateFormat=P","Fill=—","Direction=H","UseDPDF=Y")</f>
        <v>36</v>
      </c>
      <c r="D46" s="17">
        <f>_xll.BDH("CHTR US Equity","CF_INCR_CAP_STOCK","FQ2 2018","FQ2 2018","Currency=USD","Period=FQ","BEST_FPERIOD_OVERRIDE=FQ","FILING_STATUS=MR","SCALING_FORMAT=MLN","Sort=A","Dates=H","DateFormat=P","Fill=—","Direction=H","UseDPDF=Y")</f>
        <v>7</v>
      </c>
      <c r="E46" s="17">
        <f>_xll.BDH("CHTR US Equity","CF_INCR_CAP_STOCK","FQ3 2018","FQ3 2018","Currency=USD","Period=FQ","BEST_FPERIOD_OVERRIDE=FQ","FILING_STATUS=MR","SCALING_FORMAT=MLN","Sort=A","Dates=H","DateFormat=P","Fill=—","Direction=H","UseDPDF=Y")</f>
        <v>13</v>
      </c>
      <c r="F46" s="17">
        <f>_xll.BDH("CHTR US Equity","CF_INCR_CAP_STOCK","FQ4 2018","FQ4 2018","Currency=USD","Period=FQ","BEST_FPERIOD_OVERRIDE=FQ","FILING_STATUS=MR","SCALING_FORMAT=MLN","Sort=A","Dates=H","DateFormat=P","Fill=—","Direction=H","UseDPDF=Y")</f>
        <v>13</v>
      </c>
      <c r="G46" s="17">
        <f>_xll.BDH("CHTR US Equity","CF_INCR_CAP_STOCK","FQ1 2019","FQ1 2019","Currency=USD","Period=FQ","BEST_FPERIOD_OVERRIDE=FQ","FILING_STATUS=MR","SCALING_FORMAT=MLN","Sort=A","Dates=H","DateFormat=P","Fill=—","Direction=H","UseDPDF=Y")</f>
        <v>44</v>
      </c>
      <c r="H46" s="17">
        <f>_xll.BDH("CHTR US Equity","CF_INCR_CAP_STOCK","FQ2 2019","FQ2 2019","Currency=USD","Period=FQ","BEST_FPERIOD_OVERRIDE=FQ","FILING_STATUS=MR","SCALING_FORMAT=MLN","Sort=A","Dates=H","DateFormat=P","Fill=—","Direction=H","UseDPDF=Y")</f>
        <v>37</v>
      </c>
      <c r="I46" s="17">
        <f>_xll.BDH("CHTR US Equity","CF_INCR_CAP_STOCK","FQ3 2019","FQ3 2019","Currency=USD","Period=FQ","BEST_FPERIOD_OVERRIDE=FQ","FILING_STATUS=MR","SCALING_FORMAT=MLN","Sort=A","Dates=H","DateFormat=P","Fill=—","Direction=H","UseDPDF=Y")</f>
        <v>25</v>
      </c>
      <c r="J46" s="17">
        <f>_xll.BDH("CHTR US Equity","CF_INCR_CAP_STOCK","FQ4 2019","FQ4 2019","Currency=USD","Period=FQ","BEST_FPERIOD_OVERRIDE=FQ","FILING_STATUS=MR","SCALING_FORMAT=MLN","Sort=A","Dates=H","DateFormat=P","Fill=—","Direction=H","UseDPDF=Y")</f>
        <v>12</v>
      </c>
      <c r="K46" s="17">
        <f>_xll.BDH("CHTR US Equity","CF_INCR_CAP_STOCK","FQ1 2020","FQ1 2020","Currency=USD","Period=FQ","BEST_FPERIOD_OVERRIDE=FQ","FILING_STATUS=MR","SCALING_FORMAT=MLN","Sort=A","Dates=H","DateFormat=P","Fill=—","Direction=H","UseDPDF=Y")</f>
        <v>116</v>
      </c>
      <c r="L46" s="17">
        <f>_xll.BDH("CHTR US Equity","CF_INCR_CAP_STOCK","FQ2 2020","FQ2 2020","Currency=USD","Period=FQ","BEST_FPERIOD_OVERRIDE=FQ","FILING_STATUS=MR","SCALING_FORMAT=MLN","Sort=A","Dates=H","DateFormat=P","Fill=—","Direction=H","UseDPDF=Y")</f>
        <v>28</v>
      </c>
    </row>
    <row r="47" spans="1:12" x14ac:dyDescent="0.35">
      <c r="A47" s="16" t="s">
        <v>366</v>
      </c>
      <c r="B47" s="16" t="s">
        <v>365</v>
      </c>
      <c r="C47" s="17">
        <f>_xll.BDH("CHTR US Equity","CF_DECR_CAP_STOCK","FQ1 2018","FQ1 2018","Currency=USD","Period=FQ","BEST_FPERIOD_OVERRIDE=FQ","FILING_STATUS=MR","SCALING_FORMAT=MLN","Sort=A","Dates=H","DateFormat=P","Fill=—","Direction=H","UseDPDF=Y")</f>
        <v>-617</v>
      </c>
      <c r="D47" s="17">
        <f>_xll.BDH("CHTR US Equity","CF_DECR_CAP_STOCK","FQ2 2018","FQ2 2018","Currency=USD","Period=FQ","BEST_FPERIOD_OVERRIDE=FQ","FILING_STATUS=MR","SCALING_FORMAT=MLN","Sort=A","Dates=H","DateFormat=P","Fill=—","Direction=H","UseDPDF=Y")</f>
        <v>-1664</v>
      </c>
      <c r="E47" s="17">
        <f>_xll.BDH("CHTR US Equity","CF_DECR_CAP_STOCK","FQ3 2018","FQ3 2018","Currency=USD","Period=FQ","BEST_FPERIOD_OVERRIDE=FQ","FILING_STATUS=MR","SCALING_FORMAT=MLN","Sort=A","Dates=H","DateFormat=P","Fill=—","Direction=H","UseDPDF=Y")</f>
        <v>-933</v>
      </c>
      <c r="F47" s="17">
        <f>_xll.BDH("CHTR US Equity","CF_DECR_CAP_STOCK","FQ4 2018","FQ4 2018","Currency=USD","Period=FQ","BEST_FPERIOD_OVERRIDE=FQ","FILING_STATUS=MR","SCALING_FORMAT=MLN","Sort=A","Dates=H","DateFormat=P","Fill=—","Direction=H","UseDPDF=Y")</f>
        <v>-1185</v>
      </c>
      <c r="G47" s="17">
        <f>_xll.BDH("CHTR US Equity","CF_DECR_CAP_STOCK","FQ1 2019","FQ1 2019","Currency=USD","Period=FQ","BEST_FPERIOD_OVERRIDE=FQ","FILING_STATUS=MR","SCALING_FORMAT=MLN","Sort=A","Dates=H","DateFormat=P","Fill=—","Direction=H","UseDPDF=Y")</f>
        <v>-940</v>
      </c>
      <c r="H47" s="17">
        <f>_xll.BDH("CHTR US Equity","CF_DECR_CAP_STOCK","FQ2 2019","FQ2 2019","Currency=USD","Period=FQ","BEST_FPERIOD_OVERRIDE=FQ","FILING_STATUS=MR","SCALING_FORMAT=MLN","Sort=A","Dates=H","DateFormat=P","Fill=—","Direction=H","UseDPDF=Y")</f>
        <v>-861</v>
      </c>
      <c r="I47" s="17">
        <f>_xll.BDH("CHTR US Equity","CF_DECR_CAP_STOCK","FQ3 2019","FQ3 2019","Currency=USD","Period=FQ","BEST_FPERIOD_OVERRIDE=FQ","FILING_STATUS=MR","SCALING_FORMAT=MLN","Sort=A","Dates=H","DateFormat=P","Fill=—","Direction=H","UseDPDF=Y")</f>
        <v>-2767</v>
      </c>
      <c r="J47" s="17">
        <f>_xll.BDH("CHTR US Equity","CF_DECR_CAP_STOCK","FQ4 2019","FQ4 2019","Currency=USD","Period=FQ","BEST_FPERIOD_OVERRIDE=FQ","FILING_STATUS=MR","SCALING_FORMAT=MLN","Sort=A","Dates=H","DateFormat=P","Fill=—","Direction=H","UseDPDF=Y")</f>
        <v>-2305</v>
      </c>
      <c r="K47" s="17">
        <f>_xll.BDH("CHTR US Equity","CF_DECR_CAP_STOCK","FQ1 2020","FQ1 2020","Currency=USD","Period=FQ","BEST_FPERIOD_OVERRIDE=FQ","FILING_STATUS=MR","SCALING_FORMAT=MLN","Sort=A","Dates=H","DateFormat=P","Fill=—","Direction=H","UseDPDF=Y")</f>
        <v>-2352</v>
      </c>
      <c r="L47" s="17">
        <f>_xll.BDH("CHTR US Equity","CF_DECR_CAP_STOCK","FQ2 2020","FQ2 2020","Currency=USD","Period=FQ","BEST_FPERIOD_OVERRIDE=FQ","FILING_STATUS=MR","SCALING_FORMAT=MLN","Sort=A","Dates=H","DateFormat=P","Fill=—","Direction=H","UseDPDF=Y")</f>
        <v>-1155</v>
      </c>
    </row>
    <row r="48" spans="1:12" x14ac:dyDescent="0.35">
      <c r="A48" s="16" t="s">
        <v>364</v>
      </c>
      <c r="B48" s="16" t="s">
        <v>363</v>
      </c>
      <c r="C48" s="17">
        <f>_xll.BDH("CHTR US Equity","OTHER_FIN_AND_DEC_CAP","FQ1 2018","FQ1 2018","Currency=USD","Period=FQ","BEST_FPERIOD_OVERRIDE=FQ","FILING_STATUS=MR","SCALING_FORMAT=MLN","Sort=A","Dates=H","DateFormat=P","Fill=—","Direction=H","UseDPDF=Y")</f>
        <v>-169</v>
      </c>
      <c r="D48" s="17">
        <f>_xll.BDH("CHTR US Equity","OTHER_FIN_AND_DEC_CAP","FQ2 2018","FQ2 2018","Currency=USD","Period=FQ","BEST_FPERIOD_OVERRIDE=FQ","FILING_STATUS=MR","SCALING_FORMAT=MLN","Sort=A","Dates=H","DateFormat=P","Fill=—","Direction=H","UseDPDF=Y")</f>
        <v>-257</v>
      </c>
      <c r="E48" s="17">
        <f>_xll.BDH("CHTR US Equity","OTHER_FIN_AND_DEC_CAP","FQ3 2018","FQ3 2018","Currency=USD","Period=FQ","BEST_FPERIOD_OVERRIDE=FQ","FILING_STATUS=MR","SCALING_FORMAT=MLN","Sort=A","Dates=H","DateFormat=P","Fill=—","Direction=H","UseDPDF=Y")</f>
        <v>-134</v>
      </c>
      <c r="F48" s="17">
        <f>_xll.BDH("CHTR US Equity","OTHER_FIN_AND_DEC_CAP","FQ4 2018","FQ4 2018","Currency=USD","Period=FQ","BEST_FPERIOD_OVERRIDE=FQ","FILING_STATUS=MR","SCALING_FORMAT=MLN","Sort=A","Dates=H","DateFormat=P","Fill=—","Direction=H","UseDPDF=Y")</f>
        <v>-48</v>
      </c>
      <c r="G48" s="17">
        <f>_xll.BDH("CHTR US Equity","OTHER_FIN_AND_DEC_CAP","FQ1 2019","FQ1 2019","Currency=USD","Period=FQ","BEST_FPERIOD_OVERRIDE=FQ","FILING_STATUS=MR","SCALING_FORMAT=MLN","Sort=A","Dates=H","DateFormat=P","Fill=—","Direction=H","UseDPDF=Y")</f>
        <v>-161</v>
      </c>
      <c r="H48" s="17">
        <f>_xll.BDH("CHTR US Equity","OTHER_FIN_AND_DEC_CAP","FQ2 2019","FQ2 2019","Currency=USD","Period=FQ","BEST_FPERIOD_OVERRIDE=FQ","FILING_STATUS=MR","SCALING_FORMAT=MLN","Sort=A","Dates=H","DateFormat=P","Fill=—","Direction=H","UseDPDF=Y")</f>
        <v>-330</v>
      </c>
      <c r="I48" s="17">
        <f>_xll.BDH("CHTR US Equity","OTHER_FIN_AND_DEC_CAP","FQ3 2019","FQ3 2019","Currency=USD","Period=FQ","BEST_FPERIOD_OVERRIDE=FQ","FILING_STATUS=MR","SCALING_FORMAT=MLN","Sort=A","Dates=H","DateFormat=P","Fill=—","Direction=H","UseDPDF=Y")</f>
        <v>-399</v>
      </c>
      <c r="J48" s="17">
        <f>_xll.BDH("CHTR US Equity","OTHER_FIN_AND_DEC_CAP","FQ4 2019","FQ4 2019","Currency=USD","Period=FQ","BEST_FPERIOD_OVERRIDE=FQ","FILING_STATUS=MR","SCALING_FORMAT=MLN","Sort=A","Dates=H","DateFormat=P","Fill=—","Direction=H","UseDPDF=Y")</f>
        <v>-364</v>
      </c>
      <c r="K48" s="17">
        <f>_xll.BDH("CHTR US Equity","OTHER_FIN_AND_DEC_CAP","FQ1 2020","FQ1 2020","Currency=USD","Period=FQ","BEST_FPERIOD_OVERRIDE=FQ","FILING_STATUS=MR","SCALING_FORMAT=MLN","Sort=A","Dates=H","DateFormat=P","Fill=—","Direction=H","UseDPDF=Y")</f>
        <v>-497</v>
      </c>
      <c r="L48" s="17">
        <f>_xll.BDH("CHTR US Equity","OTHER_FIN_AND_DEC_CAP","FQ2 2020","FQ2 2020","Currency=USD","Period=FQ","BEST_FPERIOD_OVERRIDE=FQ","FILING_STATUS=MR","SCALING_FORMAT=MLN","Sort=A","Dates=H","DateFormat=P","Fill=—","Direction=H","UseDPDF=Y")</f>
        <v>-165</v>
      </c>
    </row>
    <row r="49" spans="1:12" x14ac:dyDescent="0.35">
      <c r="A49" s="16" t="s">
        <v>362</v>
      </c>
      <c r="B49" s="16" t="s">
        <v>361</v>
      </c>
      <c r="C49" s="17">
        <f>_xll.BDH("CHTR US Equity","CF_NET_CASH_DISCONTINUED_OPS_FIN","FQ1 2018","FQ1 2018","Currency=USD","Period=FQ","BEST_FPERIOD_OVERRIDE=FQ","FILING_STATUS=MR","SCALING_FORMAT=MLN","Sort=A","Dates=H","DateFormat=P","Fill=—","Direction=H","UseDPDF=Y")</f>
        <v>0</v>
      </c>
      <c r="D49" s="17">
        <f>_xll.BDH("CHTR US Equity","CF_NET_CASH_DISCONTINUED_OPS_FIN","FQ2 2018","FQ2 2018","Currency=USD","Period=FQ","BEST_FPERIOD_OVERRIDE=FQ","FILING_STATUS=MR","SCALING_FORMAT=MLN","Sort=A","Dates=H","DateFormat=P","Fill=—","Direction=H","UseDPDF=Y")</f>
        <v>0</v>
      </c>
      <c r="E49" s="17">
        <f>_xll.BDH("CHTR US Equity","CF_NET_CASH_DISCONTINUED_OPS_FIN","FQ3 2018","FQ3 2018","Currency=USD","Period=FQ","BEST_FPERIOD_OVERRIDE=FQ","FILING_STATUS=MR","SCALING_FORMAT=MLN","Sort=A","Dates=H","DateFormat=P","Fill=—","Direction=H","UseDPDF=Y")</f>
        <v>0</v>
      </c>
      <c r="F49" s="17">
        <f>_xll.BDH("CHTR US Equity","CF_NET_CASH_DISCONTINUED_OPS_FIN","FQ4 2018","FQ4 2018","Currency=USD","Period=FQ","BEST_FPERIOD_OVERRIDE=FQ","FILING_STATUS=MR","SCALING_FORMAT=MLN","Sort=A","Dates=H","DateFormat=P","Fill=—","Direction=H","UseDPDF=Y")</f>
        <v>0</v>
      </c>
      <c r="G49" s="17">
        <f>_xll.BDH("CHTR US Equity","CF_NET_CASH_DISCONTINUED_OPS_FIN","FQ1 2019","FQ1 2019","Currency=USD","Period=FQ","BEST_FPERIOD_OVERRIDE=FQ","FILING_STATUS=MR","SCALING_FORMAT=MLN","Sort=A","Dates=H","DateFormat=P","Fill=—","Direction=H","UseDPDF=Y")</f>
        <v>0</v>
      </c>
      <c r="H49" s="17">
        <f>_xll.BDH("CHTR US Equity","CF_NET_CASH_DISCONTINUED_OPS_FIN","FQ2 2019","FQ2 2019","Currency=USD","Period=FQ","BEST_FPERIOD_OVERRIDE=FQ","FILING_STATUS=MR","SCALING_FORMAT=MLN","Sort=A","Dates=H","DateFormat=P","Fill=—","Direction=H","UseDPDF=Y")</f>
        <v>0</v>
      </c>
      <c r="I49" s="17">
        <f>_xll.BDH("CHTR US Equity","CF_NET_CASH_DISCONTINUED_OPS_FIN","FQ3 2019","FQ3 2019","Currency=USD","Period=FQ","BEST_FPERIOD_OVERRIDE=FQ","FILING_STATUS=MR","SCALING_FORMAT=MLN","Sort=A","Dates=H","DateFormat=P","Fill=—","Direction=H","UseDPDF=Y")</f>
        <v>0</v>
      </c>
      <c r="J49" s="17">
        <f>_xll.BDH("CHTR US Equity","CF_NET_CASH_DISCONTINUED_OPS_FIN","FQ4 2019","FQ4 2019","Currency=USD","Period=FQ","BEST_FPERIOD_OVERRIDE=FQ","FILING_STATUS=MR","SCALING_FORMAT=MLN","Sort=A","Dates=H","DateFormat=P","Fill=—","Direction=H","UseDPDF=Y")</f>
        <v>0</v>
      </c>
      <c r="K49" s="17">
        <f>_xll.BDH("CHTR US Equity","CF_NET_CASH_DISCONTINUED_OPS_FIN","FQ1 2020","FQ1 2020","Currency=USD","Period=FQ","BEST_FPERIOD_OVERRIDE=FQ","FILING_STATUS=MR","SCALING_FORMAT=MLN","Sort=A","Dates=H","DateFormat=P","Fill=—","Direction=H","UseDPDF=Y")</f>
        <v>0</v>
      </c>
      <c r="L49" s="17">
        <f>_xll.BDH("CHTR US Equity","CF_NET_CASH_DISCONTINUED_OPS_FIN","FQ2 2020","FQ2 2020","Currency=USD","Period=FQ","BEST_FPERIOD_OVERRIDE=FQ","FILING_STATUS=MR","SCALING_FORMAT=MLN","Sort=A","Dates=H","DateFormat=P","Fill=—","Direction=H","UseDPDF=Y")</f>
        <v>0</v>
      </c>
    </row>
    <row r="50" spans="1:12" x14ac:dyDescent="0.35">
      <c r="A50" s="12" t="s">
        <v>360</v>
      </c>
      <c r="B50" s="12" t="s">
        <v>359</v>
      </c>
      <c r="C50" s="10">
        <f>_xll.BDH("CHTR US Equity","CFF_ACTIVITIES_DETAILED","FQ1 2018","FQ1 2018","Currency=USD","Period=FQ","BEST_FPERIOD_OVERRIDE=FQ","FILING_STATUS=MR","SCALING_FORMAT=MLN","Sort=A","Dates=H","DateFormat=P","Fill=—","Direction=H","UseDPDF=Y")</f>
        <v>-6</v>
      </c>
      <c r="D50" s="10">
        <f>_xll.BDH("CHTR US Equity","CFF_ACTIVITIES_DETAILED","FQ2 2018","FQ2 2018","Currency=USD","Period=FQ","BEST_FPERIOD_OVERRIDE=FQ","FILING_STATUS=MR","SCALING_FORMAT=MLN","Sort=A","Dates=H","DateFormat=P","Fill=—","Direction=H","UseDPDF=Y")</f>
        <v>-530</v>
      </c>
      <c r="E50" s="10">
        <f>_xll.BDH("CHTR US Equity","CFF_ACTIVITIES_DETAILED","FQ3 2018","FQ3 2018","Currency=USD","Period=FQ","BEST_FPERIOD_OVERRIDE=FQ","FILING_STATUS=MR","SCALING_FORMAT=MLN","Sort=A","Dates=H","DateFormat=P","Fill=—","Direction=H","UseDPDF=Y")</f>
        <v>-594</v>
      </c>
      <c r="F50" s="10">
        <f>_xll.BDH("CHTR US Equity","CFF_ACTIVITIES_DETAILED","FQ4 2018","FQ4 2018","Currency=USD","Period=FQ","BEST_FPERIOD_OVERRIDE=FQ","FILING_STATUS=MR","SCALING_FORMAT=MLN","Sort=A","Dates=H","DateFormat=P","Fill=—","Direction=H","UseDPDF=Y")</f>
        <v>-757</v>
      </c>
      <c r="G50" s="10">
        <f>_xll.BDH("CHTR US Equity","CFF_ACTIVITIES_DETAILED","FQ1 2019","FQ1 2019","Currency=USD","Period=FQ","BEST_FPERIOD_OVERRIDE=FQ","FILING_STATUS=MR","SCALING_FORMAT=MLN","Sort=A","Dates=H","DateFormat=P","Fill=—","Direction=H","UseDPDF=Y")</f>
        <v>255</v>
      </c>
      <c r="H50" s="10">
        <f>_xll.BDH("CHTR US Equity","CFF_ACTIVITIES_DETAILED","FQ2 2019","FQ2 2019","Currency=USD","Period=FQ","BEST_FPERIOD_OVERRIDE=FQ","FILING_STATUS=MR","SCALING_FORMAT=MLN","Sort=A","Dates=H","DateFormat=P","Fill=—","Direction=H","UseDPDF=Y")</f>
        <v>-1875</v>
      </c>
      <c r="I50" s="10">
        <f>_xll.BDH("CHTR US Equity","CFF_ACTIVITIES_DETAILED","FQ3 2019","FQ3 2019","Currency=USD","Period=FQ","BEST_FPERIOD_OVERRIDE=FQ","FILING_STATUS=MR","SCALING_FORMAT=MLN","Sort=A","Dates=H","DateFormat=P","Fill=—","Direction=H","UseDPDF=Y")</f>
        <v>-1461</v>
      </c>
      <c r="J50" s="10">
        <f>_xll.BDH("CHTR US Equity","CFF_ACTIVITIES_DETAILED","FQ4 2019","FQ4 2019","Currency=USD","Period=FQ","BEST_FPERIOD_OVERRIDE=FQ","FILING_STATUS=MR","SCALING_FORMAT=MLN","Sort=A","Dates=H","DateFormat=P","Fill=—","Direction=H","UseDPDF=Y")</f>
        <v>1448</v>
      </c>
      <c r="K50" s="10">
        <f>_xll.BDH("CHTR US Equity","CFF_ACTIVITIES_DETAILED","FQ1 2020","FQ1 2020","Currency=USD","Period=FQ","BEST_FPERIOD_OVERRIDE=FQ","FILING_STATUS=MR","SCALING_FORMAT=MLN","Sort=A","Dates=H","DateFormat=P","Fill=—","Direction=H","UseDPDF=Y")</f>
        <v>-1983</v>
      </c>
      <c r="L50" s="10">
        <f>_xll.BDH("CHTR US Equity","CFF_ACTIVITIES_DETAILED","FQ2 2020","FQ2 2020","Currency=USD","Period=FQ","BEST_FPERIOD_OVERRIDE=FQ","FILING_STATUS=MR","SCALING_FORMAT=MLN","Sort=A","Dates=H","DateFormat=P","Fill=—","Direction=H","UseDPDF=Y")</f>
        <v>-2612</v>
      </c>
    </row>
    <row r="51" spans="1:12" x14ac:dyDescent="0.35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 spans="1:12" x14ac:dyDescent="0.35">
      <c r="A52" s="16" t="s">
        <v>358</v>
      </c>
      <c r="B52" s="16" t="s">
        <v>357</v>
      </c>
      <c r="C52" s="17">
        <f>_xll.BDH("CHTR US Equity","CF_EFFECT_FOREIGN_EXCHANGES","FQ1 2018","FQ1 2018","Currency=USD","Period=FQ","BEST_FPERIOD_OVERRIDE=FQ","FILING_STATUS=MR","SCALING_FORMAT=MLN","Sort=A","Dates=H","DateFormat=P","Fill=—","Direction=H","UseDPDF=Y")</f>
        <v>0</v>
      </c>
      <c r="D52" s="17">
        <f>_xll.BDH("CHTR US Equity","CF_EFFECT_FOREIGN_EXCHANGES","FQ2 2018","FQ2 2018","Currency=USD","Period=FQ","BEST_FPERIOD_OVERRIDE=FQ","FILING_STATUS=MR","SCALING_FORMAT=MLN","Sort=A","Dates=H","DateFormat=P","Fill=—","Direction=H","UseDPDF=Y")</f>
        <v>0</v>
      </c>
      <c r="E52" s="17">
        <f>_xll.BDH("CHTR US Equity","CF_EFFECT_FOREIGN_EXCHANGES","FQ3 2018","FQ3 2018","Currency=USD","Period=FQ","BEST_FPERIOD_OVERRIDE=FQ","FILING_STATUS=MR","SCALING_FORMAT=MLN","Sort=A","Dates=H","DateFormat=P","Fill=—","Direction=H","UseDPDF=Y")</f>
        <v>0</v>
      </c>
      <c r="F52" s="17">
        <f>_xll.BDH("CHTR US Equity","CF_EFFECT_FOREIGN_EXCHANGES","FQ4 2018","FQ4 2018","Currency=USD","Period=FQ","BEST_FPERIOD_OVERRIDE=FQ","FILING_STATUS=MR","SCALING_FORMAT=MLN","Sort=A","Dates=H","DateFormat=P","Fill=—","Direction=H","UseDPDF=Y")</f>
        <v>0</v>
      </c>
      <c r="G52" s="17">
        <f>_xll.BDH("CHTR US Equity","CF_EFFECT_FOREIGN_EXCHANGES","FQ1 2019","FQ1 2019","Currency=USD","Period=FQ","BEST_FPERIOD_OVERRIDE=FQ","FILING_STATUS=MR","SCALING_FORMAT=MLN","Sort=A","Dates=H","DateFormat=P","Fill=—","Direction=H","UseDPDF=Y")</f>
        <v>0</v>
      </c>
      <c r="H52" s="17">
        <f>_xll.BDH("CHTR US Equity","CF_EFFECT_FOREIGN_EXCHANGES","FQ2 2019","FQ2 2019","Currency=USD","Period=FQ","BEST_FPERIOD_OVERRIDE=FQ","FILING_STATUS=MR","SCALING_FORMAT=MLN","Sort=A","Dates=H","DateFormat=P","Fill=—","Direction=H","UseDPDF=Y")</f>
        <v>0</v>
      </c>
      <c r="I52" s="17">
        <f>_xll.BDH("CHTR US Equity","CF_EFFECT_FOREIGN_EXCHANGES","FQ3 2019","FQ3 2019","Currency=USD","Period=FQ","BEST_FPERIOD_OVERRIDE=FQ","FILING_STATUS=MR","SCALING_FORMAT=MLN","Sort=A","Dates=H","DateFormat=P","Fill=—","Direction=H","UseDPDF=Y")</f>
        <v>0</v>
      </c>
      <c r="J52" s="17">
        <f>_xll.BDH("CHTR US Equity","CF_EFFECT_FOREIGN_EXCHANGES","FQ4 2019","FQ4 2019","Currency=USD","Period=FQ","BEST_FPERIOD_OVERRIDE=FQ","FILING_STATUS=MR","SCALING_FORMAT=MLN","Sort=A","Dates=H","DateFormat=P","Fill=—","Direction=H","UseDPDF=Y")</f>
        <v>0</v>
      </c>
      <c r="K52" s="17">
        <f>_xll.BDH("CHTR US Equity","CF_EFFECT_FOREIGN_EXCHANGES","FQ1 2020","FQ1 2020","Currency=USD","Period=FQ","BEST_FPERIOD_OVERRIDE=FQ","FILING_STATUS=MR","SCALING_FORMAT=MLN","Sort=A","Dates=H","DateFormat=P","Fill=—","Direction=H","UseDPDF=Y")</f>
        <v>0</v>
      </c>
      <c r="L52" s="17">
        <f>_xll.BDH("CHTR US Equity","CF_EFFECT_FOREIGN_EXCHANGES","FQ2 2020","FQ2 2020","Currency=USD","Period=FQ","BEST_FPERIOD_OVERRIDE=FQ","FILING_STATUS=MR","SCALING_FORMAT=MLN","Sort=A","Dates=H","DateFormat=P","Fill=—","Direction=H","UseDPDF=Y")</f>
        <v>0</v>
      </c>
    </row>
    <row r="53" spans="1:12" x14ac:dyDescent="0.3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spans="1:12" x14ac:dyDescent="0.35">
      <c r="A54" s="12" t="s">
        <v>356</v>
      </c>
      <c r="B54" s="12" t="s">
        <v>355</v>
      </c>
      <c r="C54" s="10">
        <f>_xll.BDH("CHTR US Equity","CF_NET_CHNG_CASH","FQ1 2018","FQ1 2018","Currency=USD","Period=FQ","BEST_FPERIOD_OVERRIDE=FQ","FILING_STATUS=MR","SCALING_FORMAT=MLN","Sort=A","Dates=H","DateFormat=P","Fill=—","Direction=H","UseDPDF=Y")</f>
        <v>-45</v>
      </c>
      <c r="D54" s="10">
        <f>_xll.BDH("CHTR US Equity","CF_NET_CHNG_CASH","FQ2 2018","FQ2 2018","Currency=USD","Period=FQ","BEST_FPERIOD_OVERRIDE=FQ","FILING_STATUS=MR","SCALING_FORMAT=MLN","Sort=A","Dates=H","DateFormat=P","Fill=—","Direction=H","UseDPDF=Y")</f>
        <v>197</v>
      </c>
      <c r="E54" s="10">
        <f>_xll.BDH("CHTR US Equity","CF_NET_CHNG_CASH","FQ3 2018","FQ3 2018","Currency=USD","Period=FQ","BEST_FPERIOD_OVERRIDE=FQ","FILING_STATUS=MR","SCALING_FORMAT=MLN","Sort=A","Dates=H","DateFormat=P","Fill=—","Direction=H","UseDPDF=Y")</f>
        <v>-113</v>
      </c>
      <c r="F54" s="10">
        <f>_xll.BDH("CHTR US Equity","CF_NET_CHNG_CASH","FQ4 2018","FQ4 2018","Currency=USD","Period=FQ","BEST_FPERIOD_OVERRIDE=FQ","FILING_STATUS=MR","SCALING_FORMAT=MLN","Sort=A","Dates=H","DateFormat=P","Fill=—","Direction=H","UseDPDF=Y")</f>
        <v>105</v>
      </c>
      <c r="G54" s="10">
        <f>_xll.BDH("CHTR US Equity","CF_NET_CHNG_CASH","FQ1 2019","FQ1 2019","Currency=USD","Period=FQ","BEST_FPERIOD_OVERRIDE=FQ","FILING_STATUS=MR","SCALING_FORMAT=MLN","Sort=A","Dates=H","DateFormat=P","Fill=—","Direction=H","UseDPDF=Y")</f>
        <v>861</v>
      </c>
      <c r="H54" s="10">
        <f>_xll.BDH("CHTR US Equity","CF_NET_CHNG_CASH","FQ2 2019","FQ2 2019","Currency=USD","Period=FQ","BEST_FPERIOD_OVERRIDE=FQ","FILING_STATUS=MR","SCALING_FORMAT=MLN","Sort=A","Dates=H","DateFormat=P","Fill=—","Direction=H","UseDPDF=Y")</f>
        <v>-780</v>
      </c>
      <c r="I54" s="10">
        <f>_xll.BDH("CHTR US Equity","CF_NET_CHNG_CASH","FQ3 2019","FQ3 2019","Currency=USD","Period=FQ","BEST_FPERIOD_OVERRIDE=FQ","FILING_STATUS=MR","SCALING_FORMAT=MLN","Sort=A","Dates=H","DateFormat=P","Fill=—","Direction=H","UseDPDF=Y")</f>
        <v>-249</v>
      </c>
      <c r="J54" s="10">
        <f>_xll.BDH("CHTR US Equity","CF_NET_CHNG_CASH","FQ4 2019","FQ4 2019","Currency=USD","Period=FQ","BEST_FPERIOD_OVERRIDE=FQ","FILING_STATUS=MR","SCALING_FORMAT=MLN","Sort=A","Dates=H","DateFormat=P","Fill=—","Direction=H","UseDPDF=Y")</f>
        <v>2952</v>
      </c>
      <c r="K54" s="10">
        <f>_xll.BDH("CHTR US Equity","CF_NET_CHNG_CASH","FQ1 2020","FQ1 2020","Currency=USD","Period=FQ","BEST_FPERIOD_OVERRIDE=FQ","FILING_STATUS=MR","SCALING_FORMAT=MLN","Sort=A","Dates=H","DateFormat=P","Fill=—","Direction=H","UseDPDF=Y")</f>
        <v>-613</v>
      </c>
      <c r="L54" s="10">
        <f>_xll.BDH("CHTR US Equity","CF_NET_CHNG_CASH","FQ2 2020","FQ2 2020","Currency=USD","Period=FQ","BEST_FPERIOD_OVERRIDE=FQ","FILING_STATUS=MR","SCALING_FORMAT=MLN","Sort=A","Dates=H","DateFormat=P","Fill=—","Direction=H","UseDPDF=Y")</f>
        <v>-834</v>
      </c>
    </row>
    <row r="55" spans="1:12" x14ac:dyDescent="0.35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spans="1:12" x14ac:dyDescent="0.35">
      <c r="A56" s="12" t="s">
        <v>354</v>
      </c>
      <c r="B56" s="12" t="s">
        <v>353</v>
      </c>
      <c r="C56" s="10">
        <f>_xll.BDH("CHTR US Equity","CF_CASH_PAID_FOR_TAX","FQ1 2018","FQ1 2018","Currency=USD","Period=FQ","BEST_FPERIOD_OVERRIDE=FQ","FILING_STATUS=MR","SCALING_FORMAT=MLN","Sort=A","Dates=H","DateFormat=P","Fill=—","Direction=H","UseDPDF=Y")</f>
        <v>1</v>
      </c>
      <c r="D56" s="10">
        <f>_xll.BDH("CHTR US Equity","CF_CASH_PAID_FOR_TAX","FQ2 2018","FQ2 2018","Currency=USD","Period=FQ","BEST_FPERIOD_OVERRIDE=FQ","FILING_STATUS=MR","SCALING_FORMAT=MLN","Sort=A","Dates=H","DateFormat=P","Fill=—","Direction=H","UseDPDF=Y")</f>
        <v>21</v>
      </c>
      <c r="E56" s="10">
        <f>_xll.BDH("CHTR US Equity","CF_CASH_PAID_FOR_TAX","FQ3 2018","FQ3 2018","Currency=USD","Period=FQ","BEST_FPERIOD_OVERRIDE=FQ","FILING_STATUS=MR","SCALING_FORMAT=MLN","Sort=A","Dates=H","DateFormat=P","Fill=—","Direction=H","UseDPDF=Y")</f>
        <v>5</v>
      </c>
      <c r="F56" s="10">
        <f>_xll.BDH("CHTR US Equity","CF_CASH_PAID_FOR_TAX","FQ4 2018","FQ4 2018","Currency=USD","Period=FQ","BEST_FPERIOD_OVERRIDE=FQ","FILING_STATUS=MR","SCALING_FORMAT=MLN","Sort=A","Dates=H","DateFormat=P","Fill=—","Direction=H","UseDPDF=Y")</f>
        <v>18</v>
      </c>
      <c r="G56" s="10">
        <f>_xll.BDH("CHTR US Equity","CF_CASH_PAID_FOR_TAX","FQ1 2019","FQ1 2019","Currency=USD","Period=FQ","BEST_FPERIOD_OVERRIDE=FQ","FILING_STATUS=MR","SCALING_FORMAT=MLN","Sort=A","Dates=H","DateFormat=P","Fill=—","Direction=H","UseDPDF=Y")</f>
        <v>4</v>
      </c>
      <c r="H56" s="10">
        <f>_xll.BDH("CHTR US Equity","CF_CASH_PAID_FOR_TAX","FQ2 2019","FQ2 2019","Currency=USD","Period=FQ","BEST_FPERIOD_OVERRIDE=FQ","FILING_STATUS=MR","SCALING_FORMAT=MLN","Sort=A","Dates=H","DateFormat=P","Fill=—","Direction=H","UseDPDF=Y")</f>
        <v>39</v>
      </c>
      <c r="I56" s="10">
        <f>_xll.BDH("CHTR US Equity","CF_CASH_PAID_FOR_TAX","FQ3 2019","FQ3 2019","Currency=USD","Period=FQ","BEST_FPERIOD_OVERRIDE=FQ","FILING_STATUS=MR","SCALING_FORMAT=MLN","Sort=A","Dates=H","DateFormat=P","Fill=—","Direction=H","UseDPDF=Y")</f>
        <v>12</v>
      </c>
      <c r="J56" s="10">
        <f>_xll.BDH("CHTR US Equity","CF_CASH_PAID_FOR_TAX","FQ4 2019","FQ4 2019","Currency=USD","Period=FQ","BEST_FPERIOD_OVERRIDE=FQ","FILING_STATUS=MR","SCALING_FORMAT=MLN","Sort=A","Dates=H","DateFormat=P","Fill=—","Direction=H","UseDPDF=Y")</f>
        <v>16</v>
      </c>
      <c r="K56" s="10">
        <f>_xll.BDH("CHTR US Equity","CF_CASH_PAID_FOR_TAX","FQ1 2020","FQ1 2020","Currency=USD","Period=FQ","BEST_FPERIOD_OVERRIDE=FQ","FILING_STATUS=MR","SCALING_FORMAT=MLN","Sort=A","Dates=H","DateFormat=P","Fill=—","Direction=H","UseDPDF=Y")</f>
        <v>19</v>
      </c>
      <c r="L56" s="10">
        <f>_xll.BDH("CHTR US Equity","CF_CASH_PAID_FOR_TAX","FQ2 2020","FQ2 2020","Currency=USD","Period=FQ","BEST_FPERIOD_OVERRIDE=FQ","FILING_STATUS=MR","SCALING_FORMAT=MLN","Sort=A","Dates=H","DateFormat=P","Fill=—","Direction=H","UseDPDF=Y")</f>
        <v>31</v>
      </c>
    </row>
    <row r="57" spans="1:12" x14ac:dyDescent="0.35">
      <c r="A57" s="12" t="s">
        <v>352</v>
      </c>
      <c r="B57" s="12" t="s">
        <v>351</v>
      </c>
      <c r="C57" s="10">
        <f>_xll.BDH("CHTR US Equity","CF_ACT_CASH_PAID_FOR_INT_DEBT","FQ1 2018","FQ1 2018","Currency=USD","Period=FQ","BEST_FPERIOD_OVERRIDE=FQ","FILING_STATUS=MR","SCALING_FORMAT=MLN","Sort=A","Dates=H","DateFormat=P","Fill=—","Direction=H","UseDPDF=Y")</f>
        <v>1007</v>
      </c>
      <c r="D57" s="10">
        <f>_xll.BDH("CHTR US Equity","CF_ACT_CASH_PAID_FOR_INT_DEBT","FQ2 2018","FQ2 2018","Currency=USD","Period=FQ","BEST_FPERIOD_OVERRIDE=FQ","FILING_STATUS=MR","SCALING_FORMAT=MLN","Sort=A","Dates=H","DateFormat=P","Fill=—","Direction=H","UseDPDF=Y")</f>
        <v>882</v>
      </c>
      <c r="E57" s="10">
        <f>_xll.BDH("CHTR US Equity","CF_ACT_CASH_PAID_FOR_INT_DEBT","FQ3 2018","FQ3 2018","Currency=USD","Period=FQ","BEST_FPERIOD_OVERRIDE=FQ","FILING_STATUS=MR","SCALING_FORMAT=MLN","Sort=A","Dates=H","DateFormat=P","Fill=—","Direction=H","UseDPDF=Y")</f>
        <v>1031</v>
      </c>
      <c r="F57" s="10">
        <f>_xll.BDH("CHTR US Equity","CF_ACT_CASH_PAID_FOR_INT_DEBT","FQ4 2018","FQ4 2018","Currency=USD","Period=FQ","BEST_FPERIOD_OVERRIDE=FQ","FILING_STATUS=MR","SCALING_FORMAT=MLN","Sort=A","Dates=H","DateFormat=P","Fill=—","Direction=H","UseDPDF=Y")</f>
        <v>945</v>
      </c>
      <c r="G57" s="10">
        <f>_xll.BDH("CHTR US Equity","CF_ACT_CASH_PAID_FOR_INT_DEBT","FQ1 2019","FQ1 2019","Currency=USD","Period=FQ","BEST_FPERIOD_OVERRIDE=FQ","FILING_STATUS=MR","SCALING_FORMAT=MLN","Sort=A","Dates=H","DateFormat=P","Fill=—","Direction=H","UseDPDF=Y")</f>
        <v>966</v>
      </c>
      <c r="H57" s="10">
        <f>_xll.BDH("CHTR US Equity","CF_ACT_CASH_PAID_FOR_INT_DEBT","FQ2 2019","FQ2 2019","Currency=USD","Period=FQ","BEST_FPERIOD_OVERRIDE=FQ","FILING_STATUS=MR","SCALING_FORMAT=MLN","Sort=A","Dates=H","DateFormat=P","Fill=—","Direction=H","UseDPDF=Y")</f>
        <v>1051</v>
      </c>
      <c r="I57" s="10">
        <f>_xll.BDH("CHTR US Equity","CF_ACT_CASH_PAID_FOR_INT_DEBT","FQ3 2019","FQ3 2019","Currency=USD","Period=FQ","BEST_FPERIOD_OVERRIDE=FQ","FILING_STATUS=MR","SCALING_FORMAT=MLN","Sort=A","Dates=H","DateFormat=P","Fill=—","Direction=H","UseDPDF=Y")</f>
        <v>1048</v>
      </c>
      <c r="J57" s="10">
        <f>_xll.BDH("CHTR US Equity","CF_ACT_CASH_PAID_FOR_INT_DEBT","FQ4 2019","FQ4 2019","Currency=USD","Period=FQ","BEST_FPERIOD_OVERRIDE=FQ","FILING_STATUS=MR","SCALING_FORMAT=MLN","Sort=A","Dates=H","DateFormat=P","Fill=—","Direction=H","UseDPDF=Y")</f>
        <v>898</v>
      </c>
      <c r="K57" s="10">
        <f>_xll.BDH("CHTR US Equity","CF_ACT_CASH_PAID_FOR_INT_DEBT","FQ1 2020","FQ1 2020","Currency=USD","Period=FQ","BEST_FPERIOD_OVERRIDE=FQ","FILING_STATUS=MR","SCALING_FORMAT=MLN","Sort=A","Dates=H","DateFormat=P","Fill=—","Direction=H","UseDPDF=Y")</f>
        <v>1050</v>
      </c>
      <c r="L57" s="10">
        <f>_xll.BDH("CHTR US Equity","CF_ACT_CASH_PAID_FOR_INT_DEBT","FQ2 2020","FQ2 2020","Currency=USD","Period=FQ","BEST_FPERIOD_OVERRIDE=FQ","FILING_STATUS=MR","SCALING_FORMAT=MLN","Sort=A","Dates=H","DateFormat=P","Fill=—","Direction=H","UseDPDF=Y")</f>
        <v>935</v>
      </c>
    </row>
    <row r="58" spans="1:12" x14ac:dyDescent="0.35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spans="1:12" x14ac:dyDescent="0.35">
      <c r="A59" s="12" t="s">
        <v>2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 spans="1:12" x14ac:dyDescent="0.35">
      <c r="A60" s="16" t="s">
        <v>45</v>
      </c>
      <c r="B60" s="16" t="s">
        <v>45</v>
      </c>
      <c r="C60" s="17">
        <f>_xll.BDH("CHTR US Equity","EBITDA","FQ1 2018","FQ1 2018","Currency=USD","Period=FQ","BEST_FPERIOD_OVERRIDE=FQ","FILING_STATUS=MR","SCALING_FORMAT=MLN","FA_ADJUSTED=GAAP","Sort=A","Dates=H","DateFormat=P","Fill=—","Direction=H","UseDPDF=Y")</f>
        <v>3752</v>
      </c>
      <c r="D60" s="17">
        <f>_xll.BDH("CHTR US Equity","EBITDA","FQ2 2018","FQ2 2018","Currency=USD","Period=FQ","BEST_FPERIOD_OVERRIDE=FQ","FILING_STATUS=MR","SCALING_FORMAT=MLN","FA_ADJUSTED=GAAP","Sort=A","Dates=H","DateFormat=P","Fill=—","Direction=H","UseDPDF=Y")</f>
        <v>3952</v>
      </c>
      <c r="E60" s="17">
        <f>_xll.BDH("CHTR US Equity","EBITDA","FQ3 2018","FQ3 2018","Currency=USD","Period=FQ","BEST_FPERIOD_OVERRIDE=FQ","FILING_STATUS=MR","SCALING_FORMAT=MLN","FA_ADJUSTED=GAAP","Sort=A","Dates=H","DateFormat=P","Fill=—","Direction=H","UseDPDF=Y")</f>
        <v>3862</v>
      </c>
      <c r="F60" s="17">
        <f>_xll.BDH("CHTR US Equity","EBITDA","FQ4 2018","FQ4 2018","Currency=USD","Period=FQ","BEST_FPERIOD_OVERRIDE=FQ","FILING_STATUS=MR","SCALING_FORMAT=MLN","FA_ADJUSTED=GAAP","Sort=A","Dates=H","DateFormat=P","Fill=—","Direction=H","UseDPDF=Y")</f>
        <v>3973</v>
      </c>
      <c r="G60" s="17">
        <f>_xll.BDH("CHTR US Equity","EBITDA","FQ1 2019","FQ1 2019","Currency=USD","Period=FQ","BEST_FPERIOD_OVERRIDE=FQ","FILING_STATUS=MR","SCALING_FORMAT=MLN","FA_ADJUSTED=GAAP","Sort=A","Dates=H","DateFormat=P","Fill=—","Direction=H","UseDPDF=Y")</f>
        <v>4039</v>
      </c>
      <c r="H60" s="17">
        <f>_xll.BDH("CHTR US Equity","EBITDA","FQ2 2019","FQ2 2019","Currency=USD","Period=FQ","BEST_FPERIOD_OVERRIDE=FQ","FILING_STATUS=MR","SCALING_FORMAT=MLN","FA_ADJUSTED=GAAP","Sort=A","Dates=H","DateFormat=P","Fill=—","Direction=H","UseDPDF=Y")</f>
        <v>4113</v>
      </c>
      <c r="I60" s="17">
        <f>_xll.BDH("CHTR US Equity","EBITDA","FQ3 2019","FQ3 2019","Currency=USD","Period=FQ","BEST_FPERIOD_OVERRIDE=FQ","FILING_STATUS=MR","SCALING_FORMAT=MLN","FA_ADJUSTED=GAAP","Sort=A","Dates=H","DateFormat=P","Fill=—","Direction=H","UseDPDF=Y")</f>
        <v>4069</v>
      </c>
      <c r="J60" s="17">
        <f>_xll.BDH("CHTR US Equity","EBITDA","FQ4 2019","FQ4 2019","Currency=USD","Period=FQ","BEST_FPERIOD_OVERRIDE=FQ","FILING_STATUS=MR","SCALING_FORMAT=MLN","FA_ADJUSTED=GAAP","Sort=A","Dates=H","DateFormat=P","Fill=—","Direction=H","UseDPDF=Y")</f>
        <v>4486</v>
      </c>
      <c r="K60" s="17">
        <f>_xll.BDH("CHTR US Equity","EBITDA","FQ1 2020","FQ1 2020","Currency=USD","Period=FQ","BEST_FPERIOD_OVERRIDE=FQ","FILING_STATUS=MR","SCALING_FORMAT=MLN","FA_ADJUSTED=GAAP","Sort=A","Dates=H","DateFormat=P","Fill=—","Direction=H","UseDPDF=Y")</f>
        <v>4372</v>
      </c>
      <c r="L60" s="17">
        <f>_xll.BDH("CHTR US Equity","EBITDA","FQ2 2020","FQ2 2020","Currency=USD","Period=FQ","BEST_FPERIOD_OVERRIDE=FQ","FILING_STATUS=MR","SCALING_FORMAT=MLN","FA_ADJUSTED=GAAP","Sort=A","Dates=H","DateFormat=P","Fill=—","Direction=H","UseDPDF=Y")</f>
        <v>4473</v>
      </c>
    </row>
    <row r="61" spans="1:12" x14ac:dyDescent="0.35">
      <c r="A61" s="16" t="s">
        <v>350</v>
      </c>
      <c r="B61" s="16" t="s">
        <v>75</v>
      </c>
      <c r="C61" s="15">
        <f>_xll.BDH("CHTR US Equity","EBITDA_MARGIN","FQ1 2018","FQ1 2018","Currency=USD","Period=FQ","BEST_FPERIOD_OVERRIDE=FQ","FILING_STATUS=MR","FA_ADJUSTED=GAAP","Sort=A","Dates=H","DateFormat=P","Fill=—","Direction=H","UseDPDF=Y")</f>
        <v>35.544499999999999</v>
      </c>
      <c r="D61" s="15">
        <f>_xll.BDH("CHTR US Equity","EBITDA_MARGIN","FQ2 2018","FQ2 2018","Currency=USD","Period=FQ","BEST_FPERIOD_OVERRIDE=FQ","FILING_STATUS=MR","FA_ADJUSTED=GAAP","Sort=A","Dates=H","DateFormat=P","Fill=—","Direction=H","UseDPDF=Y")</f>
        <v>35.845999999999997</v>
      </c>
      <c r="E61" s="15">
        <f>_xll.BDH("CHTR US Equity","EBITDA_MARGIN","FQ3 2018","FQ3 2018","Currency=USD","Period=FQ","BEST_FPERIOD_OVERRIDE=FQ","FILING_STATUS=MR","FA_ADJUSTED=GAAP","Sort=A","Dates=H","DateFormat=P","Fill=—","Direction=H","UseDPDF=Y")</f>
        <v>36.0702</v>
      </c>
      <c r="F61" s="15">
        <f>_xll.BDH("CHTR US Equity","EBITDA_MARGIN","FQ4 2018","FQ4 2018","Currency=USD","Period=FQ","BEST_FPERIOD_OVERRIDE=FQ","FILING_STATUS=MR","FA_ADJUSTED=GAAP","Sort=A","Dates=H","DateFormat=P","Fill=—","Direction=H","UseDPDF=Y")</f>
        <v>35.612099999999998</v>
      </c>
      <c r="G61" s="15">
        <f>_xll.BDH("CHTR US Equity","EBITDA_MARGIN","FQ1 2019","FQ1 2019","Currency=USD","Period=FQ","BEST_FPERIOD_OVERRIDE=FQ","FILING_STATUS=MR","FA_ADJUSTED=GAAP","Sort=A","Dates=H","DateFormat=P","Fill=—","Direction=H","UseDPDF=Y")</f>
        <v>35.819200000000002</v>
      </c>
      <c r="H61" s="15">
        <f>_xll.BDH("CHTR US Equity","EBITDA_MARGIN","FQ2 2019","FQ2 2019","Currency=USD","Period=FQ","BEST_FPERIOD_OVERRIDE=FQ","FILING_STATUS=MR","FA_ADJUSTED=GAAP","Sort=A","Dates=H","DateFormat=P","Fill=—","Direction=H","UseDPDF=Y")</f>
        <v>35.784300000000002</v>
      </c>
      <c r="I61" s="15">
        <f>_xll.BDH("CHTR US Equity","EBITDA_MARGIN","FQ3 2019","FQ3 2019","Currency=USD","Period=FQ","BEST_FPERIOD_OVERRIDE=FQ","FILING_STATUS=MR","FA_ADJUSTED=GAAP","Sort=A","Dates=H","DateFormat=P","Fill=—","Direction=H","UseDPDF=Y")</f>
        <v>35.8005</v>
      </c>
      <c r="J61" s="15">
        <f>_xll.BDH("CHTR US Equity","EBITDA_MARGIN","FQ4 2019","FQ4 2019","Currency=USD","Period=FQ","BEST_FPERIOD_OVERRIDE=FQ","FILING_STATUS=MR","FA_ADJUSTED=GAAP","Sort=A","Dates=H","DateFormat=P","Fill=—","Direction=H","UseDPDF=Y")</f>
        <v>36.506900000000002</v>
      </c>
      <c r="K61" s="15">
        <f>_xll.BDH("CHTR US Equity","EBITDA_MARGIN","FQ1 2020","FQ1 2020","Currency=USD","Period=FQ","BEST_FPERIOD_OVERRIDE=FQ","FILING_STATUS=MR","FA_ADJUSTED=GAAP","Sort=A","Dates=H","DateFormat=P","Fill=—","Direction=H","UseDPDF=Y")</f>
        <v>36.806600000000003</v>
      </c>
      <c r="L61" s="15">
        <f>_xll.BDH("CHTR US Equity","EBITDA_MARGIN","FQ2 2020","FQ2 2020","Currency=USD","Period=FQ","BEST_FPERIOD_OVERRIDE=FQ","FILING_STATUS=MR","FA_ADJUSTED=GAAP","Sort=A","Dates=H","DateFormat=P","Fill=—","Direction=H","UseDPDF=Y")</f>
        <v>37.302999999999997</v>
      </c>
    </row>
    <row r="62" spans="1:12" x14ac:dyDescent="0.35">
      <c r="A62" s="16" t="s">
        <v>349</v>
      </c>
      <c r="B62" s="16" t="s">
        <v>348</v>
      </c>
      <c r="C62" s="17">
        <f>_xll.BDH("CHTR US Equity","CF_NET_CASH_PAID_FOR_AQUIS","FQ1 2018","FQ1 2018","Currency=USD","Period=FQ","BEST_FPERIOD_OVERRIDE=FQ","FILING_STATUS=MR","SCALING_FORMAT=MLN","Sort=A","Dates=H","DateFormat=P","Fill=—","Direction=H","UseDPDF=Y")</f>
        <v>0</v>
      </c>
      <c r="D62" s="17">
        <f>_xll.BDH("CHTR US Equity","CF_NET_CASH_PAID_FOR_AQUIS","FQ2 2018","FQ2 2018","Currency=USD","Period=FQ","BEST_FPERIOD_OVERRIDE=FQ","FILING_STATUS=MR","SCALING_FORMAT=MLN","Sort=A","Dates=H","DateFormat=P","Fill=—","Direction=H","UseDPDF=Y")</f>
        <v>0</v>
      </c>
      <c r="E62" s="17">
        <f>_xll.BDH("CHTR US Equity","CF_NET_CASH_PAID_FOR_AQUIS","FQ3 2018","FQ3 2018","Currency=USD","Period=FQ","BEST_FPERIOD_OVERRIDE=FQ","FILING_STATUS=MR","SCALING_FORMAT=MLN","Sort=A","Dates=H","DateFormat=P","Fill=—","Direction=H","UseDPDF=Y")</f>
        <v>0</v>
      </c>
      <c r="F62" s="17">
        <f>_xll.BDH("CHTR US Equity","CF_NET_CASH_PAID_FOR_AQUIS","FQ4 2018","FQ4 2018","Currency=USD","Period=FQ","BEST_FPERIOD_OVERRIDE=FQ","FILING_STATUS=MR","SCALING_FORMAT=MLN","Sort=A","Dates=H","DateFormat=P","Fill=—","Direction=H","UseDPDF=Y")</f>
        <v>0</v>
      </c>
      <c r="G62" s="17">
        <f>_xll.BDH("CHTR US Equity","CF_NET_CASH_PAID_FOR_AQUIS","FQ1 2019","FQ1 2019","Currency=USD","Period=FQ","BEST_FPERIOD_OVERRIDE=FQ","FILING_STATUS=MR","SCALING_FORMAT=MLN","Sort=A","Dates=H","DateFormat=P","Fill=—","Direction=H","UseDPDF=Y")</f>
        <v>0</v>
      </c>
      <c r="H62" s="17" t="str">
        <f>_xll.BDH("CHTR US Equity","CF_NET_CASH_PAID_FOR_AQUIS","FQ2 2019","FQ2 2019","Currency=USD","Period=FQ","BEST_FPERIOD_OVERRIDE=FQ","FILING_STATUS=MR","SCALING_FORMAT=MLN","Sort=A","Dates=H","DateFormat=P","Fill=—","Direction=H","UseDPDF=Y")</f>
        <v>—</v>
      </c>
      <c r="I62" s="17">
        <f>_xll.BDH("CHTR US Equity","CF_NET_CASH_PAID_FOR_AQUIS","FQ3 2019","FQ3 2019","Currency=USD","Period=FQ","BEST_FPERIOD_OVERRIDE=FQ","FILING_STATUS=MR","SCALING_FORMAT=MLN","Sort=A","Dates=H","DateFormat=P","Fill=—","Direction=H","UseDPDF=Y")</f>
        <v>0</v>
      </c>
      <c r="J62" s="17">
        <f>_xll.BDH("CHTR US Equity","CF_NET_CASH_PAID_FOR_AQUIS","FQ4 2019","FQ4 2019","Currency=USD","Period=FQ","BEST_FPERIOD_OVERRIDE=FQ","FILING_STATUS=MR","SCALING_FORMAT=MLN","Sort=A","Dates=H","DateFormat=P","Fill=—","Direction=H","UseDPDF=Y")</f>
        <v>0</v>
      </c>
      <c r="K62" s="17">
        <f>_xll.BDH("CHTR US Equity","CF_NET_CASH_PAID_FOR_AQUIS","FQ1 2020","FQ1 2020","Currency=USD","Period=FQ","BEST_FPERIOD_OVERRIDE=FQ","FILING_STATUS=MR","SCALING_FORMAT=MLN","Sort=A","Dates=H","DateFormat=P","Fill=—","Direction=H","UseDPDF=Y")</f>
        <v>0</v>
      </c>
      <c r="L62" s="17">
        <f>_xll.BDH("CHTR US Equity","CF_NET_CASH_PAID_FOR_AQUIS","FQ2 2020","FQ2 2020","Currency=USD","Period=FQ","BEST_FPERIOD_OVERRIDE=FQ","FILING_STATUS=MR","SCALING_FORMAT=MLN","Sort=A","Dates=H","DateFormat=P","Fill=—","Direction=H","UseDPDF=Y")</f>
        <v>0</v>
      </c>
    </row>
    <row r="63" spans="1:12" x14ac:dyDescent="0.35">
      <c r="A63" s="16" t="s">
        <v>54</v>
      </c>
      <c r="B63" s="16" t="s">
        <v>55</v>
      </c>
      <c r="C63" s="17">
        <f>_xll.BDH("CHTR US Equity","CF_FREE_CASH_FLOW","FQ1 2018","FQ1 2018","Currency=USD","Period=FQ","BEST_FPERIOD_OVERRIDE=FQ","FILING_STATUS=MR","SCALING_FORMAT=MLN","Sort=A","Dates=H","DateFormat=P","Fill=—","Direction=H","UseDPDF=Y")</f>
        <v>516</v>
      </c>
      <c r="D63" s="17">
        <f>_xll.BDH("CHTR US Equity","CF_FREE_CASH_FLOW","FQ2 2018","FQ2 2018","Currency=USD","Period=FQ","BEST_FPERIOD_OVERRIDE=FQ","FILING_STATUS=MR","SCALING_FORMAT=MLN","Sort=A","Dates=H","DateFormat=P","Fill=—","Direction=H","UseDPDF=Y")</f>
        <v>705</v>
      </c>
      <c r="E63" s="17">
        <f>_xll.BDH("CHTR US Equity","CF_FREE_CASH_FLOW","FQ3 2018","FQ3 2018","Currency=USD","Period=FQ","BEST_FPERIOD_OVERRIDE=FQ","FILING_STATUS=MR","SCALING_FORMAT=MLN","Sort=A","Dates=H","DateFormat=P","Fill=—","Direction=H","UseDPDF=Y")</f>
        <v>686</v>
      </c>
      <c r="F63" s="17">
        <f>_xll.BDH("CHTR US Equity","CF_FREE_CASH_FLOW","FQ4 2018","FQ4 2018","Currency=USD","Period=FQ","BEST_FPERIOD_OVERRIDE=FQ","FILING_STATUS=MR","SCALING_FORMAT=MLN","Sort=A","Dates=H","DateFormat=P","Fill=—","Direction=H","UseDPDF=Y")</f>
        <v>735</v>
      </c>
      <c r="G63" s="17">
        <f>_xll.BDH("CHTR US Equity","CF_FREE_CASH_FLOW","FQ1 2019","FQ1 2019","Currency=USD","Period=FQ","BEST_FPERIOD_OVERRIDE=FQ","FILING_STATUS=MR","SCALING_FORMAT=MLN","Sort=A","Dates=H","DateFormat=P","Fill=—","Direction=H","UseDPDF=Y")</f>
        <v>1021</v>
      </c>
      <c r="H63" s="17">
        <f>_xll.BDH("CHTR US Equity","CF_FREE_CASH_FLOW","FQ2 2019","FQ2 2019","Currency=USD","Period=FQ","BEST_FPERIOD_OVERRIDE=FQ","FILING_STATUS=MR","SCALING_FORMAT=MLN","Sort=A","Dates=H","DateFormat=P","Fill=—","Direction=H","UseDPDF=Y")</f>
        <v>1164</v>
      </c>
      <c r="I63" s="17">
        <f>_xll.BDH("CHTR US Equity","CF_FREE_CASH_FLOW","FQ3 2019","FQ3 2019","Currency=USD","Period=FQ","BEST_FPERIOD_OVERRIDE=FQ","FILING_STATUS=MR","SCALING_FORMAT=MLN","Sort=A","Dates=H","DateFormat=P","Fill=—","Direction=H","UseDPDF=Y")</f>
        <v>1292</v>
      </c>
      <c r="J63" s="17">
        <f>_xll.BDH("CHTR US Equity","CF_FREE_CASH_FLOW","FQ4 2019","FQ4 2019","Currency=USD","Period=FQ","BEST_FPERIOD_OVERRIDE=FQ","FILING_STATUS=MR","SCALING_FORMAT=MLN","Sort=A","Dates=H","DateFormat=P","Fill=—","Direction=H","UseDPDF=Y")</f>
        <v>1076</v>
      </c>
      <c r="K63" s="17">
        <f>_xll.BDH("CHTR US Equity","CF_FREE_CASH_FLOW","FQ1 2020","FQ1 2020","Currency=USD","Period=FQ","BEST_FPERIOD_OVERRIDE=FQ","FILING_STATUS=MR","SCALING_FORMAT=MLN","Sort=A","Dates=H","DateFormat=P","Fill=—","Direction=H","UseDPDF=Y")</f>
        <v>1759</v>
      </c>
      <c r="L63" s="17">
        <f>_xll.BDH("CHTR US Equity","CF_FREE_CASH_FLOW","FQ2 2020","FQ2 2020","Currency=USD","Period=FQ","BEST_FPERIOD_OVERRIDE=FQ","FILING_STATUS=MR","SCALING_FORMAT=MLN","Sort=A","Dates=H","DateFormat=P","Fill=—","Direction=H","UseDPDF=Y")</f>
        <v>1652</v>
      </c>
    </row>
    <row r="64" spans="1:12" x14ac:dyDescent="0.35">
      <c r="A64" s="16" t="s">
        <v>347</v>
      </c>
      <c r="B64" s="16" t="s">
        <v>346</v>
      </c>
      <c r="C64" s="17">
        <f>_xll.BDH("CHTR US Equity","CF_FREE_CASH_FLOW_FIRM","FQ1 2018","FQ1 2018","Currency=USD","Period=FQ","BEST_FPERIOD_OVERRIDE=FQ","FILING_STATUS=MR","SCALING_FORMAT=MLN","FA_ADJUSTED=GAAP","Sort=A","Dates=H","DateFormat=P","Fill=—","Direction=H","UseDPDF=Y")</f>
        <v>1272.0677000000001</v>
      </c>
      <c r="D64" s="17">
        <f>_xll.BDH("CHTR US Equity","CF_FREE_CASH_FLOW_FIRM","FQ2 2018","FQ2 2018","Currency=USD","Period=FQ","BEST_FPERIOD_OVERRIDE=FQ","FILING_STATUS=MR","SCALING_FORMAT=MLN","FA_ADJUSTED=GAAP","Sort=A","Dates=H","DateFormat=P","Fill=—","Direction=H","UseDPDF=Y")</f>
        <v>1488.2683999999999</v>
      </c>
      <c r="E64" s="17">
        <f>_xll.BDH("CHTR US Equity","CF_FREE_CASH_FLOW_FIRM","FQ3 2018","FQ3 2018","Currency=USD","Period=FQ","BEST_FPERIOD_OVERRIDE=FQ","FILING_STATUS=MR","SCALING_FORMAT=MLN","FA_ADJUSTED=GAAP","Sort=A","Dates=H","DateFormat=P","Fill=—","Direction=H","UseDPDF=Y")</f>
        <v>1445.2843</v>
      </c>
      <c r="F64" s="17">
        <f>_xll.BDH("CHTR US Equity","CF_FREE_CASH_FLOW_FIRM","FQ4 2018","FQ4 2018","Currency=USD","Period=FQ","BEST_FPERIOD_OVERRIDE=FQ","FILING_STATUS=MR","SCALING_FORMAT=MLN","FA_ADJUSTED=GAAP","Sort=A","Dates=H","DateFormat=P","Fill=—","Direction=H","UseDPDF=Y")</f>
        <v>1639.9724000000001</v>
      </c>
      <c r="G64" s="17">
        <f>_xll.BDH("CHTR US Equity","CF_FREE_CASH_FLOW_FIRM","FQ1 2019","FQ1 2019","Currency=USD","Period=FQ","BEST_FPERIOD_OVERRIDE=FQ","FILING_STATUS=MR","SCALING_FORMAT=MLN","FA_ADJUSTED=GAAP","Sort=A","Dates=H","DateFormat=P","Fill=—","Direction=H","UseDPDF=Y")</f>
        <v>1693.5344</v>
      </c>
      <c r="H64" s="17">
        <f>_xll.BDH("CHTR US Equity","CF_FREE_CASH_FLOW_FIRM","FQ2 2019","FQ2 2019","Currency=USD","Period=FQ","BEST_FPERIOD_OVERRIDE=FQ","FILING_STATUS=MR","SCALING_FORMAT=MLN","FA_ADJUSTED=GAAP","Sort=A","Dates=H","DateFormat=P","Fill=—","Direction=H","UseDPDF=Y")</f>
        <v>1940.1063999999999</v>
      </c>
      <c r="I64" s="17">
        <f>_xll.BDH("CHTR US Equity","CF_FREE_CASH_FLOW_FIRM","FQ3 2019","FQ3 2019","Currency=USD","Period=FQ","BEST_FPERIOD_OVERRIDE=FQ","FILING_STATUS=MR","SCALING_FORMAT=MLN","FA_ADJUSTED=GAAP","Sort=A","Dates=H","DateFormat=P","Fill=—","Direction=H","UseDPDF=Y")</f>
        <v>2050.3827999999999</v>
      </c>
      <c r="J64" s="17">
        <f>_xll.BDH("CHTR US Equity","CF_FREE_CASH_FLOW_FIRM","FQ4 2019","FQ4 2019","Currency=USD","Period=FQ","BEST_FPERIOD_OVERRIDE=FQ","FILING_STATUS=MR","SCALING_FORMAT=MLN","FA_ADJUSTED=GAAP","Sort=A","Dates=H","DateFormat=P","Fill=—","Direction=H","UseDPDF=Y")</f>
        <v>1926.2231999999999</v>
      </c>
      <c r="K64" s="17">
        <f>_xll.BDH("CHTR US Equity","CF_FREE_CASH_FLOW_FIRM","FQ1 2020","FQ1 2020","Currency=USD","Period=FQ","BEST_FPERIOD_OVERRIDE=FQ","FILING_STATUS=MR","SCALING_FORMAT=MLN","FA_ADJUSTED=GAAP","Sort=A","Dates=H","DateFormat=P","Fill=—","Direction=H","UseDPDF=Y")</f>
        <v>2681.7015999999999</v>
      </c>
      <c r="L64" s="17">
        <f>_xll.BDH("CHTR US Equity","CF_FREE_CASH_FLOW_FIRM","FQ2 2020","FQ2 2020","Currency=USD","Period=FQ","BEST_FPERIOD_OVERRIDE=FQ","FILING_STATUS=MR","SCALING_FORMAT=MLN","FA_ADJUSTED=GAAP","Sort=A","Dates=H","DateFormat=P","Fill=—","Direction=H","UseDPDF=Y")</f>
        <v>2456.5412999999999</v>
      </c>
    </row>
    <row r="65" spans="1:12" x14ac:dyDescent="0.35">
      <c r="A65" s="16" t="s">
        <v>345</v>
      </c>
      <c r="B65" s="16" t="s">
        <v>344</v>
      </c>
      <c r="C65" s="17">
        <f>_xll.BDH("CHTR US Equity","FREE_CASH_FLOW_EQUITY","FQ1 2018","FQ1 2018","Currency=USD","Period=FQ","BEST_FPERIOD_OVERRIDE=FQ","FILING_STATUS=MR","SCALING_FORMAT=MLN","Sort=A","Dates=H","DateFormat=P","Fill=—","Direction=H","UseDPDF=Y")</f>
        <v>1260</v>
      </c>
      <c r="D65" s="17">
        <f>_xll.BDH("CHTR US Equity","FREE_CASH_FLOW_EQUITY","FQ2 2018","FQ2 2018","Currency=USD","Period=FQ","BEST_FPERIOD_OVERRIDE=FQ","FILING_STATUS=MR","SCALING_FORMAT=MLN","Sort=A","Dates=H","DateFormat=P","Fill=—","Direction=H","UseDPDF=Y")</f>
        <v>2089</v>
      </c>
      <c r="E65" s="17">
        <f>_xll.BDH("CHTR US Equity","FREE_CASH_FLOW_EQUITY","FQ3 2018","FQ3 2018","Currency=USD","Period=FQ","BEST_FPERIOD_OVERRIDE=FQ","FILING_STATUS=MR","SCALING_FORMAT=MLN","Sort=A","Dates=H","DateFormat=P","Fill=—","Direction=H","UseDPDF=Y")</f>
        <v>1146</v>
      </c>
      <c r="F65" s="17">
        <f>_xll.BDH("CHTR US Equity","FREE_CASH_FLOW_EQUITY","FQ4 2018","FQ4 2018","Currency=USD","Period=FQ","BEST_FPERIOD_OVERRIDE=FQ","FILING_STATUS=MR","SCALING_FORMAT=MLN","Sort=A","Dates=H","DateFormat=P","Fill=—","Direction=H","UseDPDF=Y")</f>
        <v>1198</v>
      </c>
      <c r="G65" s="17">
        <f>_xll.BDH("CHTR US Equity","FREE_CASH_FLOW_EQUITY","FQ1 2019","FQ1 2019","Currency=USD","Period=FQ","BEST_FPERIOD_OVERRIDE=FQ","FILING_STATUS=MR","SCALING_FORMAT=MLN","Sort=A","Dates=H","DateFormat=P","Fill=—","Direction=H","UseDPDF=Y")</f>
        <v>2333</v>
      </c>
      <c r="H65" s="17">
        <f>_xll.BDH("CHTR US Equity","FREE_CASH_FLOW_EQUITY","FQ2 2019","FQ2 2019","Currency=USD","Period=FQ","BEST_FPERIOD_OVERRIDE=FQ","FILING_STATUS=MR","SCALING_FORMAT=MLN","Sort=A","Dates=H","DateFormat=P","Fill=—","Direction=H","UseDPDF=Y")</f>
        <v>443</v>
      </c>
      <c r="I65" s="17">
        <f>_xll.BDH("CHTR US Equity","FREE_CASH_FLOW_EQUITY","FQ3 2019","FQ3 2019","Currency=USD","Period=FQ","BEST_FPERIOD_OVERRIDE=FQ","FILING_STATUS=MR","SCALING_FORMAT=MLN","Sort=A","Dates=H","DateFormat=P","Fill=—","Direction=H","UseDPDF=Y")</f>
        <v>2972</v>
      </c>
      <c r="J65" s="17">
        <f>_xll.BDH("CHTR US Equity","FREE_CASH_FLOW_EQUITY","FQ4 2019","FQ4 2019","Currency=USD","Period=FQ","BEST_FPERIOD_OVERRIDE=FQ","FILING_STATUS=MR","SCALING_FORMAT=MLN","Sort=A","Dates=H","DateFormat=P","Fill=—","Direction=H","UseDPDF=Y")</f>
        <v>5181</v>
      </c>
      <c r="K65" s="17">
        <f>_xll.BDH("CHTR US Equity","FREE_CASH_FLOW_EQUITY","FQ1 2020","FQ1 2020","Currency=USD","Period=FQ","BEST_FPERIOD_OVERRIDE=FQ","FILING_STATUS=MR","SCALING_FORMAT=MLN","Sort=A","Dates=H","DateFormat=P","Fill=—","Direction=H","UseDPDF=Y")</f>
        <v>2509</v>
      </c>
      <c r="L65" s="17">
        <f>_xll.BDH("CHTR US Equity","FREE_CASH_FLOW_EQUITY","FQ2 2020","FQ2 2020","Currency=USD","Period=FQ","BEST_FPERIOD_OVERRIDE=FQ","FILING_STATUS=MR","SCALING_FORMAT=MLN","Sort=A","Dates=H","DateFormat=P","Fill=—","Direction=H","UseDPDF=Y")</f>
        <v>332</v>
      </c>
    </row>
    <row r="66" spans="1:12" x14ac:dyDescent="0.35">
      <c r="A66" s="16" t="s">
        <v>343</v>
      </c>
      <c r="B66" s="16" t="s">
        <v>342</v>
      </c>
      <c r="C66" s="15">
        <f>_xll.BDH("CHTR US Equity","FREE_CASH_FLOW_PER_SH","FQ1 2018","FQ1 2018","Currency=USD","Period=FQ","BEST_FPERIOD_OVERRIDE=FQ","FILING_STATUS=MR","Sort=A","Dates=H","DateFormat=P","Fill=—","Direction=H","UseDPDF=Y")</f>
        <v>2.1701999999999999</v>
      </c>
      <c r="D66" s="15">
        <f>_xll.BDH("CHTR US Equity","FREE_CASH_FLOW_PER_SH","FQ2 2018","FQ2 2018","Currency=USD","Period=FQ","BEST_FPERIOD_OVERRIDE=FQ","FILING_STATUS=MR","Sort=A","Dates=H","DateFormat=P","Fill=—","Direction=H","UseDPDF=Y")</f>
        <v>3.0097</v>
      </c>
      <c r="E66" s="15">
        <f>_xll.BDH("CHTR US Equity","FREE_CASH_FLOW_PER_SH","FQ3 2018","FQ3 2018","Currency=USD","Period=FQ","BEST_FPERIOD_OVERRIDE=FQ","FILING_STATUS=MR","Sort=A","Dates=H","DateFormat=P","Fill=—","Direction=H","UseDPDF=Y")</f>
        <v>2.9754</v>
      </c>
      <c r="F66" s="15">
        <f>_xll.BDH("CHTR US Equity","FREE_CASH_FLOW_PER_SH","FQ4 2018","FQ4 2018","Currency=USD","Period=FQ","BEST_FPERIOD_OVERRIDE=FQ","FILING_STATUS=MR","Sort=A","Dates=H","DateFormat=P","Fill=—","Direction=H","UseDPDF=Y")</f>
        <v>3.2378</v>
      </c>
      <c r="G66" s="15">
        <f>_xll.BDH("CHTR US Equity","FREE_CASH_FLOW_PER_SH","FQ1 2019","FQ1 2019","Currency=USD","Period=FQ","BEST_FPERIOD_OVERRIDE=FQ","FILING_STATUS=MR","Sort=A","Dates=H","DateFormat=P","Fill=—","Direction=H","UseDPDF=Y")</f>
        <v>4.5452000000000004</v>
      </c>
      <c r="H66" s="15">
        <f>_xll.BDH("CHTR US Equity","FREE_CASH_FLOW_PER_SH","FQ2 2019","FQ2 2019","Currency=USD","Period=FQ","BEST_FPERIOD_OVERRIDE=FQ","FILING_STATUS=MR","Sort=A","Dates=H","DateFormat=P","Fill=—","Direction=H","UseDPDF=Y")</f>
        <v>5.234</v>
      </c>
      <c r="I66" s="15">
        <f>_xll.BDH("CHTR US Equity","FREE_CASH_FLOW_PER_SH","FQ3 2019","FQ3 2019","Currency=USD","Period=FQ","BEST_FPERIOD_OVERRIDE=FQ","FILING_STATUS=MR","Sort=A","Dates=H","DateFormat=P","Fill=—","Direction=H","UseDPDF=Y")</f>
        <v>5.9131</v>
      </c>
      <c r="J66" s="15">
        <f>_xll.BDH("CHTR US Equity","FREE_CASH_FLOW_PER_SH","FQ4 2019","FQ4 2019","Currency=USD","Period=FQ","BEST_FPERIOD_OVERRIDE=FQ","FILING_STATUS=MR","Sort=A","Dates=H","DateFormat=P","Fill=—","Direction=H","UseDPDF=Y")</f>
        <v>5.0599999999999996</v>
      </c>
      <c r="K66" s="15">
        <f>_xll.BDH("CHTR US Equity","FREE_CASH_FLOW_PER_SH","FQ1 2020","FQ1 2020","Currency=USD","Period=FQ","BEST_FPERIOD_OVERRIDE=FQ","FILING_STATUS=MR","Sort=A","Dates=H","DateFormat=P","Fill=—","Direction=H","UseDPDF=Y")</f>
        <v>8.4635999999999996</v>
      </c>
      <c r="L66" s="15">
        <f>_xll.BDH("CHTR US Equity","FREE_CASH_FLOW_PER_SH","FQ2 2020","FQ2 2020","Currency=USD","Period=FQ","BEST_FPERIOD_OVERRIDE=FQ","FILING_STATUS=MR","Sort=A","Dates=H","DateFormat=P","Fill=—","Direction=H","UseDPDF=Y")</f>
        <v>8.0281000000000002</v>
      </c>
    </row>
    <row r="67" spans="1:12" x14ac:dyDescent="0.35">
      <c r="A67" s="16" t="s">
        <v>341</v>
      </c>
      <c r="B67" s="16" t="s">
        <v>340</v>
      </c>
      <c r="C67" s="15">
        <f>_xll.BDH("CHTR US Equity","PX_TO_FREE_CASH_FLOW","FQ1 2018","FQ1 2018","Currency=USD","Period=FQ","BEST_FPERIOD_OVERRIDE=FQ","FILING_STATUS=MR","Sort=A","Dates=H","DateFormat=P","Fill=—","Direction=H","UseDPDF=Y")</f>
        <v>31.053899999999999</v>
      </c>
      <c r="D67" s="15">
        <f>_xll.BDH("CHTR US Equity","PX_TO_FREE_CASH_FLOW","FQ2 2018","FQ2 2018","Currency=USD","Period=FQ","BEST_FPERIOD_OVERRIDE=FQ","FILING_STATUS=MR","Sort=A","Dates=H","DateFormat=P","Fill=—","Direction=H","UseDPDF=Y")</f>
        <v>29.3019</v>
      </c>
      <c r="E67" s="15">
        <f>_xll.BDH("CHTR US Equity","PX_TO_FREE_CASH_FLOW","FQ3 2018","FQ3 2018","Currency=USD","Period=FQ","BEST_FPERIOD_OVERRIDE=FQ","FILING_STATUS=MR","Sort=A","Dates=H","DateFormat=P","Fill=—","Direction=H","UseDPDF=Y")</f>
        <v>29.750399999999999</v>
      </c>
      <c r="F67" s="15">
        <f>_xll.BDH("CHTR US Equity","PX_TO_FREE_CASH_FLOW","FQ4 2018","FQ4 2018","Currency=USD","Period=FQ","BEST_FPERIOD_OVERRIDE=FQ","FILING_STATUS=MR","Sort=A","Dates=H","DateFormat=P","Fill=—","Direction=H","UseDPDF=Y")</f>
        <v>25.0123</v>
      </c>
      <c r="G67" s="15">
        <f>_xll.BDH("CHTR US Equity","PX_TO_FREE_CASH_FLOW","FQ1 2019","FQ1 2019","Currency=USD","Period=FQ","BEST_FPERIOD_OVERRIDE=FQ","FILING_STATUS=MR","Sort=A","Dates=H","DateFormat=P","Fill=—","Direction=H","UseDPDF=Y")</f>
        <v>25.1965</v>
      </c>
      <c r="H67" s="15">
        <f>_xll.BDH("CHTR US Equity","PX_TO_FREE_CASH_FLOW","FQ2 2019","FQ2 2019","Currency=USD","Period=FQ","BEST_FPERIOD_OVERRIDE=FQ","FILING_STATUS=MR","Sort=A","Dates=H","DateFormat=P","Fill=—","Direction=H","UseDPDF=Y")</f>
        <v>24.7104</v>
      </c>
      <c r="I67" s="15">
        <f>_xll.BDH("CHTR US Equity","PX_TO_FREE_CASH_FLOW","FQ3 2019","FQ3 2019","Currency=USD","Period=FQ","BEST_FPERIOD_OVERRIDE=FQ","FILING_STATUS=MR","Sort=A","Dates=H","DateFormat=P","Fill=—","Direction=H","UseDPDF=Y")</f>
        <v>21.770600000000002</v>
      </c>
      <c r="J67" s="15">
        <f>_xll.BDH("CHTR US Equity","PX_TO_FREE_CASH_FLOW","FQ4 2019","FQ4 2019","Currency=USD","Period=FQ","BEST_FPERIOD_OVERRIDE=FQ","FILING_STATUS=MR","Sort=A","Dates=H","DateFormat=P","Fill=—","Direction=H","UseDPDF=Y")</f>
        <v>23.374700000000001</v>
      </c>
      <c r="K67" s="15">
        <f>_xll.BDH("CHTR US Equity","PX_TO_FREE_CASH_FLOW","FQ1 2020","FQ1 2020","Currency=USD","Period=FQ","BEST_FPERIOD_OVERRIDE=FQ","FILING_STATUS=MR","Sort=A","Dates=H","DateFormat=P","Fill=—","Direction=H","UseDPDF=Y")</f>
        <v>17.685400000000001</v>
      </c>
      <c r="L67" s="15">
        <f>_xll.BDH("CHTR US Equity","PX_TO_FREE_CASH_FLOW","FQ2 2020","FQ2 2020","Currency=USD","Period=FQ","BEST_FPERIOD_OVERRIDE=FQ","FILING_STATUS=MR","Sort=A","Dates=H","DateFormat=P","Fill=—","Direction=H","UseDPDF=Y")</f>
        <v>18.570699999999999</v>
      </c>
    </row>
    <row r="68" spans="1:12" x14ac:dyDescent="0.35">
      <c r="A68" s="16" t="s">
        <v>339</v>
      </c>
      <c r="B68" s="16" t="s">
        <v>338</v>
      </c>
      <c r="C68" s="15">
        <f>_xll.BDH("CHTR US Equity","CASH_FLOW_TO_NET_INC","FQ1 2018","FQ1 2018","Currency=USD","Period=FQ","BEST_FPERIOD_OVERRIDE=FQ","FILING_STATUS=MR","FA_ADJUSTED=GAAP","Sort=A","Dates=H","DateFormat=P","Fill=—","Direction=H","UseDPDF=Y")</f>
        <v>16.0655</v>
      </c>
      <c r="D68" s="15">
        <f>_xll.BDH("CHTR US Equity","CASH_FLOW_TO_NET_INC","FQ2 2018","FQ2 2018","Currency=USD","Period=FQ","BEST_FPERIOD_OVERRIDE=FQ","FILING_STATUS=MR","FA_ADJUSTED=GAAP","Sort=A","Dates=H","DateFormat=P","Fill=—","Direction=H","UseDPDF=Y")</f>
        <v>11.3407</v>
      </c>
      <c r="E68" s="15">
        <f>_xll.BDH("CHTR US Equity","CASH_FLOW_TO_NET_INC","FQ3 2018","FQ3 2018","Currency=USD","Period=FQ","BEST_FPERIOD_OVERRIDE=FQ","FILING_STATUS=MR","FA_ADJUSTED=GAAP","Sort=A","Dates=H","DateFormat=P","Fill=—","Direction=H","UseDPDF=Y")</f>
        <v>5.6875999999999998</v>
      </c>
      <c r="F68" s="15">
        <f>_xll.BDH("CHTR US Equity","CASH_FLOW_TO_NET_INC","FQ4 2018","FQ4 2018","Currency=USD","Period=FQ","BEST_FPERIOD_OVERRIDE=FQ","FILING_STATUS=MR","FA_ADJUSTED=GAAP","Sort=A","Dates=H","DateFormat=P","Fill=—","Direction=H","UseDPDF=Y")</f>
        <v>10.7027</v>
      </c>
      <c r="G68" s="15">
        <f>_xll.BDH("CHTR US Equity","CASH_FLOW_TO_NET_INC","FQ1 2019","FQ1 2019","Currency=USD","Period=FQ","BEST_FPERIOD_OVERRIDE=FQ","FILING_STATUS=MR","FA_ADJUSTED=GAAP","Sort=A","Dates=H","DateFormat=P","Fill=—","Direction=H","UseDPDF=Y")</f>
        <v>10.6166</v>
      </c>
      <c r="H68" s="15">
        <f>_xll.BDH("CHTR US Equity","CASH_FLOW_TO_NET_INC","FQ2 2019","FQ2 2019","Currency=USD","Period=FQ","BEST_FPERIOD_OVERRIDE=FQ","FILING_STATUS=MR","FA_ADJUSTED=GAAP","Sort=A","Dates=H","DateFormat=P","Fill=—","Direction=H","UseDPDF=Y")</f>
        <v>8.7929999999999993</v>
      </c>
      <c r="I68" s="15">
        <f>_xll.BDH("CHTR US Equity","CASH_FLOW_TO_NET_INC","FQ3 2019","FQ3 2019","Currency=USD","Period=FQ","BEST_FPERIOD_OVERRIDE=FQ","FILING_STATUS=MR","FA_ADJUSTED=GAAP","Sort=A","Dates=H","DateFormat=P","Fill=—","Direction=H","UseDPDF=Y")</f>
        <v>7.6047000000000002</v>
      </c>
      <c r="J68" s="15">
        <f>_xll.BDH("CHTR US Equity","CASH_FLOW_TO_NET_INC","FQ4 2019","FQ4 2019","Currency=USD","Period=FQ","BEST_FPERIOD_OVERRIDE=FQ","FILING_STATUS=MR","FA_ADJUSTED=GAAP","Sort=A","Dates=H","DateFormat=P","Fill=—","Direction=H","UseDPDF=Y")</f>
        <v>4.7031000000000001</v>
      </c>
      <c r="K68" s="15">
        <f>_xll.BDH("CHTR US Equity","CASH_FLOW_TO_NET_INC","FQ1 2020","FQ1 2020","Currency=USD","Period=FQ","BEST_FPERIOD_OVERRIDE=FQ","FILING_STATUS=MR","FA_ADJUSTED=GAAP","Sort=A","Dates=H","DateFormat=P","Fill=—","Direction=H","UseDPDF=Y")</f>
        <v>8.1312999999999995</v>
      </c>
      <c r="L68" s="15">
        <f>_xll.BDH("CHTR US Equity","CASH_FLOW_TO_NET_INC","FQ2 2020","FQ2 2020","Currency=USD","Period=FQ","BEST_FPERIOD_OVERRIDE=FQ","FILING_STATUS=MR","FA_ADJUSTED=GAAP","Sort=A","Dates=H","DateFormat=P","Fill=—","Direction=H","UseDPDF=Y")</f>
        <v>4.6070000000000002</v>
      </c>
    </row>
    <row r="69" spans="1:12" x14ac:dyDescent="0.35">
      <c r="A69" s="18" t="s">
        <v>56</v>
      </c>
      <c r="B69" s="18"/>
      <c r="C69" s="18" t="s">
        <v>3</v>
      </c>
      <c r="D69" s="18"/>
      <c r="E69" s="18"/>
      <c r="F69" s="18"/>
      <c r="G69" s="18"/>
      <c r="H69" s="18"/>
      <c r="I69" s="18"/>
      <c r="J69" s="18"/>
      <c r="K69" s="18"/>
      <c r="L6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Adj Highlights</vt:lpstr>
      <vt:lpstr>Income - Adjusted</vt:lpstr>
      <vt:lpstr>Balance Sheet - Standardized</vt:lpstr>
      <vt:lpstr>Cash Flow - Standardized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James Schultz</cp:lastModifiedBy>
  <dcterms:created xsi:type="dcterms:W3CDTF">2013-04-03T15:49:21Z</dcterms:created>
  <dcterms:modified xsi:type="dcterms:W3CDTF">2020-10-29T17:42:22Z</dcterms:modified>
</cp:coreProperties>
</file>