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nstcapitaltx-my.sharepoint.com/personal/jschultz_mainstcapital_com/Documents/Documents/Segment Level Financials/"/>
    </mc:Choice>
  </mc:AlternateContent>
  <xr:revisionPtr revIDLastSave="0" documentId="8_{2F604342-9C36-4048-AD18-579CDB339D4A}" xr6:coauthVersionLast="45" xr6:coauthVersionMax="45" xr10:uidLastSave="{00000000-0000-0000-0000-000000000000}"/>
  <bookViews>
    <workbookView xWindow="57480" yWindow="-9555" windowWidth="29040" windowHeight="17640" activeTab="3" xr2:uid="{00000000-000D-0000-FFFF-FFFF00000000}"/>
  </bookViews>
  <sheets>
    <sheet name="Adj Highlights" sheetId="2" r:id="rId1"/>
    <sheet name="Income - Adjusted" sheetId="3" r:id="rId2"/>
    <sheet name="Balance Sheet - Standardized" sheetId="4" r:id="rId3"/>
    <sheet name="Cash Flow - Standardized" sheetId="5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44020.6809490741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C14" i="5"/>
  <c r="D14" i="5"/>
  <c r="E14" i="5"/>
  <c r="F14" i="5"/>
  <c r="G14" i="5"/>
  <c r="H14" i="5"/>
  <c r="I14" i="5"/>
  <c r="J14" i="5"/>
  <c r="K14" i="5"/>
  <c r="L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C19" i="5"/>
  <c r="D19" i="5"/>
  <c r="E19" i="5"/>
  <c r="F19" i="5"/>
  <c r="G19" i="5"/>
  <c r="H19" i="5"/>
  <c r="I19" i="5"/>
  <c r="J19" i="5"/>
  <c r="K19" i="5"/>
  <c r="L19" i="5"/>
  <c r="C22" i="5"/>
  <c r="D22" i="5"/>
  <c r="E22" i="5"/>
  <c r="F22" i="5"/>
  <c r="G22" i="5"/>
  <c r="H22" i="5"/>
  <c r="I22" i="5"/>
  <c r="J22" i="5"/>
  <c r="K22" i="5"/>
  <c r="L22" i="5"/>
  <c r="C23" i="5"/>
  <c r="D23" i="5"/>
  <c r="E23" i="5"/>
  <c r="F23" i="5"/>
  <c r="G23" i="5"/>
  <c r="H23" i="5"/>
  <c r="I23" i="5"/>
  <c r="J23" i="5"/>
  <c r="K23" i="5"/>
  <c r="L23" i="5"/>
  <c r="C24" i="5"/>
  <c r="D24" i="5"/>
  <c r="E24" i="5"/>
  <c r="F24" i="5"/>
  <c r="G24" i="5"/>
  <c r="H24" i="5"/>
  <c r="I24" i="5"/>
  <c r="J24" i="5"/>
  <c r="K24" i="5"/>
  <c r="L24" i="5"/>
  <c r="C25" i="5"/>
  <c r="D25" i="5"/>
  <c r="E25" i="5"/>
  <c r="F25" i="5"/>
  <c r="G25" i="5"/>
  <c r="H25" i="5"/>
  <c r="I25" i="5"/>
  <c r="J25" i="5"/>
  <c r="K25" i="5"/>
  <c r="L25" i="5"/>
  <c r="C26" i="5"/>
  <c r="D26" i="5"/>
  <c r="E26" i="5"/>
  <c r="F26" i="5"/>
  <c r="G26" i="5"/>
  <c r="H26" i="5"/>
  <c r="I26" i="5"/>
  <c r="J26" i="5"/>
  <c r="K26" i="5"/>
  <c r="L26" i="5"/>
  <c r="C27" i="5"/>
  <c r="D27" i="5"/>
  <c r="E27" i="5"/>
  <c r="F27" i="5"/>
  <c r="G27" i="5"/>
  <c r="H27" i="5"/>
  <c r="I27" i="5"/>
  <c r="J27" i="5"/>
  <c r="K27" i="5"/>
  <c r="L27" i="5"/>
  <c r="C28" i="5"/>
  <c r="D28" i="5"/>
  <c r="E28" i="5"/>
  <c r="F28" i="5"/>
  <c r="G28" i="5"/>
  <c r="H28" i="5"/>
  <c r="I28" i="5"/>
  <c r="J28" i="5"/>
  <c r="K28" i="5"/>
  <c r="L28" i="5"/>
  <c r="C29" i="5"/>
  <c r="D29" i="5"/>
  <c r="E29" i="5"/>
  <c r="F29" i="5"/>
  <c r="G29" i="5"/>
  <c r="H29" i="5"/>
  <c r="I29" i="5"/>
  <c r="J29" i="5"/>
  <c r="K29" i="5"/>
  <c r="L29" i="5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D36" i="5"/>
  <c r="E36" i="5"/>
  <c r="F36" i="5"/>
  <c r="G36" i="5"/>
  <c r="H36" i="5"/>
  <c r="I36" i="5"/>
  <c r="J36" i="5"/>
  <c r="K36" i="5"/>
  <c r="L36" i="5"/>
  <c r="C37" i="5"/>
  <c r="D37" i="5"/>
  <c r="E37" i="5"/>
  <c r="F37" i="5"/>
  <c r="G37" i="5"/>
  <c r="H37" i="5"/>
  <c r="I37" i="5"/>
  <c r="J37" i="5"/>
  <c r="K37" i="5"/>
  <c r="L37" i="5"/>
  <c r="C38" i="5"/>
  <c r="D38" i="5"/>
  <c r="E38" i="5"/>
  <c r="F38" i="5"/>
  <c r="G38" i="5"/>
  <c r="H38" i="5"/>
  <c r="I38" i="5"/>
  <c r="J38" i="5"/>
  <c r="K38" i="5"/>
  <c r="L38" i="5"/>
  <c r="C41" i="5"/>
  <c r="D41" i="5"/>
  <c r="E41" i="5"/>
  <c r="F41" i="5"/>
  <c r="G41" i="5"/>
  <c r="H41" i="5"/>
  <c r="I41" i="5"/>
  <c r="J41" i="5"/>
  <c r="K41" i="5"/>
  <c r="L41" i="5"/>
  <c r="C42" i="5"/>
  <c r="D42" i="5"/>
  <c r="E42" i="5"/>
  <c r="F42" i="5"/>
  <c r="G42" i="5"/>
  <c r="H42" i="5"/>
  <c r="I42" i="5"/>
  <c r="J42" i="5"/>
  <c r="K42" i="5"/>
  <c r="L42" i="5"/>
  <c r="C43" i="5"/>
  <c r="D43" i="5"/>
  <c r="E43" i="5"/>
  <c r="F43" i="5"/>
  <c r="G43" i="5"/>
  <c r="H43" i="5"/>
  <c r="I43" i="5"/>
  <c r="J43" i="5"/>
  <c r="K43" i="5"/>
  <c r="L43" i="5"/>
  <c r="C44" i="5"/>
  <c r="D44" i="5"/>
  <c r="E44" i="5"/>
  <c r="F44" i="5"/>
  <c r="G44" i="5"/>
  <c r="H44" i="5"/>
  <c r="I44" i="5"/>
  <c r="J44" i="5"/>
  <c r="K44" i="5"/>
  <c r="L44" i="5"/>
  <c r="C45" i="5"/>
  <c r="D45" i="5"/>
  <c r="E45" i="5"/>
  <c r="F45" i="5"/>
  <c r="G45" i="5"/>
  <c r="H45" i="5"/>
  <c r="I45" i="5"/>
  <c r="J45" i="5"/>
  <c r="K45" i="5"/>
  <c r="L45" i="5"/>
  <c r="C46" i="5"/>
  <c r="D46" i="5"/>
  <c r="E46" i="5"/>
  <c r="F46" i="5"/>
  <c r="G46" i="5"/>
  <c r="H46" i="5"/>
  <c r="I46" i="5"/>
  <c r="J46" i="5"/>
  <c r="K46" i="5"/>
  <c r="L46" i="5"/>
  <c r="C47" i="5"/>
  <c r="D47" i="5"/>
  <c r="E47" i="5"/>
  <c r="F47" i="5"/>
  <c r="G47" i="5"/>
  <c r="H47" i="5"/>
  <c r="I47" i="5"/>
  <c r="J47" i="5"/>
  <c r="K47" i="5"/>
  <c r="L47" i="5"/>
  <c r="C48" i="5"/>
  <c r="D48" i="5"/>
  <c r="E48" i="5"/>
  <c r="F48" i="5"/>
  <c r="G48" i="5"/>
  <c r="H48" i="5"/>
  <c r="I48" i="5"/>
  <c r="J48" i="5"/>
  <c r="K48" i="5"/>
  <c r="L48" i="5"/>
  <c r="C49" i="5"/>
  <c r="D49" i="5"/>
  <c r="E49" i="5"/>
  <c r="F49" i="5"/>
  <c r="G49" i="5"/>
  <c r="H49" i="5"/>
  <c r="I49" i="5"/>
  <c r="J49" i="5"/>
  <c r="K49" i="5"/>
  <c r="L49" i="5"/>
  <c r="C50" i="5"/>
  <c r="D50" i="5"/>
  <c r="E50" i="5"/>
  <c r="F50" i="5"/>
  <c r="G50" i="5"/>
  <c r="H50" i="5"/>
  <c r="I50" i="5"/>
  <c r="J50" i="5"/>
  <c r="K50" i="5"/>
  <c r="L50" i="5"/>
  <c r="C51" i="5"/>
  <c r="D51" i="5"/>
  <c r="E51" i="5"/>
  <c r="F51" i="5"/>
  <c r="G51" i="5"/>
  <c r="H51" i="5"/>
  <c r="I51" i="5"/>
  <c r="J51" i="5"/>
  <c r="K51" i="5"/>
  <c r="L51" i="5"/>
  <c r="C53" i="5"/>
  <c r="D53" i="5"/>
  <c r="E53" i="5"/>
  <c r="F53" i="5"/>
  <c r="G53" i="5"/>
  <c r="H53" i="5"/>
  <c r="I53" i="5"/>
  <c r="J53" i="5"/>
  <c r="K53" i="5"/>
  <c r="L53" i="5"/>
  <c r="C55" i="5"/>
  <c r="D55" i="5"/>
  <c r="E55" i="5"/>
  <c r="F55" i="5"/>
  <c r="G55" i="5"/>
  <c r="H55" i="5"/>
  <c r="I55" i="5"/>
  <c r="J55" i="5"/>
  <c r="K55" i="5"/>
  <c r="L55" i="5"/>
  <c r="C57" i="5"/>
  <c r="D57" i="5"/>
  <c r="E57" i="5"/>
  <c r="F57" i="5"/>
  <c r="G57" i="5"/>
  <c r="H57" i="5"/>
  <c r="I57" i="5"/>
  <c r="J57" i="5"/>
  <c r="K57" i="5"/>
  <c r="L57" i="5"/>
  <c r="C58" i="5"/>
  <c r="D58" i="5"/>
  <c r="E58" i="5"/>
  <c r="F58" i="5"/>
  <c r="G58" i="5"/>
  <c r="H58" i="5"/>
  <c r="I58" i="5"/>
  <c r="J58" i="5"/>
  <c r="K58" i="5"/>
  <c r="L58" i="5"/>
  <c r="C61" i="5"/>
  <c r="D61" i="5"/>
  <c r="E61" i="5"/>
  <c r="F61" i="5"/>
  <c r="G61" i="5"/>
  <c r="H61" i="5"/>
  <c r="I61" i="5"/>
  <c r="J61" i="5"/>
  <c r="K61" i="5"/>
  <c r="L61" i="5"/>
  <c r="C62" i="5"/>
  <c r="D62" i="5"/>
  <c r="E62" i="5"/>
  <c r="F62" i="5"/>
  <c r="G62" i="5"/>
  <c r="H62" i="5"/>
  <c r="I62" i="5"/>
  <c r="J62" i="5"/>
  <c r="K62" i="5"/>
  <c r="L62" i="5"/>
  <c r="C63" i="5"/>
  <c r="D63" i="5"/>
  <c r="E63" i="5"/>
  <c r="F63" i="5"/>
  <c r="G63" i="5"/>
  <c r="H63" i="5"/>
  <c r="I63" i="5"/>
  <c r="J63" i="5"/>
  <c r="K63" i="5"/>
  <c r="L63" i="5"/>
  <c r="C64" i="5"/>
  <c r="D64" i="5"/>
  <c r="E64" i="5"/>
  <c r="F64" i="5"/>
  <c r="G64" i="5"/>
  <c r="H64" i="5"/>
  <c r="I64" i="5"/>
  <c r="J64" i="5"/>
  <c r="K64" i="5"/>
  <c r="L64" i="5"/>
  <c r="C65" i="5"/>
  <c r="D65" i="5"/>
  <c r="E65" i="5"/>
  <c r="F65" i="5"/>
  <c r="G65" i="5"/>
  <c r="H65" i="5"/>
  <c r="I65" i="5"/>
  <c r="J65" i="5"/>
  <c r="K65" i="5"/>
  <c r="L65" i="5"/>
  <c r="C66" i="5"/>
  <c r="D66" i="5"/>
  <c r="E66" i="5"/>
  <c r="F66" i="5"/>
  <c r="G66" i="5"/>
  <c r="H66" i="5"/>
  <c r="I66" i="5"/>
  <c r="J66" i="5"/>
  <c r="K66" i="5"/>
  <c r="L66" i="5"/>
  <c r="C67" i="5"/>
  <c r="D67" i="5"/>
  <c r="E67" i="5"/>
  <c r="F67" i="5"/>
  <c r="G67" i="5"/>
  <c r="H67" i="5"/>
  <c r="I67" i="5"/>
  <c r="J67" i="5"/>
  <c r="K67" i="5"/>
  <c r="L67" i="5"/>
  <c r="C68" i="5"/>
  <c r="D68" i="5"/>
  <c r="E68" i="5"/>
  <c r="F68" i="5"/>
  <c r="G68" i="5"/>
  <c r="H68" i="5"/>
  <c r="I68" i="5"/>
  <c r="J68" i="5"/>
  <c r="K68" i="5"/>
  <c r="L68" i="5"/>
  <c r="C69" i="5"/>
  <c r="D69" i="5"/>
  <c r="E69" i="5"/>
  <c r="F69" i="5"/>
  <c r="G69" i="5"/>
  <c r="H69" i="5"/>
  <c r="I69" i="5"/>
  <c r="J69" i="5"/>
  <c r="K69" i="5"/>
  <c r="L69" i="5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C25" i="4"/>
  <c r="D25" i="4"/>
  <c r="E25" i="4"/>
  <c r="F25" i="4"/>
  <c r="G25" i="4"/>
  <c r="H25" i="4"/>
  <c r="I25" i="4"/>
  <c r="J25" i="4"/>
  <c r="K25" i="4"/>
  <c r="L25" i="4"/>
  <c r="C26" i="4"/>
  <c r="D26" i="4"/>
  <c r="E26" i="4"/>
  <c r="F26" i="4"/>
  <c r="G26" i="4"/>
  <c r="H26" i="4"/>
  <c r="I26" i="4"/>
  <c r="J26" i="4"/>
  <c r="K26" i="4"/>
  <c r="L26" i="4"/>
  <c r="C27" i="4"/>
  <c r="D27" i="4"/>
  <c r="E27" i="4"/>
  <c r="F27" i="4"/>
  <c r="G27" i="4"/>
  <c r="H27" i="4"/>
  <c r="I27" i="4"/>
  <c r="J27" i="4"/>
  <c r="K27" i="4"/>
  <c r="L27" i="4"/>
  <c r="C28" i="4"/>
  <c r="D28" i="4"/>
  <c r="E28" i="4"/>
  <c r="F28" i="4"/>
  <c r="G28" i="4"/>
  <c r="H28" i="4"/>
  <c r="I28" i="4"/>
  <c r="J28" i="4"/>
  <c r="K28" i="4"/>
  <c r="L28" i="4"/>
  <c r="C29" i="4"/>
  <c r="D29" i="4"/>
  <c r="E29" i="4"/>
  <c r="F29" i="4"/>
  <c r="G29" i="4"/>
  <c r="H29" i="4"/>
  <c r="I29" i="4"/>
  <c r="J29" i="4"/>
  <c r="K29" i="4"/>
  <c r="L29" i="4"/>
  <c r="C30" i="4"/>
  <c r="D30" i="4"/>
  <c r="E30" i="4"/>
  <c r="F30" i="4"/>
  <c r="G30" i="4"/>
  <c r="H30" i="4"/>
  <c r="I30" i="4"/>
  <c r="J30" i="4"/>
  <c r="K30" i="4"/>
  <c r="L30" i="4"/>
  <c r="C31" i="4"/>
  <c r="D31" i="4"/>
  <c r="E31" i="4"/>
  <c r="F31" i="4"/>
  <c r="G31" i="4"/>
  <c r="H31" i="4"/>
  <c r="I31" i="4"/>
  <c r="J31" i="4"/>
  <c r="K31" i="4"/>
  <c r="L31" i="4"/>
  <c r="C32" i="4"/>
  <c r="D32" i="4"/>
  <c r="E32" i="4"/>
  <c r="F32" i="4"/>
  <c r="G32" i="4"/>
  <c r="H32" i="4"/>
  <c r="I32" i="4"/>
  <c r="J32" i="4"/>
  <c r="K32" i="4"/>
  <c r="L32" i="4"/>
  <c r="C33" i="4"/>
  <c r="D33" i="4"/>
  <c r="E33" i="4"/>
  <c r="F33" i="4"/>
  <c r="G33" i="4"/>
  <c r="H33" i="4"/>
  <c r="I33" i="4"/>
  <c r="J33" i="4"/>
  <c r="K33" i="4"/>
  <c r="L33" i="4"/>
  <c r="C34" i="4"/>
  <c r="D34" i="4"/>
  <c r="E34" i="4"/>
  <c r="F34" i="4"/>
  <c r="G34" i="4"/>
  <c r="H34" i="4"/>
  <c r="I34" i="4"/>
  <c r="J34" i="4"/>
  <c r="K34" i="4"/>
  <c r="L34" i="4"/>
  <c r="C35" i="4"/>
  <c r="D35" i="4"/>
  <c r="E35" i="4"/>
  <c r="F35" i="4"/>
  <c r="G35" i="4"/>
  <c r="H35" i="4"/>
  <c r="I35" i="4"/>
  <c r="J35" i="4"/>
  <c r="K35" i="4"/>
  <c r="L35" i="4"/>
  <c r="C36" i="4"/>
  <c r="D36" i="4"/>
  <c r="E36" i="4"/>
  <c r="F36" i="4"/>
  <c r="G36" i="4"/>
  <c r="H36" i="4"/>
  <c r="I36" i="4"/>
  <c r="J36" i="4"/>
  <c r="K36" i="4"/>
  <c r="L36" i="4"/>
  <c r="C37" i="4"/>
  <c r="D37" i="4"/>
  <c r="E37" i="4"/>
  <c r="F37" i="4"/>
  <c r="G37" i="4"/>
  <c r="H37" i="4"/>
  <c r="I37" i="4"/>
  <c r="J37" i="4"/>
  <c r="K37" i="4"/>
  <c r="L37" i="4"/>
  <c r="C38" i="4"/>
  <c r="D38" i="4"/>
  <c r="E38" i="4"/>
  <c r="F38" i="4"/>
  <c r="G38" i="4"/>
  <c r="H38" i="4"/>
  <c r="I38" i="4"/>
  <c r="J38" i="4"/>
  <c r="K38" i="4"/>
  <c r="L38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C43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C46" i="4"/>
  <c r="D46" i="4"/>
  <c r="E46" i="4"/>
  <c r="F46" i="4"/>
  <c r="G46" i="4"/>
  <c r="H46" i="4"/>
  <c r="I46" i="4"/>
  <c r="J46" i="4"/>
  <c r="K46" i="4"/>
  <c r="L46" i="4"/>
  <c r="C47" i="4"/>
  <c r="D47" i="4"/>
  <c r="E47" i="4"/>
  <c r="F47" i="4"/>
  <c r="G47" i="4"/>
  <c r="H47" i="4"/>
  <c r="I47" i="4"/>
  <c r="J47" i="4"/>
  <c r="K47" i="4"/>
  <c r="L47" i="4"/>
  <c r="C48" i="4"/>
  <c r="D48" i="4"/>
  <c r="E48" i="4"/>
  <c r="F48" i="4"/>
  <c r="G48" i="4"/>
  <c r="H48" i="4"/>
  <c r="I48" i="4"/>
  <c r="J48" i="4"/>
  <c r="K48" i="4"/>
  <c r="L48" i="4"/>
  <c r="C49" i="4"/>
  <c r="D49" i="4"/>
  <c r="E49" i="4"/>
  <c r="F49" i="4"/>
  <c r="G49" i="4"/>
  <c r="H49" i="4"/>
  <c r="I49" i="4"/>
  <c r="J49" i="4"/>
  <c r="K49" i="4"/>
  <c r="L49" i="4"/>
  <c r="C50" i="4"/>
  <c r="D50" i="4"/>
  <c r="E50" i="4"/>
  <c r="F50" i="4"/>
  <c r="G50" i="4"/>
  <c r="H50" i="4"/>
  <c r="I50" i="4"/>
  <c r="J50" i="4"/>
  <c r="K50" i="4"/>
  <c r="L50" i="4"/>
  <c r="C51" i="4"/>
  <c r="D51" i="4"/>
  <c r="E51" i="4"/>
  <c r="F51" i="4"/>
  <c r="G51" i="4"/>
  <c r="H51" i="4"/>
  <c r="I51" i="4"/>
  <c r="J51" i="4"/>
  <c r="K51" i="4"/>
  <c r="L51" i="4"/>
  <c r="C52" i="4"/>
  <c r="D52" i="4"/>
  <c r="E52" i="4"/>
  <c r="F52" i="4"/>
  <c r="G52" i="4"/>
  <c r="H52" i="4"/>
  <c r="I52" i="4"/>
  <c r="J52" i="4"/>
  <c r="K52" i="4"/>
  <c r="L52" i="4"/>
  <c r="C53" i="4"/>
  <c r="D53" i="4"/>
  <c r="E53" i="4"/>
  <c r="F53" i="4"/>
  <c r="G53" i="4"/>
  <c r="H53" i="4"/>
  <c r="I53" i="4"/>
  <c r="J53" i="4"/>
  <c r="K53" i="4"/>
  <c r="L53" i="4"/>
  <c r="C54" i="4"/>
  <c r="D54" i="4"/>
  <c r="E54" i="4"/>
  <c r="F54" i="4"/>
  <c r="G54" i="4"/>
  <c r="H54" i="4"/>
  <c r="I54" i="4"/>
  <c r="J54" i="4"/>
  <c r="K54" i="4"/>
  <c r="L54" i="4"/>
  <c r="C55" i="4"/>
  <c r="D55" i="4"/>
  <c r="E55" i="4"/>
  <c r="F55" i="4"/>
  <c r="G55" i="4"/>
  <c r="H55" i="4"/>
  <c r="I55" i="4"/>
  <c r="J55" i="4"/>
  <c r="K55" i="4"/>
  <c r="L55" i="4"/>
  <c r="C56" i="4"/>
  <c r="D56" i="4"/>
  <c r="E56" i="4"/>
  <c r="F56" i="4"/>
  <c r="G56" i="4"/>
  <c r="H56" i="4"/>
  <c r="I56" i="4"/>
  <c r="J56" i="4"/>
  <c r="K56" i="4"/>
  <c r="L56" i="4"/>
  <c r="C57" i="4"/>
  <c r="D57" i="4"/>
  <c r="E57" i="4"/>
  <c r="F57" i="4"/>
  <c r="G57" i="4"/>
  <c r="H57" i="4"/>
  <c r="I57" i="4"/>
  <c r="J57" i="4"/>
  <c r="K57" i="4"/>
  <c r="L57" i="4"/>
  <c r="C58" i="4"/>
  <c r="D58" i="4"/>
  <c r="E58" i="4"/>
  <c r="F58" i="4"/>
  <c r="G58" i="4"/>
  <c r="H58" i="4"/>
  <c r="I58" i="4"/>
  <c r="J58" i="4"/>
  <c r="K58" i="4"/>
  <c r="L58" i="4"/>
  <c r="C59" i="4"/>
  <c r="D59" i="4"/>
  <c r="E59" i="4"/>
  <c r="F59" i="4"/>
  <c r="G59" i="4"/>
  <c r="H59" i="4"/>
  <c r="I59" i="4"/>
  <c r="J59" i="4"/>
  <c r="K59" i="4"/>
  <c r="L59" i="4"/>
  <c r="C60" i="4"/>
  <c r="D60" i="4"/>
  <c r="E60" i="4"/>
  <c r="F60" i="4"/>
  <c r="G60" i="4"/>
  <c r="H60" i="4"/>
  <c r="I60" i="4"/>
  <c r="J60" i="4"/>
  <c r="K60" i="4"/>
  <c r="L60" i="4"/>
  <c r="C61" i="4"/>
  <c r="D61" i="4"/>
  <c r="E61" i="4"/>
  <c r="F61" i="4"/>
  <c r="G61" i="4"/>
  <c r="H61" i="4"/>
  <c r="I61" i="4"/>
  <c r="J61" i="4"/>
  <c r="K61" i="4"/>
  <c r="L61" i="4"/>
  <c r="C62" i="4"/>
  <c r="D62" i="4"/>
  <c r="E62" i="4"/>
  <c r="F62" i="4"/>
  <c r="G62" i="4"/>
  <c r="H62" i="4"/>
  <c r="I62" i="4"/>
  <c r="J62" i="4"/>
  <c r="K62" i="4"/>
  <c r="L62" i="4"/>
  <c r="C63" i="4"/>
  <c r="D63" i="4"/>
  <c r="E63" i="4"/>
  <c r="F63" i="4"/>
  <c r="G63" i="4"/>
  <c r="H63" i="4"/>
  <c r="I63" i="4"/>
  <c r="J63" i="4"/>
  <c r="K63" i="4"/>
  <c r="L63" i="4"/>
  <c r="C64" i="4"/>
  <c r="D64" i="4"/>
  <c r="E64" i="4"/>
  <c r="F64" i="4"/>
  <c r="G64" i="4"/>
  <c r="H64" i="4"/>
  <c r="I64" i="4"/>
  <c r="J64" i="4"/>
  <c r="K64" i="4"/>
  <c r="L64" i="4"/>
  <c r="C65" i="4"/>
  <c r="D65" i="4"/>
  <c r="E65" i="4"/>
  <c r="F65" i="4"/>
  <c r="G65" i="4"/>
  <c r="H65" i="4"/>
  <c r="I65" i="4"/>
  <c r="J65" i="4"/>
  <c r="K65" i="4"/>
  <c r="L65" i="4"/>
  <c r="C66" i="4"/>
  <c r="D66" i="4"/>
  <c r="E66" i="4"/>
  <c r="F66" i="4"/>
  <c r="G66" i="4"/>
  <c r="H66" i="4"/>
  <c r="I66" i="4"/>
  <c r="J66" i="4"/>
  <c r="K66" i="4"/>
  <c r="L66" i="4"/>
  <c r="C67" i="4"/>
  <c r="D67" i="4"/>
  <c r="E67" i="4"/>
  <c r="F67" i="4"/>
  <c r="G67" i="4"/>
  <c r="H67" i="4"/>
  <c r="I67" i="4"/>
  <c r="J67" i="4"/>
  <c r="K67" i="4"/>
  <c r="L67" i="4"/>
  <c r="C68" i="4"/>
  <c r="D68" i="4"/>
  <c r="E68" i="4"/>
  <c r="F68" i="4"/>
  <c r="G68" i="4"/>
  <c r="H68" i="4"/>
  <c r="I68" i="4"/>
  <c r="J68" i="4"/>
  <c r="K68" i="4"/>
  <c r="L68" i="4"/>
  <c r="C69" i="4"/>
  <c r="D69" i="4"/>
  <c r="E69" i="4"/>
  <c r="F69" i="4"/>
  <c r="G69" i="4"/>
  <c r="H69" i="4"/>
  <c r="I69" i="4"/>
  <c r="J69" i="4"/>
  <c r="K69" i="4"/>
  <c r="L69" i="4"/>
  <c r="C70" i="4"/>
  <c r="D70" i="4"/>
  <c r="E70" i="4"/>
  <c r="F70" i="4"/>
  <c r="G70" i="4"/>
  <c r="H70" i="4"/>
  <c r="I70" i="4"/>
  <c r="J70" i="4"/>
  <c r="K70" i="4"/>
  <c r="L70" i="4"/>
  <c r="C71" i="4"/>
  <c r="D71" i="4"/>
  <c r="E71" i="4"/>
  <c r="F71" i="4"/>
  <c r="G71" i="4"/>
  <c r="H71" i="4"/>
  <c r="I71" i="4"/>
  <c r="J71" i="4"/>
  <c r="K71" i="4"/>
  <c r="L71" i="4"/>
  <c r="C72" i="4"/>
  <c r="D72" i="4"/>
  <c r="E72" i="4"/>
  <c r="F72" i="4"/>
  <c r="G72" i="4"/>
  <c r="H72" i="4"/>
  <c r="I72" i="4"/>
  <c r="J72" i="4"/>
  <c r="K72" i="4"/>
  <c r="L72" i="4"/>
  <c r="C73" i="4"/>
  <c r="D73" i="4"/>
  <c r="E73" i="4"/>
  <c r="F73" i="4"/>
  <c r="G73" i="4"/>
  <c r="H73" i="4"/>
  <c r="I73" i="4"/>
  <c r="J73" i="4"/>
  <c r="K73" i="4"/>
  <c r="L73" i="4"/>
  <c r="C74" i="4"/>
  <c r="D74" i="4"/>
  <c r="E74" i="4"/>
  <c r="F74" i="4"/>
  <c r="G74" i="4"/>
  <c r="H74" i="4"/>
  <c r="I74" i="4"/>
  <c r="J74" i="4"/>
  <c r="K74" i="4"/>
  <c r="L74" i="4"/>
  <c r="C75" i="4"/>
  <c r="D75" i="4"/>
  <c r="E75" i="4"/>
  <c r="F75" i="4"/>
  <c r="G75" i="4"/>
  <c r="H75" i="4"/>
  <c r="I75" i="4"/>
  <c r="J75" i="4"/>
  <c r="K75" i="4"/>
  <c r="L75" i="4"/>
  <c r="C76" i="4"/>
  <c r="D76" i="4"/>
  <c r="E76" i="4"/>
  <c r="F76" i="4"/>
  <c r="G76" i="4"/>
  <c r="H76" i="4"/>
  <c r="I76" i="4"/>
  <c r="J76" i="4"/>
  <c r="K76" i="4"/>
  <c r="L76" i="4"/>
  <c r="C77" i="4"/>
  <c r="D77" i="4"/>
  <c r="E77" i="4"/>
  <c r="F77" i="4"/>
  <c r="G77" i="4"/>
  <c r="H77" i="4"/>
  <c r="I77" i="4"/>
  <c r="J77" i="4"/>
  <c r="K77" i="4"/>
  <c r="L77" i="4"/>
  <c r="C78" i="4"/>
  <c r="D78" i="4"/>
  <c r="E78" i="4"/>
  <c r="F78" i="4"/>
  <c r="G78" i="4"/>
  <c r="H78" i="4"/>
  <c r="I78" i="4"/>
  <c r="J78" i="4"/>
  <c r="K78" i="4"/>
  <c r="L78" i="4"/>
  <c r="C79" i="4"/>
  <c r="D79" i="4"/>
  <c r="E79" i="4"/>
  <c r="F79" i="4"/>
  <c r="G79" i="4"/>
  <c r="H79" i="4"/>
  <c r="I79" i="4"/>
  <c r="J79" i="4"/>
  <c r="K79" i="4"/>
  <c r="L79" i="4"/>
  <c r="C80" i="4"/>
  <c r="D80" i="4"/>
  <c r="E80" i="4"/>
  <c r="F80" i="4"/>
  <c r="G80" i="4"/>
  <c r="H80" i="4"/>
  <c r="I80" i="4"/>
  <c r="J80" i="4"/>
  <c r="K80" i="4"/>
  <c r="L80" i="4"/>
  <c r="C81" i="4"/>
  <c r="D81" i="4"/>
  <c r="E81" i="4"/>
  <c r="F81" i="4"/>
  <c r="G81" i="4"/>
  <c r="H81" i="4"/>
  <c r="I81" i="4"/>
  <c r="J81" i="4"/>
  <c r="K81" i="4"/>
  <c r="L81" i="4"/>
  <c r="C85" i="4"/>
  <c r="D85" i="4"/>
  <c r="E85" i="4"/>
  <c r="F85" i="4"/>
  <c r="G85" i="4"/>
  <c r="H85" i="4"/>
  <c r="I85" i="4"/>
  <c r="J85" i="4"/>
  <c r="K85" i="4"/>
  <c r="L85" i="4"/>
  <c r="C86" i="4"/>
  <c r="D86" i="4"/>
  <c r="E86" i="4"/>
  <c r="F86" i="4"/>
  <c r="G86" i="4"/>
  <c r="H86" i="4"/>
  <c r="I86" i="4"/>
  <c r="J86" i="4"/>
  <c r="K86" i="4"/>
  <c r="L86" i="4"/>
  <c r="C87" i="4"/>
  <c r="D87" i="4"/>
  <c r="E87" i="4"/>
  <c r="F87" i="4"/>
  <c r="G87" i="4"/>
  <c r="H87" i="4"/>
  <c r="I87" i="4"/>
  <c r="J87" i="4"/>
  <c r="K87" i="4"/>
  <c r="L87" i="4"/>
  <c r="C88" i="4"/>
  <c r="D88" i="4"/>
  <c r="E88" i="4"/>
  <c r="F88" i="4"/>
  <c r="G88" i="4"/>
  <c r="H88" i="4"/>
  <c r="I88" i="4"/>
  <c r="J88" i="4"/>
  <c r="K88" i="4"/>
  <c r="L88" i="4"/>
  <c r="C89" i="4"/>
  <c r="D89" i="4"/>
  <c r="E89" i="4"/>
  <c r="F89" i="4"/>
  <c r="G89" i="4"/>
  <c r="H89" i="4"/>
  <c r="I89" i="4"/>
  <c r="J89" i="4"/>
  <c r="K89" i="4"/>
  <c r="L89" i="4"/>
  <c r="C90" i="4"/>
  <c r="D90" i="4"/>
  <c r="E90" i="4"/>
  <c r="F90" i="4"/>
  <c r="G90" i="4"/>
  <c r="H90" i="4"/>
  <c r="I90" i="4"/>
  <c r="J90" i="4"/>
  <c r="K90" i="4"/>
  <c r="L90" i="4"/>
  <c r="C91" i="4"/>
  <c r="D91" i="4"/>
  <c r="E91" i="4"/>
  <c r="F91" i="4"/>
  <c r="G91" i="4"/>
  <c r="H91" i="4"/>
  <c r="I91" i="4"/>
  <c r="J91" i="4"/>
  <c r="K91" i="4"/>
  <c r="L91" i="4"/>
  <c r="C92" i="4"/>
  <c r="D92" i="4"/>
  <c r="E92" i="4"/>
  <c r="F92" i="4"/>
  <c r="G92" i="4"/>
  <c r="H92" i="4"/>
  <c r="I92" i="4"/>
  <c r="J92" i="4"/>
  <c r="K92" i="4"/>
  <c r="L92" i="4"/>
  <c r="C93" i="4"/>
  <c r="D93" i="4"/>
  <c r="E93" i="4"/>
  <c r="F93" i="4"/>
  <c r="G93" i="4"/>
  <c r="H93" i="4"/>
  <c r="I93" i="4"/>
  <c r="J93" i="4"/>
  <c r="K93" i="4"/>
  <c r="L93" i="4"/>
  <c r="C94" i="4"/>
  <c r="D94" i="4"/>
  <c r="E94" i="4"/>
  <c r="F94" i="4"/>
  <c r="G94" i="4"/>
  <c r="H94" i="4"/>
  <c r="I94" i="4"/>
  <c r="J94" i="4"/>
  <c r="K94" i="4"/>
  <c r="L94" i="4"/>
  <c r="C95" i="4"/>
  <c r="D95" i="4"/>
  <c r="E95" i="4"/>
  <c r="F95" i="4"/>
  <c r="G95" i="4"/>
  <c r="H95" i="4"/>
  <c r="I95" i="4"/>
  <c r="J95" i="4"/>
  <c r="K95" i="4"/>
  <c r="L95" i="4"/>
  <c r="C96" i="4"/>
  <c r="D96" i="4"/>
  <c r="E96" i="4"/>
  <c r="F96" i="4"/>
  <c r="G96" i="4"/>
  <c r="H96" i="4"/>
  <c r="I96" i="4"/>
  <c r="J96" i="4"/>
  <c r="K96" i="4"/>
  <c r="L96" i="4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C24" i="3"/>
  <c r="D24" i="3"/>
  <c r="E24" i="3"/>
  <c r="F24" i="3"/>
  <c r="G24" i="3"/>
  <c r="H24" i="3"/>
  <c r="I24" i="3"/>
  <c r="J24" i="3"/>
  <c r="C25" i="3"/>
  <c r="D25" i="3"/>
  <c r="E25" i="3"/>
  <c r="F25" i="3"/>
  <c r="G25" i="3"/>
  <c r="H25" i="3"/>
  <c r="I25" i="3"/>
  <c r="J25" i="3"/>
  <c r="C26" i="3"/>
  <c r="D26" i="3"/>
  <c r="E26" i="3"/>
  <c r="F26" i="3"/>
  <c r="G26" i="3"/>
  <c r="H26" i="3"/>
  <c r="I26" i="3"/>
  <c r="J26" i="3"/>
  <c r="C27" i="3"/>
  <c r="D27" i="3"/>
  <c r="E27" i="3"/>
  <c r="F27" i="3"/>
  <c r="G27" i="3"/>
  <c r="H27" i="3"/>
  <c r="I27" i="3"/>
  <c r="J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C36" i="3"/>
  <c r="D36" i="3"/>
  <c r="E36" i="3"/>
  <c r="F36" i="3"/>
  <c r="G36" i="3"/>
  <c r="H36" i="3"/>
  <c r="I36" i="3"/>
  <c r="J36" i="3"/>
  <c r="C37" i="3"/>
  <c r="D37" i="3"/>
  <c r="E37" i="3"/>
  <c r="F37" i="3"/>
  <c r="G37" i="3"/>
  <c r="H37" i="3"/>
  <c r="I37" i="3"/>
  <c r="J37" i="3"/>
  <c r="C38" i="3"/>
  <c r="D38" i="3"/>
  <c r="E38" i="3"/>
  <c r="F38" i="3"/>
  <c r="G38" i="3"/>
  <c r="H38" i="3"/>
  <c r="I38" i="3"/>
  <c r="J38" i="3"/>
  <c r="C39" i="3"/>
  <c r="D39" i="3"/>
  <c r="E39" i="3"/>
  <c r="F39" i="3"/>
  <c r="G39" i="3"/>
  <c r="H39" i="3"/>
  <c r="I39" i="3"/>
  <c r="J39" i="3"/>
  <c r="C40" i="3"/>
  <c r="D40" i="3"/>
  <c r="E40" i="3"/>
  <c r="F40" i="3"/>
  <c r="G40" i="3"/>
  <c r="H40" i="3"/>
  <c r="I40" i="3"/>
  <c r="J40" i="3"/>
  <c r="C41" i="3"/>
  <c r="D41" i="3"/>
  <c r="E41" i="3"/>
  <c r="F41" i="3"/>
  <c r="G41" i="3"/>
  <c r="H41" i="3"/>
  <c r="I41" i="3"/>
  <c r="J41" i="3"/>
  <c r="C42" i="3"/>
  <c r="D42" i="3"/>
  <c r="E42" i="3"/>
  <c r="F42" i="3"/>
  <c r="G42" i="3"/>
  <c r="H42" i="3"/>
  <c r="I42" i="3"/>
  <c r="J42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" i="2"/>
  <c r="E7" i="2"/>
  <c r="D23" i="2"/>
  <c r="E8" i="2"/>
  <c r="E6" i="2"/>
  <c r="D20" i="2"/>
  <c r="D24" i="2"/>
  <c r="D25" i="2"/>
  <c r="C9" i="2"/>
  <c r="E12" i="2"/>
  <c r="E9" i="2"/>
  <c r="E10" i="2"/>
  <c r="C13" i="2"/>
  <c r="E24" i="2"/>
  <c r="D6" i="2"/>
  <c r="E13" i="2"/>
  <c r="E14" i="2"/>
  <c r="E20" i="2"/>
  <c r="E16" i="2"/>
  <c r="E18" i="2"/>
  <c r="E25" i="2"/>
  <c r="C24" i="2"/>
  <c r="C20" i="2"/>
  <c r="C10" i="2"/>
  <c r="E23" i="2"/>
  <c r="D14" i="2"/>
  <c r="D16" i="2"/>
  <c r="C16" i="2"/>
  <c r="F12" i="2"/>
  <c r="F16" i="2"/>
  <c r="F25" i="2"/>
  <c r="D8" i="2"/>
  <c r="D13" i="2"/>
  <c r="G23" i="2"/>
  <c r="G14" i="2"/>
  <c r="G8" i="2"/>
  <c r="F7" i="2"/>
  <c r="G7" i="2"/>
  <c r="G24" i="2"/>
  <c r="D10" i="2"/>
  <c r="F9" i="2"/>
  <c r="G6" i="2"/>
  <c r="G9" i="2"/>
  <c r="G10" i="2"/>
  <c r="G12" i="2"/>
  <c r="G18" i="2"/>
  <c r="G16" i="2"/>
  <c r="G13" i="2"/>
  <c r="G20" i="2"/>
  <c r="G25" i="2"/>
  <c r="F13" i="2"/>
  <c r="I25" i="2"/>
  <c r="D7" i="2"/>
  <c r="F18" i="2"/>
  <c r="F24" i="2"/>
  <c r="H18" i="2"/>
  <c r="F6" i="2"/>
  <c r="H13" i="2"/>
  <c r="H7" i="2"/>
  <c r="F20" i="2"/>
  <c r="F23" i="2"/>
  <c r="H6" i="2"/>
  <c r="H23" i="2"/>
  <c r="H9" i="2"/>
  <c r="H8" i="2"/>
  <c r="H12" i="2"/>
  <c r="H10" i="2"/>
  <c r="H24" i="2"/>
  <c r="H14" i="2"/>
  <c r="I13" i="2"/>
  <c r="H16" i="2"/>
  <c r="H20" i="2"/>
  <c r="I12" i="2"/>
  <c r="I10" i="2"/>
  <c r="H25" i="2"/>
  <c r="I8" i="2"/>
  <c r="I20" i="2"/>
  <c r="I9" i="2"/>
  <c r="I23" i="2"/>
  <c r="C14" i="2"/>
  <c r="I14" i="2"/>
  <c r="I16" i="2"/>
  <c r="I24" i="2"/>
  <c r="C6" i="2"/>
  <c r="I18" i="2"/>
  <c r="C12" i="2"/>
  <c r="J13" i="2"/>
  <c r="C23" i="2"/>
  <c r="F14" i="2"/>
  <c r="J16" i="2"/>
  <c r="D12" i="2"/>
  <c r="C8" i="2"/>
  <c r="D18" i="2"/>
  <c r="C25" i="2"/>
  <c r="D9" i="2"/>
  <c r="J25" i="2"/>
  <c r="J23" i="2"/>
  <c r="F8" i="2"/>
  <c r="F10" i="2"/>
  <c r="J9" i="2"/>
  <c r="J14" i="2"/>
  <c r="I6" i="2"/>
  <c r="J8" i="2"/>
  <c r="J6" i="2"/>
  <c r="I7" i="2"/>
  <c r="C18" i="2"/>
  <c r="J10" i="2"/>
  <c r="J18" i="2"/>
  <c r="J7" i="2"/>
  <c r="J24" i="2"/>
  <c r="J20" i="2"/>
  <c r="J12" i="2"/>
</calcChain>
</file>

<file path=xl/sharedStrings.xml><?xml version="1.0" encoding="utf-8"?>
<sst xmlns="http://schemas.openxmlformats.org/spreadsheetml/2006/main" count="566" uniqueCount="444">
  <si>
    <t>Revenue</t>
  </si>
  <si>
    <t>Gross Profit</t>
  </si>
  <si>
    <t>Reference Items</t>
  </si>
  <si>
    <t>Right click to show data transparency (not supported for all values)</t>
  </si>
  <si>
    <t>CenturyLink Inc (LUMN US) - Adj Highlights</t>
  </si>
  <si>
    <t>In Millions of USD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</si>
  <si>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</si>
  <si>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</si>
  <si>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</si>
  <si>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</si>
  <si>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</si>
  <si>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</si>
  <si>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</si>
  <si>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</si>
  <si>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 Est</t>
  </si>
  <si>
    <t>Q4 2020 Est</t>
  </si>
  <si>
    <t>3 Months Ending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</si>
  <si>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</si>
  <si>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</si>
  <si>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</si>
  <si>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</si>
  <si>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</si>
  <si>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</si>
  <si>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</si>
  <si>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</si>
  <si>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</si>
  <si>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</si>
  <si>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</si>
  <si>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</si>
  <si>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</si>
  <si>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</si>
  <si>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</si>
  <si>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PREFERRED_EQUITY_&amp;_MINORITY_INT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</si>
  <si>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</si>
  <si>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</si>
  <si>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</si>
  <si>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</si>
  <si>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</si>
  <si>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</si>
  <si>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</si>
  <si>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</si>
  <si>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</si>
  <si>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</si>
  <si>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</si>
  <si>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EBITDA, Adj</t>
  </si>
  <si>
    <t>EBITDA</t>
  </si>
  <si>
    <t>Net Income, Adj</t>
  </si>
  <si>
    <t>EARN_FOR_COMMON</t>
  </si>
  <si>
    <t>EPS, Adj</t>
  </si>
  <si>
    <t>IS_DIL_EPS_CONT_OPS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</si>
  <si>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</si>
  <si>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</si>
  <si>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</si>
  <si>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</si>
  <si>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</si>
  <si>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</si>
  <si>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</si>
  <si>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BS_CURR_RENTAL_EXPENSE</t>
  </si>
  <si>
    <t>Rental Expense</t>
  </si>
  <si>
    <t>IS_DEPR_EXP</t>
  </si>
  <si>
    <t>Depreciation Expense</t>
  </si>
  <si>
    <t>IS_CAP_INT_EXP</t>
  </si>
  <si>
    <t>Capitalized Interest Expense</t>
  </si>
  <si>
    <t>IS_TOT_CASH_COM_DVD</t>
  </si>
  <si>
    <t>Total Cash Common Dividends</t>
  </si>
  <si>
    <t>EQY_DPS</t>
  </si>
  <si>
    <t>Dividends per Share</t>
  </si>
  <si>
    <t>ACTUAL_SALES_PER_EMPL</t>
  </si>
  <si>
    <t>Sales per Employee</t>
  </si>
  <si>
    <t>PROF_MARGIN</t>
  </si>
  <si>
    <t>Profit Margin</t>
  </si>
  <si>
    <t>OPER_MARGIN</t>
  </si>
  <si>
    <t>Operating Margin</t>
  </si>
  <si>
    <t>GROSS_MARGIN</t>
  </si>
  <si>
    <t>Gross Margin</t>
  </si>
  <si>
    <t>EBIT</t>
  </si>
  <si>
    <t>EBITA</t>
  </si>
  <si>
    <t>EBITDA_MARGIN</t>
  </si>
  <si>
    <t>EBITDA Margin (T12M)</t>
  </si>
  <si>
    <t>US GAAP</t>
  </si>
  <si>
    <t>ACCOUNTING_STANDARD</t>
  </si>
  <si>
    <t>Accounting Standard</t>
  </si>
  <si>
    <t>Diluted EPS from Cont Ops, Adjusted</t>
  </si>
  <si>
    <t>IS_DIL_EPS_BEF_XO</t>
  </si>
  <si>
    <t>Diluted EPS from Cont Ops</t>
  </si>
  <si>
    <t>IS_DILUTED_EPS</t>
  </si>
  <si>
    <t>Diluted EPS, GAAP</t>
  </si>
  <si>
    <t>IS_SH_FOR_DILUTED_EPS</t>
  </si>
  <si>
    <t>Diluted Weighted Avg Shares</t>
  </si>
  <si>
    <t>IS_BASIC_EPS_CONT_OPS</t>
  </si>
  <si>
    <t>Basic EPS from Cont Ops, Adjusted</t>
  </si>
  <si>
    <t>IS_EARN_BEF_XO_ITEMS_PER_SH</t>
  </si>
  <si>
    <t>Basic EPS from Cont Ops</t>
  </si>
  <si>
    <t>IS_EPS</t>
  </si>
  <si>
    <t>Basic EPS, GAAP</t>
  </si>
  <si>
    <t>IS_AVG_NUM_SH_FOR_EPS</t>
  </si>
  <si>
    <t>Basic Weighted Avg Shares</t>
  </si>
  <si>
    <t>XO_GL_NET_OF_TAX</t>
  </si>
  <si>
    <t xml:space="preserve">  Net Extraordinary Losses (Gains)</t>
  </si>
  <si>
    <t>IS_NET_ABNORMAL_ITEMS</t>
  </si>
  <si>
    <t xml:space="preserve">  Net Abnormal Losses (Gains)</t>
  </si>
  <si>
    <t>Net Income Avail to Common, Adj</t>
  </si>
  <si>
    <t>Net Income Avail to Common, GAAP</t>
  </si>
  <si>
    <t>OTHER_ADJUSTMENTS</t>
  </si>
  <si>
    <t xml:space="preserve">  - Other Adjustments</t>
  </si>
  <si>
    <t>IS_TOT_CASH_PFD_DVD</t>
  </si>
  <si>
    <t xml:space="preserve">  - Preferred Dividends</t>
  </si>
  <si>
    <t>NET_INCOME</t>
  </si>
  <si>
    <t>Net Income, GAAP</t>
  </si>
  <si>
    <t>MIN_NONCONTROL_INTEREST_CREDITS</t>
  </si>
  <si>
    <t xml:space="preserve">  - Minority Interest</t>
  </si>
  <si>
    <t>NI_INCLUDING_MINORITY_INT_RATIO</t>
  </si>
  <si>
    <t>Income (Loss) Incl. MI</t>
  </si>
  <si>
    <t>IS_EXTRAORD_ITEMS_&amp;_ACCTG_CHNG</t>
  </si>
  <si>
    <t xml:space="preserve">    + XO &amp; Accounting Changes</t>
  </si>
  <si>
    <t>IS_DISCONTINUED_OPERATIONS</t>
  </si>
  <si>
    <t xml:space="preserve">    + Discontinued Operations</t>
  </si>
  <si>
    <t xml:space="preserve">  - Net Extraordinary Losses (Gains)</t>
  </si>
  <si>
    <t>IS_INC_BEF_XO_ITEM</t>
  </si>
  <si>
    <t>Income (Loss) from Cont Ops</t>
  </si>
  <si>
    <t>IS_INC_TAX_EXP</t>
  </si>
  <si>
    <t xml:space="preserve">  - Income Tax Expense (Benefit)</t>
  </si>
  <si>
    <t>PRETAX_INC</t>
  </si>
  <si>
    <t>Pretax Income (Loss), GAAP</t>
  </si>
  <si>
    <t>IS_RESTRUCTURING_EXPENSES</t>
  </si>
  <si>
    <t xml:space="preserve">    + Restructuring</t>
  </si>
  <si>
    <t>IS_LEGAL_LITIGATION_SETTLEMENT</t>
  </si>
  <si>
    <t xml:space="preserve">    + Legal Settlement</t>
  </si>
  <si>
    <t>IS_IMPAIRMENT_GOODWILL_INTANGIBL</t>
  </si>
  <si>
    <t xml:space="preserve">    + Impairment of Goodwill</t>
  </si>
  <si>
    <t>IS_IMPAIRMENT_ASSETS</t>
  </si>
  <si>
    <t xml:space="preserve">    + Asset Write-Down</t>
  </si>
  <si>
    <t>IS_G_L_ON_EXT_DBT_OR_SETTLE_DBT</t>
  </si>
  <si>
    <t xml:space="preserve">    + Early Extinguishment of Debt</t>
  </si>
  <si>
    <t>IS_MERGER_ACQUISITION_EXPENSE</t>
  </si>
  <si>
    <t xml:space="preserve">    + Merger/Acquisition Expense</t>
  </si>
  <si>
    <t>IS_ABNORMAL_ITEM</t>
  </si>
  <si>
    <t xml:space="preserve">  - Abnormal Losses (Gains)</t>
  </si>
  <si>
    <t>Pretax Income (Loss), Adjusted</t>
  </si>
  <si>
    <t>IS_OTHER_NON_OPERATING_INC_LOSS</t>
  </si>
  <si>
    <t xml:space="preserve">    + Other Non-Op (Income) Loss</t>
  </si>
  <si>
    <t>IS_INT_INC</t>
  </si>
  <si>
    <t xml:space="preserve">    - Interest Income</t>
  </si>
  <si>
    <t>IS_INT_EXPENSE</t>
  </si>
  <si>
    <t xml:space="preserve">    + Interest Expense</t>
  </si>
  <si>
    <t>IS_NET_INTEREST_EXPENSE</t>
  </si>
  <si>
    <t xml:space="preserve">    + Interest Expense, Net</t>
  </si>
  <si>
    <t>IS_NONOP_INCOME_LOSS</t>
  </si>
  <si>
    <t xml:space="preserve">  - Non-Operating (Income) Loss</t>
  </si>
  <si>
    <t>IS_OPER_INC</t>
  </si>
  <si>
    <t>Operating Income (Loss)</t>
  </si>
  <si>
    <t>IS_OTHER_OPERATING_EXPENSES</t>
  </si>
  <si>
    <t xml:space="preserve">    + Other Operating Expense</t>
  </si>
  <si>
    <t>IS_DEPRECIATION_AND_AMORTIZATION</t>
  </si>
  <si>
    <t xml:space="preserve">    + Depreciation &amp; Amortization</t>
  </si>
  <si>
    <t>IS_SG&amp;A_EXPENSE</t>
  </si>
  <si>
    <t xml:space="preserve">    + Selling, General &amp; Admin</t>
  </si>
  <si>
    <t>IS_OPERATING_EXPN</t>
  </si>
  <si>
    <t xml:space="preserve">  - Operating Expenses</t>
  </si>
  <si>
    <t>IS_OTHER_OPER_INC</t>
  </si>
  <si>
    <t xml:space="preserve">  + Other Operating Income</t>
  </si>
  <si>
    <t>IS_COG_AND_SERVICES_SOLD</t>
  </si>
  <si>
    <t xml:space="preserve">    + Cost of Goods &amp; Services</t>
  </si>
  <si>
    <t>IS_COGS_TO_FE_AND_PP_AND_G</t>
  </si>
  <si>
    <t xml:space="preserve">  - Cost of Revenue</t>
  </si>
  <si>
    <t>IS_OTHER_REVENUE</t>
  </si>
  <si>
    <t xml:space="preserve">    + Other Revenue</t>
  </si>
  <si>
    <t>IS_SALES_AND_SERVICES_REVENUES</t>
  </si>
  <si>
    <t xml:space="preserve">    + Sales &amp; Services Revenue</t>
  </si>
  <si>
    <t>In Millions of USD except Per Share</t>
  </si>
  <si>
    <t>CenturyLink Inc (LUMN US) - Adjusted</t>
  </si>
  <si>
    <t>NUM_OF_EMPLOYEES</t>
  </si>
  <si>
    <t>Number of Employees</t>
  </si>
  <si>
    <t>BS_CASH_HELD_OVERSEAS</t>
  </si>
  <si>
    <t>Cash Held Overseas</t>
  </si>
  <si>
    <t>CUR_RATIO</t>
  </si>
  <si>
    <t>Current Ratio</t>
  </si>
  <si>
    <t>TCE_RATIO</t>
  </si>
  <si>
    <t>Tangible Common Equity Ratio</t>
  </si>
  <si>
    <t>NET_DEBT_TO_SHRHLDR_EQTY</t>
  </si>
  <si>
    <t>Net Debt to Equity</t>
  </si>
  <si>
    <t>NET_DEBT</t>
  </si>
  <si>
    <t>Net Debt</t>
  </si>
  <si>
    <t>BS_OPTIONS_OUTSTANDING</t>
  </si>
  <si>
    <t>Options Outstanding at Period End</t>
  </si>
  <si>
    <t>BS_TOTAL_CAPITAL_LEASES</t>
  </si>
  <si>
    <t>Capital Leases - Total</t>
  </si>
  <si>
    <t>BS_FUTURE_MIN_OPER_LEASE_OBLIG</t>
  </si>
  <si>
    <t>Future Minimum Operating Lease Obligations</t>
  </si>
  <si>
    <t>BS_PENSION_RSRV</t>
  </si>
  <si>
    <t>Pension Obligations</t>
  </si>
  <si>
    <t>BS_NUM_OF_TSY_SH</t>
  </si>
  <si>
    <t>Number of Treasury Shares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</si>
  <si>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</si>
  <si>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</si>
  <si>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</si>
  <si>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</si>
  <si>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</si>
  <si>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</si>
  <si>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</si>
  <si>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</si>
  <si>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</si>
  <si>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</si>
  <si>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</si>
  <si>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</si>
  <si>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</si>
  <si>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</si>
  <si>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BS_AMT_OF_TSY_STOCK</t>
  </si>
  <si>
    <t xml:space="preserve">  - Treasury Stock</t>
  </si>
  <si>
    <t>BS_ADD_PAID_IN_CAP</t>
  </si>
  <si>
    <t xml:space="preserve">    + Additional Paid in Capital</t>
  </si>
  <si>
    <t>BS_COMMON_STOCK</t>
  </si>
  <si>
    <t xml:space="preserve">    + Common Stock</t>
  </si>
  <si>
    <t>BS_SH_CAP_AND_APIC</t>
  </si>
  <si>
    <t xml:space="preserve">  + Share Capital &amp; APIC</t>
  </si>
  <si>
    <t>BS_PFD_EQTY_&amp;_HYBRID_CPTL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</si>
  <si>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</si>
  <si>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</si>
  <si>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</si>
  <si>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</si>
  <si>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</si>
  <si>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OTHER_NONCURRENT_LIABS_DETAILED</t>
  </si>
  <si>
    <t xml:space="preserve">    + Misc LT Liabilities</t>
  </si>
  <si>
    <t>BS_DERIVATIVE_&amp;_HEDGING_LIABS_LT</t>
  </si>
  <si>
    <t xml:space="preserve">    + Derivatives &amp; Hedging</t>
  </si>
  <si>
    <t>BS_DEFERRED_TAX_LIABILITIES_LT</t>
  </si>
  <si>
    <t xml:space="preserve">    + Deferred Tax Liabilities</t>
  </si>
  <si>
    <t>LT_DEFERRED_REVENUE</t>
  </si>
  <si>
    <t xml:space="preserve">    + Deferred Revenue</t>
  </si>
  <si>
    <t>PENSION_LIABILITIES</t>
  </si>
  <si>
    <t xml:space="preserve">    + Pension Liabilities</t>
  </si>
  <si>
    <t>BS_ACCRUED_LIABILITIES</t>
  </si>
  <si>
    <t xml:space="preserve">    + Accrued Liabilities</t>
  </si>
  <si>
    <t>OTHER_NONCUR_LIABS_SUB_DETAILED</t>
  </si>
  <si>
    <t xml:space="preserve">  + Other LT Liabilities</t>
  </si>
  <si>
    <t>BS_LT_OPERATING_LEASE_LIABS</t>
  </si>
  <si>
    <t xml:space="preserve">    + LT Operating Leases</t>
  </si>
  <si>
    <t>LT_CAPITAL_LEASE_OBLIGATIONS</t>
  </si>
  <si>
    <t xml:space="preserve">    + LT Finance Leases</t>
  </si>
  <si>
    <t>LT_CAPITALIZED_LEASE_LIABILITIES</t>
  </si>
  <si>
    <t xml:space="preserve">    + LT Lease Liabilities</t>
  </si>
  <si>
    <t>LONG_TERM_BORROWINGS_DETAILED</t>
  </si>
  <si>
    <t xml:space="preserve">    + LT Borrowings</t>
  </si>
  <si>
    <t>BS_LT_BORROW</t>
  </si>
  <si>
    <t xml:space="preserve">  + LT Debt</t>
  </si>
  <si>
    <t>BS_CUR_LIAB</t>
  </si>
  <si>
    <t>Total Current Liabilities</t>
  </si>
  <si>
    <t>OTHER_CURRENT_LIABS_DETAILED</t>
  </si>
  <si>
    <t xml:space="preserve">    + Misc ST Liabilities</t>
  </si>
  <si>
    <t>BS_DERIVATIVE_&amp;_HEDGING_LIABS_ST</t>
  </si>
  <si>
    <t>ST_DEFERRED_REVENUE</t>
  </si>
  <si>
    <t>OTHER_CURRENT_LIABS_SUB_DETAILED</t>
  </si>
  <si>
    <t xml:space="preserve">  + Other ST Liabilities</t>
  </si>
  <si>
    <t>BS_CURR_PORTION_LT_DEBT</t>
  </si>
  <si>
    <t xml:space="preserve">    + Current Portion of LT Debt</t>
  </si>
  <si>
    <t>BS_ST_OPERATING_LEASE_LIABS</t>
  </si>
  <si>
    <t xml:space="preserve">      + ST Operating Leases</t>
  </si>
  <si>
    <t>ST_CAPITAL_LEASE_OBLIGATIONS</t>
  </si>
  <si>
    <t xml:space="preserve">      + ST Finance Leases</t>
  </si>
  <si>
    <t>ST_CAPITALIZED_LEASE_LIABILITIES</t>
  </si>
  <si>
    <t xml:space="preserve">    + ST Lease Liabilities</t>
  </si>
  <si>
    <t>SHORT_TERM_DEBT_DETAILED</t>
  </si>
  <si>
    <t xml:space="preserve">    + ST Borrowings</t>
  </si>
  <si>
    <t>BS_ST_BORROW</t>
  </si>
  <si>
    <t xml:space="preserve">  + ST Debt</t>
  </si>
  <si>
    <t>BS_ACCRUAL</t>
  </si>
  <si>
    <t xml:space="preserve">    + Other Payables &amp; Accruals</t>
  </si>
  <si>
    <t>BS_INTEREST_&amp;_DIVIDENDS_PAYABLE</t>
  </si>
  <si>
    <t xml:space="preserve">    + Interest &amp; Dividends Payable</t>
  </si>
  <si>
    <t>BS_TAXES_PAYABLE</t>
  </si>
  <si>
    <t xml:space="preserve">    + Accrued Taxes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</si>
  <si>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</si>
  <si>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</si>
  <si>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</si>
  <si>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</si>
  <si>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</si>
  <si>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</si>
  <si>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</si>
  <si>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</si>
  <si>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</si>
  <si>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OTHER_NONCURRENT_ASSETS_DETAILED</t>
  </si>
  <si>
    <t xml:space="preserve">    + Misc LT Assets</t>
  </si>
  <si>
    <t>BS_DERIV_&amp;_HEDGING_ASSETS_LT</t>
  </si>
  <si>
    <t xml:space="preserve">    + Derivative &amp; Hedging Assets</t>
  </si>
  <si>
    <t>OTHER_INTANGIBLE_ASSETS_DETAILED</t>
  </si>
  <si>
    <t xml:space="preserve">    + Other Intangible Assets</t>
  </si>
  <si>
    <t>BS_GOODWILL</t>
  </si>
  <si>
    <t xml:space="preserve">    + Goodwill</t>
  </si>
  <si>
    <t>BS_DISCLOSED_INTANGIBLES</t>
  </si>
  <si>
    <t xml:space="preserve">    + Total Intangible Assets</t>
  </si>
  <si>
    <t>BS_OTHER_ASSETS_DEF_CHRG_OTHER</t>
  </si>
  <si>
    <t xml:space="preserve">  + Other LT Assets</t>
  </si>
  <si>
    <t>BS_LT_INVEST</t>
  </si>
  <si>
    <t xml:space="preserve">  + LT Investments &amp; Receivables</t>
  </si>
  <si>
    <t>BS_ACCUM_DEPR</t>
  </si>
  <si>
    <t xml:space="preserve">    - Accumulated Depreciation</t>
  </si>
  <si>
    <t>BS_GROSS_FIX_ASSET</t>
  </si>
  <si>
    <t xml:space="preserve">    + Property, Plant &amp; Equip</t>
  </si>
  <si>
    <t>BS_NET_FIX_ASSET</t>
  </si>
  <si>
    <t xml:space="preserve">  + Property, Plant &amp; Equip, Net</t>
  </si>
  <si>
    <t>BS_CUR_ASSET_REPORT</t>
  </si>
  <si>
    <t>Total Current Assets</t>
  </si>
  <si>
    <t>BS_OTHER_CUR_ASSET_LESS_PREPAY</t>
  </si>
  <si>
    <t xml:space="preserve">    + Misc ST Assets</t>
  </si>
  <si>
    <t>BS_TAXES_RECEIVABLE_SHORT_TERM</t>
  </si>
  <si>
    <t xml:space="preserve">    + Taxes Receivable</t>
  </si>
  <si>
    <t>BS_DEFERRED_TAX_ASSETS_ST</t>
  </si>
  <si>
    <t xml:space="preserve">    + Deferred Tax Assets</t>
  </si>
  <si>
    <t>BS_ASSETS_HELD_FOR_SALE_ST</t>
  </si>
  <si>
    <t xml:space="preserve">    + Assets Held-for-Sale</t>
  </si>
  <si>
    <t>BS_DERIV_&amp;_HEDGING_ASSETS_ST</t>
  </si>
  <si>
    <t>BS_PREPAY</t>
  </si>
  <si>
    <t xml:space="preserve">    + Prepaid Expenses</t>
  </si>
  <si>
    <t>OTHER_CURRENT_ASSETS_DETAILED</t>
  </si>
  <si>
    <t xml:space="preserve">  + Other ST Assets</t>
  </si>
  <si>
    <t>BS_OTHER_INV</t>
  </si>
  <si>
    <t xml:space="preserve">    + Other Inventory</t>
  </si>
  <si>
    <t>INVTRY_FINISHED_GOODS</t>
  </si>
  <si>
    <t xml:space="preserve">    + Finished Goods</t>
  </si>
  <si>
    <t>INVTRY_IN_PROGRESS</t>
  </si>
  <si>
    <t xml:space="preserve">    + Work In Process</t>
  </si>
  <si>
    <t>INVTRY_RAW_MATERIALS</t>
  </si>
  <si>
    <t xml:space="preserve">    + Raw Materials</t>
  </si>
  <si>
    <t>BS_INVENTORIES</t>
  </si>
  <si>
    <t xml:space="preserve">  + Inventories</t>
  </si>
  <si>
    <t>BS_UNBILLED_REVENUES</t>
  </si>
  <si>
    <t xml:space="preserve">  + Unbilled Revenues</t>
  </si>
  <si>
    <t>NOTES_RECEIVABLE</t>
  </si>
  <si>
    <t xml:space="preserve">    + Notes Receivable, Net</t>
  </si>
  <si>
    <t>BS_ACCTS_REC_EXCL_NOTES_REC</t>
  </si>
  <si>
    <t xml:space="preserve">    + Accounts Receivable, Net</t>
  </si>
  <si>
    <t>BS_ACCT_NOTE_RCV</t>
  </si>
  <si>
    <t xml:space="preserve">  + Accounts &amp; Notes Receiv</t>
  </si>
  <si>
    <t>BS_MKT_SEC_OTHER_ST_INVEST</t>
  </si>
  <si>
    <t xml:space="preserve">    + ST Investments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</si>
  <si>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</si>
  <si>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</si>
  <si>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</si>
  <si>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</si>
  <si>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06/30/2018</t>
  </si>
  <si>
    <t>03/31/2018</t>
  </si>
  <si>
    <t>Q2 2018</t>
  </si>
  <si>
    <t>Q1 2018</t>
  </si>
  <si>
    <t>CenturyLink Inc (LUMN US) - Standardized</t>
  </si>
  <si>
    <t>CASH_FLOW_TO_NET_INC</t>
  </si>
  <si>
    <t>Cash Flow to Net Income</t>
  </si>
  <si>
    <t>PX_TO_FREE_CASH_FLOW</t>
  </si>
  <si>
    <t>Price to Free Cash Flow</t>
  </si>
  <si>
    <t>FREE_CASH_FLOW_PER_SH</t>
  </si>
  <si>
    <t>Free Cash Flow per Basic Share</t>
  </si>
  <si>
    <t>FREE_CASH_FLOW_EQUITY</t>
  </si>
  <si>
    <t>Free Cash Flow to Equity</t>
  </si>
  <si>
    <t>CF_FREE_CASH_FLOW_FIRM</t>
  </si>
  <si>
    <t>Free Cash Flow to Firm</t>
  </si>
  <si>
    <t>CF_NET_CASH_PAID_FOR_AQUIS</t>
  </si>
  <si>
    <t>Net Cash Paid for Acquisitions</t>
  </si>
  <si>
    <t>Trailing 12M EBITDA Margin</t>
  </si>
  <si>
    <t>CF_ACT_CASH_PAID_FOR_INT_DEBT</t>
  </si>
  <si>
    <t>Cash Paid for Interest</t>
  </si>
  <si>
    <t>CF_CASH_PAID_FOR_TAX</t>
  </si>
  <si>
    <t>Cash Paid for Taxes</t>
  </si>
  <si>
    <t>CF_NET_CHNG_CASH</t>
  </si>
  <si>
    <t>Net Changes in Cash</t>
  </si>
  <si>
    <t>CF_EFFECT_FOREIGN_EXCHANGES</t>
  </si>
  <si>
    <t xml:space="preserve">  Effect of Foreign Exchange Rates</t>
  </si>
  <si>
    <t>CFF_ACTIVITIES_DETAILED</t>
  </si>
  <si>
    <t>Cash from Financing Activities</t>
  </si>
  <si>
    <t>CF_NET_CASH_DISCONTINUED_OPS_FIN</t>
  </si>
  <si>
    <t xml:space="preserve">  + Net Cash From Disc Ops</t>
  </si>
  <si>
    <t>OTHER_FIN_AND_DEC_CAP</t>
  </si>
  <si>
    <t xml:space="preserve">  + Other Financing Activities</t>
  </si>
  <si>
    <t>CF_DECR_CAP_STOCK</t>
  </si>
  <si>
    <t xml:space="preserve">    + Decrease in Capital Stock</t>
  </si>
  <si>
    <t>CF_INCR_CAP_STOCK</t>
  </si>
  <si>
    <t xml:space="preserve">    + Increase in Capital Stock</t>
  </si>
  <si>
    <t>PROC_FR_REPURCH_EQTY_DETAILED</t>
  </si>
  <si>
    <t xml:space="preserve">  + Cash (Repurchase) of Equity</t>
  </si>
  <si>
    <t>CF_PYMT_LT_DEBT_&amp;_CAPITAL_LEASE</t>
  </si>
  <si>
    <t xml:space="preserve">    + Repayments of LT Debt</t>
  </si>
  <si>
    <t>CF_PROC_LT_DEBT_&amp;_CAPITAL_LEASE</t>
  </si>
  <si>
    <t xml:space="preserve">    + Cash From LT Debt</t>
  </si>
  <si>
    <t>CF_NET_CHG_IN_ST_DBT_&amp;_CPTL_LEAS</t>
  </si>
  <si>
    <t xml:space="preserve">    + Cash From (Repay) ST Debt</t>
  </si>
  <si>
    <t>PROC_FR_REPAYMNTS_BOR_DETAILED</t>
  </si>
  <si>
    <t xml:space="preserve">  + Cash From (Repayment) Debt</t>
  </si>
  <si>
    <t>CF_DVD_PAID</t>
  </si>
  <si>
    <t xml:space="preserve">  + Dividends Paid</t>
  </si>
  <si>
    <t>CF_CASH_FROM_INV_ACT</t>
  </si>
  <si>
    <t>Cash from Investing Activities</t>
  </si>
  <si>
    <t>CF_NET_CASH_DISCONTINUED_OPS_INV</t>
  </si>
  <si>
    <t>OTHER_INVESTING_ACT_DETAILED</t>
  </si>
  <si>
    <t xml:space="preserve">  + Other Investing Activities</t>
  </si>
  <si>
    <t>CF_CASH_FOR_JOINT_VENTURES_ASSOC</t>
  </si>
  <si>
    <t xml:space="preserve">    + Cash for JVs</t>
  </si>
  <si>
    <t>CF_CASH_FOR_ACQUIS_SUBSIDIARIES</t>
  </si>
  <si>
    <t xml:space="preserve">    + Cash for Acq of Subs</t>
  </si>
  <si>
    <t>CF_CASH_FOR_DIVESTITURES</t>
  </si>
  <si>
    <t xml:space="preserve">    + Cash from Divestitures</t>
  </si>
  <si>
    <t>CF_NT_CSH_RCVD_PD_FOR_ACQUIS_DIV</t>
  </si>
  <si>
    <t xml:space="preserve">  + Net Cash From Acq &amp; Div</t>
  </si>
  <si>
    <t>CF_INCR_INVEST</t>
  </si>
  <si>
    <t xml:space="preserve">    + Inc in LT Investment</t>
  </si>
  <si>
    <t>CF_DECR_INVEST</t>
  </si>
  <si>
    <t xml:space="preserve">    + Dec in LT Investment</t>
  </si>
  <si>
    <t>NET_CHG_IN_LT_INVEST_DETAILED</t>
  </si>
  <si>
    <t xml:space="preserve">  + Net Change in LT Investment</t>
  </si>
  <si>
    <t>CF_ACQUISITION_OF_INTANG_ASSETS</t>
  </si>
  <si>
    <t xml:space="preserve">    + Acq of Intangible Assets</t>
  </si>
  <si>
    <t>CF_PURCHASE_OF_FIXED_PROD_ASSETS</t>
  </si>
  <si>
    <t xml:space="preserve">    + Acq of Fixed Prod Assets</t>
  </si>
  <si>
    <t>ACQUIS_FXD_&amp;_INTANG_DETAILED</t>
  </si>
  <si>
    <t xml:space="preserve">    + Acq of Fixed &amp; Intang</t>
  </si>
  <si>
    <t>CF_DISPOSAL_OF_INTANGIBLE_ASSETS</t>
  </si>
  <si>
    <t xml:space="preserve">    + Disp of Intangible Assets</t>
  </si>
  <si>
    <t>CF_DISPOSAL_OF_FIXED_PROD_ASSETS</t>
  </si>
  <si>
    <t xml:space="preserve">    + Disp of Fixed Prod Assets</t>
  </si>
  <si>
    <t>DISP_FXD_&amp;_INTANGIBLES_DETAILED</t>
  </si>
  <si>
    <t xml:space="preserve">    + Disp in Fixed &amp; Intang</t>
  </si>
  <si>
    <t>CHG_IN_FXD_&amp;_INTANG_AST_DETAILED</t>
  </si>
  <si>
    <t xml:space="preserve">  + Change in Fixed &amp; Intang</t>
  </si>
  <si>
    <t>Cash from Operating Activities</t>
  </si>
  <si>
    <t>CF_NET_CASH_DISCONT_OPS_OPER</t>
  </si>
  <si>
    <t>INC_DEC_IN_OT_OP_AST_LIAB_DETAIL</t>
  </si>
  <si>
    <t xml:space="preserve">    + Inc (Dec) in Other</t>
  </si>
  <si>
    <t>CF_CHANGE_IN_ACCOUNTS_PAYABLE</t>
  </si>
  <si>
    <t xml:space="preserve">    + Inc (Dec) in Accts Payable</t>
  </si>
  <si>
    <t>CF_CHANGE_IN_INVENTORIES</t>
  </si>
  <si>
    <t xml:space="preserve">    + (Inc) Dec in Inventories</t>
  </si>
  <si>
    <t>CF_ACCT_RCV_UNBILLED_REV</t>
  </si>
  <si>
    <t xml:space="preserve">    + (Inc) Dec in Accts Receiv</t>
  </si>
  <si>
    <t>CF_CHNG_NON_CASH_WORK_CAP</t>
  </si>
  <si>
    <t xml:space="preserve">  + Chg in Non-Cash Work Cap</t>
  </si>
  <si>
    <t>OTHER_NON_CASH_ADJ_LESS_DETAILED</t>
  </si>
  <si>
    <t xml:space="preserve">    + Other Non-Cash Adj</t>
  </si>
  <si>
    <t>CF_DEF_INC_TAX</t>
  </si>
  <si>
    <t xml:space="preserve">    + Deferred Income Taxes</t>
  </si>
  <si>
    <t>CF_STOCK_BASED_COMPENSATION</t>
  </si>
  <si>
    <t xml:space="preserve">    + Stock-Based Compensation</t>
  </si>
  <si>
    <t>NON_CASH_ITEMS_DETAILED</t>
  </si>
  <si>
    <t xml:space="preserve">  + Non-Cash Items</t>
  </si>
  <si>
    <t>CF_DEPR_AMORT</t>
  </si>
  <si>
    <t xml:space="preserve">  + Depreciation &amp; Amortization</t>
  </si>
  <si>
    <t>CF_NET_INC</t>
  </si>
  <si>
    <t xml:space="preserve">  +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</si>
</sst>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7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71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3" fontId="1" fillId="34" borderId="2">
      <alignment horizontal="right"/>
    </xf>
    <xf numFmtId="4" fontId="1" fillId="34" borderId="2">
      <alignment horizontal="right"/>
    </xf>
    <xf numFmtId="0" fontId="3" fillId="34" borderId="18"/>
  </cellStyleXfs>
  <cellXfs count="35">
    <xf numFmtId="0" fontId="0" fillId="0" borderId="0" xfId="0"/>
    <xf numFmtId="0" fontId="2" fillId="33" borderId="0" xfId="26"/>
    <xf numFmtId="0" fontId="5" fillId="33" borderId="15" xfId="51">
      <alignment horizontal="left" vertical="center" readingOrder="1"/>
    </xf>
    <xf numFmtId="0" fontId="6" fillId="34" borderId="0" xfId="31">
      <alignment horizontal="center"/>
    </xf>
    <xf numFmtId="0" fontId="7" fillId="33" borderId="16" xfId="58">
      <alignment horizontal="left"/>
    </xf>
    <xf numFmtId="0" fontId="7" fillId="33" borderId="16" xfId="59">
      <alignment horizontal="right"/>
    </xf>
    <xf numFmtId="0" fontId="7" fillId="33" borderId="17" xfId="60">
      <alignment horizontal="left"/>
    </xf>
    <xf numFmtId="0" fontId="7" fillId="33" borderId="17" xfId="61">
      <alignment horizontal="right"/>
    </xf>
    <xf numFmtId="0" fontId="4" fillId="34" borderId="18" xfId="62"/>
    <xf numFmtId="171" fontId="11" fillId="34" borderId="2" xfId="57">
      <alignment horizontal="right"/>
    </xf>
    <xf numFmtId="171" fontId="8" fillId="34" borderId="2" xfId="55">
      <alignment horizontal="right"/>
    </xf>
    <xf numFmtId="4" fontId="8" fillId="34" borderId="2" xfId="56">
      <alignment horizontal="right"/>
    </xf>
    <xf numFmtId="0" fontId="8" fillId="34" borderId="18" xfId="63"/>
    <xf numFmtId="3" fontId="8" fillId="34" borderId="2" xfId="54">
      <alignment horizontal="right"/>
    </xf>
    <xf numFmtId="3" fontId="1" fillId="34" borderId="2" xfId="64">
      <alignment horizontal="right"/>
    </xf>
    <xf numFmtId="4" fontId="1" fillId="34" borderId="2" xfId="65">
      <alignment horizontal="right"/>
    </xf>
    <xf numFmtId="0" fontId="3" fillId="34" borderId="18" xfId="66"/>
    <xf numFmtId="171" fontId="1" fillId="34" borderId="2" xfId="53">
      <alignment horizontal="right"/>
    </xf>
    <xf numFmtId="0" fontId="11" fillId="35" borderId="4" xfId="34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171" fontId="1" fillId="34" borderId="2" xfId="53" applyNumberFormat="1" applyFont="1" applyFill="1" applyBorder="1" applyAlignment="1" applyProtection="1">
      <alignment horizontal="right"/>
    </xf>
    <xf numFmtId="3" fontId="8" fillId="34" borderId="2" xfId="54" applyNumberFormat="1" applyFont="1" applyFill="1" applyBorder="1" applyAlignment="1" applyProtection="1">
      <alignment horizontal="right"/>
    </xf>
    <xf numFmtId="171" fontId="8" fillId="34" borderId="2" xfId="55" applyNumberFormat="1" applyFont="1" applyFill="1" applyBorder="1" applyAlignment="1" applyProtection="1">
      <alignment horizontal="right"/>
    </xf>
    <xf numFmtId="4" fontId="8" fillId="34" borderId="2" xfId="56" applyNumberFormat="1" applyFont="1" applyFill="1" applyBorder="1" applyAlignment="1" applyProtection="1">
      <alignment horizontal="right"/>
    </xf>
    <xf numFmtId="171" fontId="11" fillId="34" borderId="2" xfId="57" applyNumberFormat="1" applyFont="1" applyFill="1" applyBorder="1" applyAlignment="1" applyProtection="1">
      <alignment horizontal="right"/>
    </xf>
  </cellXfs>
  <cellStyles count="6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61" xr:uid="{131E686C-414D-4E3D-AD7C-BA31F3E536FC}"/>
    <cellStyle name="fa_column_header_bottom_left" xfId="52" xr:uid="{00000000-0005-0000-0000-00001F000000}"/>
    <cellStyle name="fa_column_header_bottom_left 2" xfId="60" xr:uid="{E6EF0834-084A-40ED-95FF-36546C67D92D}"/>
    <cellStyle name="fa_column_header_empty" xfId="31" xr:uid="{00000000-0005-0000-0000-000020000000}"/>
    <cellStyle name="fa_column_header_top" xfId="32" xr:uid="{00000000-0005-0000-0000-000021000000}"/>
    <cellStyle name="fa_column_header_top 2" xfId="59" xr:uid="{DAEA81AD-8640-4494-94B4-6977EBACF429}"/>
    <cellStyle name="fa_column_header_top_left" xfId="33" xr:uid="{00000000-0005-0000-0000-000022000000}"/>
    <cellStyle name="fa_column_header_top_left 2" xfId="58" xr:uid="{9E1A4CFE-6B41-43EE-A549-EC4E9CFCC097}"/>
    <cellStyle name="fa_data_bold_0_grouped" xfId="54" xr:uid="{00000000-0005-0000-0000-000023000000}"/>
    <cellStyle name="fa_data_bold_1_grouped" xfId="55" xr:uid="{00000000-0005-0000-0000-000024000000}"/>
    <cellStyle name="fa_data_bold_2_grouped" xfId="56" xr:uid="{00000000-0005-0000-0000-000025000000}"/>
    <cellStyle name="fa_data_italic_1_grouped" xfId="57" xr:uid="{00000000-0005-0000-0000-000026000000}"/>
    <cellStyle name="fa_data_standard_0_grouped" xfId="64" xr:uid="{EB639B87-4053-4988-BDB9-E9F7B66FF7C2}"/>
    <cellStyle name="fa_data_standard_1_grouped" xfId="53" xr:uid="{00000000-0005-0000-0000-000027000000}"/>
    <cellStyle name="fa_data_standard_2_grouped" xfId="65" xr:uid="{50682D39-C650-4E13-8C87-8767BF1FB196}"/>
    <cellStyle name="fa_footer_italic" xfId="34" xr:uid="{00000000-0005-0000-0000-000028000000}"/>
    <cellStyle name="fa_row_header_bold" xfId="35" xr:uid="{00000000-0005-0000-0000-000029000000}"/>
    <cellStyle name="fa_row_header_bold 2" xfId="63" xr:uid="{8C98C9AF-9DB2-4732-95CB-09B37FD58B77}"/>
    <cellStyle name="fa_row_header_italic" xfId="36" xr:uid="{00000000-0005-0000-0000-00002A000000}"/>
    <cellStyle name="fa_row_header_italic 2" xfId="62" xr:uid="{61BFE2EA-F644-49C2-977B-05061F6B987E}"/>
    <cellStyle name="fa_row_header_standard" xfId="37" xr:uid="{00000000-0005-0000-0000-00002B000000}"/>
    <cellStyle name="fa_row_header_standard 2" xfId="66" xr:uid="{AC2B756E-DFC7-4D99-BCFB-7AD9FB1B127A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BDH|10143834014554586725</stp>
        <tr r="G28" s="4"/>
      </tp>
      <tp t="s">
        <v>#N/A N/A</v>
        <stp/>
        <stp>BDH|17575523637509091215</stp>
        <tr r="H16" s="4"/>
      </tp>
      <tp t="s">
        <v>#N/A N/A</v>
        <stp/>
        <stp>BDH|10797009991787083473</stp>
        <tr r="J51" s="3"/>
      </tp>
      <tp t="s">
        <v>#N/A N/A</v>
        <stp/>
        <stp>BDH|13050639378941896935</stp>
        <tr r="L31" s="5"/>
      </tp>
      <tp t="s">
        <v>#N/A N/A</v>
        <stp/>
        <stp>BDH|14062032840053787944</stp>
        <tr r="J38" s="5"/>
      </tp>
      <tp t="s">
        <v>#N/A N/A</v>
        <stp/>
        <stp>BDH|11061979106853125101</stp>
        <tr r="D8" s="2"/>
      </tp>
      <tp t="s">
        <v>#N/A N/A</v>
        <stp/>
        <stp>BDH|10200335532853834981</stp>
        <tr r="G27" s="4"/>
      </tp>
      <tp t="s">
        <v>#N/A N/A</v>
        <stp/>
        <stp>BDH|15916588085850699214</stp>
        <tr r="F24" s="5"/>
      </tp>
      <tp t="s">
        <v>#N/A N/A</v>
        <stp/>
        <stp>BDH|10494008677074820981</stp>
        <tr r="C43" s="4"/>
      </tp>
      <tp t="s">
        <v>#N/A N/A</v>
        <stp/>
        <stp>BDH|16985171434248942608</stp>
        <tr r="D24" s="2"/>
      </tp>
      <tp t="s">
        <v>#N/A N/A</v>
        <stp/>
        <stp>BDH|12784379695327192566</stp>
        <tr r="D8" s="4"/>
      </tp>
      <tp t="s">
        <v>#N/A N/A</v>
        <stp/>
        <stp>BDH|18155577093457373940</stp>
        <tr r="E29" s="3"/>
      </tp>
      <tp t="s">
        <v>#N/A N/A</v>
        <stp/>
        <stp>BDH|17731034713139451560</stp>
        <tr r="E26" s="3"/>
      </tp>
      <tp t="s">
        <v>#N/A N/A</v>
        <stp/>
        <stp>BDH|14492666361648099678</stp>
        <tr r="G35" s="4"/>
      </tp>
      <tp t="s">
        <v>#N/A N/A</v>
        <stp/>
        <stp>BDH|18293772816776247250</stp>
        <tr r="G38" s="3"/>
      </tp>
      <tp t="s">
        <v>#N/A N/A</v>
        <stp/>
        <stp>BDH|16024302496777754163</stp>
        <tr r="J33" s="3"/>
      </tp>
      <tp t="s">
        <v>#N/A N/A</v>
        <stp/>
        <stp>BDH|14612079223475282974</stp>
        <tr r="E66" s="5"/>
      </tp>
      <tp t="s">
        <v>#N/A N/A</v>
        <stp/>
        <stp>BDH|11160158084642305058</stp>
        <tr r="J25" s="4"/>
      </tp>
      <tp t="s">
        <v>#N/A N/A</v>
        <stp/>
        <stp>BDH|11419058219349682373</stp>
        <tr r="E46" s="5"/>
      </tp>
      <tp t="s">
        <v>#N/A N/A</v>
        <stp/>
        <stp>BDH|17195388867328570023</stp>
        <tr r="J86" s="4"/>
      </tp>
      <tp t="s">
        <v>#N/A N/A</v>
        <stp/>
        <stp>BDH|15463304460528815253</stp>
        <tr r="H54" s="4"/>
      </tp>
      <tp t="s">
        <v>#N/A N/A</v>
        <stp/>
        <stp>BDH|11396471611999509795</stp>
        <tr r="J46" s="5"/>
      </tp>
      <tp t="s">
        <v>#N/A N/A</v>
        <stp/>
        <stp>BDH|14226841440917863562</stp>
        <tr r="L67" s="4"/>
      </tp>
      <tp t="s">
        <v>#N/A N/A</v>
        <stp/>
        <stp>BDH|15845234840211030832</stp>
        <tr r="I72" s="3"/>
      </tp>
      <tp t="s">
        <v>#N/A N/A</v>
        <stp/>
        <stp>BDH|16148389327648649533</stp>
        <tr r="D12" s="5"/>
      </tp>
      <tp t="s">
        <v>#N/A N/A</v>
        <stp/>
        <stp>BDH|12956015695474342550</stp>
        <tr r="F55" s="3"/>
      </tp>
      <tp t="s">
        <v>#N/A N/A</v>
        <stp/>
        <stp>BDH|18104800245237728998</stp>
        <tr r="K51" s="4"/>
      </tp>
      <tp t="s">
        <v>#N/A N/A</v>
        <stp/>
        <stp>BDH|14928594049489185622</stp>
        <tr r="D68" s="5"/>
      </tp>
      <tp t="s">
        <v>#N/A N/A</v>
        <stp/>
        <stp>BDH|13085094590382532262</stp>
        <tr r="C63" s="5"/>
      </tp>
      <tp t="s">
        <v>#N/A N/A</v>
        <stp/>
        <stp>BDH|14572936437770250496</stp>
        <tr r="E46" s="4"/>
      </tp>
      <tp t="s">
        <v>#N/A N/A</v>
        <stp/>
        <stp>BDH|15091840752481283390</stp>
        <tr r="E64" s="5"/>
        <tr r="C25" s="2"/>
      </tp>
      <tp t="s">
        <v>#N/A N/A</v>
        <stp/>
        <stp>BDH|16787147075369863326</stp>
        <tr r="J48" s="3"/>
      </tp>
      <tp t="s">
        <v>#N/A N/A</v>
        <stp/>
        <stp>BDH|10234200189646065671</stp>
        <tr r="G12" s="4"/>
      </tp>
      <tp t="s">
        <v>#N/A N/A</v>
        <stp/>
        <stp>BDH|11248016183532762185</stp>
        <tr r="L22" s="4"/>
      </tp>
      <tp t="s">
        <v>#N/A N/A</v>
        <stp/>
        <stp>BDH|14075894842883125140</stp>
        <tr r="H76" s="4"/>
      </tp>
      <tp t="s">
        <v>#N/A N/A</v>
        <stp/>
        <stp>BDH|12071722622909853466</stp>
        <tr r="I63" s="3"/>
      </tp>
      <tp t="s">
        <v>#N/A N/A</v>
        <stp/>
        <stp>BDH|15833729677307370802</stp>
        <tr r="E88" s="4"/>
      </tp>
      <tp t="s">
        <v>#N/A N/A</v>
        <stp/>
        <stp>BDH|12884994354415283191</stp>
        <tr r="G93" s="4"/>
      </tp>
      <tp t="s">
        <v>#N/A N/A</v>
        <stp/>
        <stp>BDH|13020882352247328281</stp>
        <tr r="C56" s="3"/>
        <tr r="C20" s="2"/>
      </tp>
      <tp t="s">
        <v>#N/A N/A</v>
        <stp/>
        <stp>BDH|16760043471433668957</stp>
        <tr r="J16" s="5"/>
      </tp>
      <tp t="s">
        <v>#N/A N/A</v>
        <stp/>
        <stp>BDH|15439776737583549903</stp>
        <tr r="H61" s="3"/>
      </tp>
      <tp t="s">
        <v>#N/A N/A</v>
        <stp/>
        <stp>BDH|18185296318110541050</stp>
        <tr r="D48" s="3"/>
      </tp>
      <tp t="s">
        <v>#N/A N/A</v>
        <stp/>
        <stp>BDH|12424454191124081008</stp>
        <tr r="J29" s="4"/>
      </tp>
      <tp t="s">
        <v>#N/A N/A</v>
        <stp/>
        <stp>BDH|12135968136721799260</stp>
        <tr r="I49" s="4"/>
      </tp>
      <tp t="s">
        <v>#N/A N/A</v>
        <stp/>
        <stp>BDH|12437972211063385228</stp>
        <tr r="C9" s="3"/>
      </tp>
      <tp t="s">
        <v>#N/A N/A</v>
        <stp/>
        <stp>BDH|11426958795063591926</stp>
        <tr r="L38" s="4"/>
      </tp>
      <tp t="s">
        <v>#N/A N/A</v>
        <stp/>
        <stp>BDH|10326082446989823672</stp>
        <tr r="F18" s="3"/>
      </tp>
      <tp t="s">
        <v>#N/A N/A</v>
        <stp/>
        <stp>BDH|10783829437968601861</stp>
        <tr r="C72" s="3"/>
      </tp>
      <tp t="s">
        <v>#N/A N/A</v>
        <stp/>
        <stp>BDH|17747025806149951589</stp>
        <tr r="D10" s="5"/>
      </tp>
      <tp t="s">
        <v>#N/A N/A</v>
        <stp/>
        <stp>BDH|15800806919240609758</stp>
        <tr r="J30" s="4"/>
      </tp>
      <tp t="s">
        <v>#N/A N/A</v>
        <stp/>
        <stp>BDH|17533793057236100881</stp>
        <tr r="J67" s="3"/>
      </tp>
      <tp t="s">
        <v>#N/A N/A</v>
        <stp/>
        <stp>BDH|10394846226445148429</stp>
        <tr r="D52" s="4"/>
      </tp>
      <tp t="s">
        <v>#N/A N/A</v>
        <stp/>
        <stp>BDH|11994099130269686037</stp>
        <tr r="F89" s="4"/>
      </tp>
      <tp t="s">
        <v>#N/A N/A</v>
        <stp/>
        <stp>BDH|10936545392000892722</stp>
        <tr r="G70" s="4"/>
      </tp>
      <tp t="s">
        <v>#N/A N/A</v>
        <stp/>
        <stp>BDH|11399235385908718873</stp>
        <tr r="J11" s="5"/>
      </tp>
      <tp t="s">
        <v>#N/A N/A</v>
        <stp/>
        <stp>BDH|14000867363231095008</stp>
        <tr r="F27" s="5"/>
      </tp>
      <tp t="s">
        <v>#N/A N/A</v>
        <stp/>
        <stp>BDH|12421269473005028957</stp>
        <tr r="K76" s="4"/>
      </tp>
      <tp t="s">
        <v>#N/A N/A</v>
        <stp/>
        <stp>BDH|14532067839435830966</stp>
        <tr r="C46" s="4"/>
      </tp>
      <tp t="s">
        <v>#N/A N/A</v>
        <stp/>
        <stp>BDH|11499956140406436122</stp>
        <tr r="D90" s="4"/>
      </tp>
      <tp t="s">
        <v>#N/A N/A</v>
        <stp/>
        <stp>BDH|13366119860739052654</stp>
        <tr r="E9" s="5"/>
      </tp>
      <tp t="s">
        <v>#N/A N/A</v>
        <stp/>
        <stp>BDH|13478217413309319221</stp>
        <tr r="D30" s="5"/>
      </tp>
      <tp t="s">
        <v>#N/A N/A</v>
        <stp/>
        <stp>BDH|14213267118629830531</stp>
        <tr r="C70" s="4"/>
      </tp>
      <tp t="s">
        <v>#N/A N/A</v>
        <stp/>
        <stp>BDH|16012469126278235349</stp>
        <tr r="G36" s="4"/>
      </tp>
      <tp t="s">
        <v>#N/A N/A</v>
        <stp/>
        <stp>BDH|10111712175753435872</stp>
        <tr r="L13" s="5"/>
      </tp>
      <tp t="s">
        <v>#N/A N/A</v>
        <stp/>
        <stp>BDH|14557782880024700439</stp>
        <tr r="D29" s="4"/>
      </tp>
      <tp t="s">
        <v>#N/A N/A</v>
        <stp/>
        <stp>BDH|10425845168182333727</stp>
        <tr r="I44" s="3"/>
        <tr r="I18" s="2"/>
      </tp>
      <tp t="s">
        <v>#N/A N/A</v>
        <stp/>
        <stp>BDH|10178759797546887338</stp>
        <tr r="E66" s="4"/>
      </tp>
      <tp t="s">
        <v>#N/A N/A</v>
        <stp/>
        <stp>BDH|18029636283384880901</stp>
        <tr r="J9" s="4"/>
      </tp>
      <tp t="s">
        <v>#N/A N/A</v>
        <stp/>
        <stp>BDH|17796790490523534106</stp>
        <tr r="F17" s="5"/>
      </tp>
      <tp t="s">
        <v>#N/A N/A</v>
        <stp/>
        <stp>BDH|14566609980387811663</stp>
        <tr r="J17" s="5"/>
      </tp>
      <tp t="s">
        <v>#N/A N/A</v>
        <stp/>
        <stp>BDH|12845110520388036224</stp>
        <tr r="D42" s="5"/>
      </tp>
      <tp t="s">
        <v>#N/A N/A</v>
        <stp/>
        <stp>BDH|10933454422455710827</stp>
        <tr r="J18" s="3"/>
      </tp>
      <tp t="s">
        <v>#N/A N/A</v>
        <stp/>
        <stp>BDH|13123734018806876887</stp>
        <tr r="J51" s="4"/>
      </tp>
      <tp t="s">
        <v>#N/A N/A</v>
        <stp/>
        <stp>BDH|17306216599034104303</stp>
        <tr r="E38" s="4"/>
      </tp>
      <tp t="s">
        <v>#N/A N/A</v>
        <stp/>
        <stp>BDH|16552336562839680187</stp>
        <tr r="E14" s="4"/>
      </tp>
      <tp t="s">
        <v>#N/A N/A</v>
        <stp/>
        <stp>BDH|13614004689409517979</stp>
        <tr r="J79" s="4"/>
      </tp>
      <tp t="s">
        <v>#N/A N/A</v>
        <stp/>
        <stp>BDH|15338089832265644825</stp>
        <tr r="H37" s="5"/>
      </tp>
      <tp t="s">
        <v>#N/A N/A</v>
        <stp/>
        <stp>BDH|16289036174852083886</stp>
        <tr r="F58" s="4"/>
      </tp>
      <tp t="s">
        <v>#N/A N/A</v>
        <stp/>
        <stp>BDH|12891878004901468021</stp>
        <tr r="H7" s="2"/>
      </tp>
      <tp t="s">
        <v>#N/A N/A</v>
        <stp/>
        <stp>BDH|16537874432410484695</stp>
        <tr r="D71" s="4"/>
      </tp>
      <tp t="s">
        <v>#N/A N/A</v>
        <stp/>
        <stp>BDH|15102654888981516140</stp>
        <tr r="H87" s="4"/>
      </tp>
      <tp t="s">
        <v>#N/A N/A</v>
        <stp/>
        <stp>BDH|18413884192160106220</stp>
        <tr r="F42" s="4"/>
      </tp>
      <tp t="s">
        <v>#N/A N/A</v>
        <stp/>
        <stp>BDH|17672471221353461989</stp>
        <tr r="F65" s="5"/>
      </tp>
      <tp t="s">
        <v>#N/A N/A</v>
        <stp/>
        <stp>BDH|11677986962177693261</stp>
        <tr r="F37" s="5"/>
      </tp>
      <tp t="s">
        <v>#N/A N/A</v>
        <stp/>
        <stp>BDH|16718690174178059467</stp>
        <tr r="I14" s="4"/>
      </tp>
      <tp t="s">
        <v>#N/A N/A</v>
        <stp/>
        <stp>BDH|18288636816121035584</stp>
        <tr r="C18" s="3"/>
      </tp>
      <tp t="s">
        <v>#N/A N/A</v>
        <stp/>
        <stp>BDH|12431995714153071264</stp>
        <tr r="I68" s="5"/>
      </tp>
      <tp t="s">
        <v>#N/A N/A</v>
        <stp/>
        <stp>BDH|11441383572669016709</stp>
        <tr r="D9" s="3"/>
      </tp>
      <tp t="s">
        <v>#N/A N/A</v>
        <stp/>
        <stp>BDH|15906383994341337583</stp>
        <tr r="I27" s="3"/>
      </tp>
      <tp t="s">
        <v>#N/A N/A</v>
        <stp/>
        <stp>BDH|15807716183149764831</stp>
        <tr r="I8" s="5"/>
      </tp>
      <tp t="s">
        <v>#N/A N/A</v>
        <stp/>
        <stp>BDH|16588423748794735968</stp>
        <tr r="L67" s="5"/>
      </tp>
      <tp t="s">
        <v>#N/A N/A</v>
        <stp/>
        <stp>BDH|11296092723598013069</stp>
        <tr r="H21" s="3"/>
      </tp>
      <tp t="s">
        <v>#N/A N/A</v>
        <stp/>
        <stp>BDH|14954992911635836189</stp>
        <tr r="D56" s="3"/>
        <tr r="D20" s="2"/>
      </tp>
      <tp t="s">
        <v>#N/A N/A</v>
        <stp/>
        <stp>BDH|17782112170831491837</stp>
        <tr r="K7" s="5"/>
      </tp>
      <tp t="s">
        <v>#N/A N/A</v>
        <stp/>
        <stp>BDH|18032154494580459841</stp>
        <tr r="E9" s="2"/>
      </tp>
      <tp t="s">
        <v>#N/A N/A</v>
        <stp/>
        <stp>BDH|16173046135439285427</stp>
        <tr r="C39" s="3"/>
      </tp>
      <tp t="s">
        <v>#N/A N/A</v>
        <stp/>
        <stp>BDH|18348674796569432665</stp>
        <tr r="E27" s="4"/>
      </tp>
      <tp t="s">
        <v>#N/A N/A</v>
        <stp/>
        <stp>BDH|17361009510866017834</stp>
        <tr r="I23" s="4"/>
      </tp>
      <tp t="s">
        <v>#N/A N/A</v>
        <stp/>
        <stp>BDH|10955250418532237963</stp>
        <tr r="C94" s="4"/>
      </tp>
      <tp t="s">
        <v>#N/A N/A</v>
        <stp/>
        <stp>BDH|10754959887040125949</stp>
        <tr r="J10" s="4"/>
      </tp>
      <tp t="s">
        <v>#N/A N/A</v>
        <stp/>
        <stp>BDH|16711073480927760145</stp>
        <tr r="E56" s="4"/>
      </tp>
      <tp t="s">
        <v>#N/A N/A</v>
        <stp/>
        <stp>BDH|16391813955313561010</stp>
        <tr r="F56" s="3"/>
        <tr r="F20" s="2"/>
      </tp>
      <tp t="s">
        <v>#N/A N/A</v>
        <stp/>
        <stp>BDH|15647970729506921021</stp>
        <tr r="L42" s="4"/>
      </tp>
      <tp t="s">
        <v>#N/A N/A</v>
        <stp/>
        <stp>BDH|12891388366057236873</stp>
        <tr r="I67" s="3"/>
      </tp>
      <tp t="s">
        <v>#N/A N/A</v>
        <stp/>
        <stp>BDH|15100595682672023290</stp>
        <tr r="K22" s="4"/>
      </tp>
      <tp t="s">
        <v>#N/A N/A</v>
        <stp/>
        <stp>BDH|12137533299823042589</stp>
        <tr r="J56" s="4"/>
      </tp>
      <tp t="s">
        <v>#N/A N/A</v>
        <stp/>
        <stp>BDH|17472800960918703916</stp>
        <tr r="E10" s="4"/>
      </tp>
      <tp t="s">
        <v>#N/A N/A</v>
        <stp/>
        <stp>BDH|14118918444577115671</stp>
        <tr r="F7" s="3"/>
      </tp>
      <tp t="s">
        <v>#N/A N/A</v>
        <stp/>
        <stp>BDH|17767940458025811610</stp>
        <tr r="F29" s="5"/>
      </tp>
      <tp t="s">
        <v>#N/A N/A</v>
        <stp/>
        <stp>BDH|15652181989312774625</stp>
        <tr r="D25" s="4"/>
      </tp>
      <tp t="s">
        <v>#N/A N/A</v>
        <stp/>
        <stp>BDH|13863038058208162672</stp>
        <tr r="H45" s="4"/>
      </tp>
      <tp t="s">
        <v>#N/A N/A</v>
        <stp/>
        <stp>BDH|14067211785061795776</stp>
        <tr r="H61" s="4"/>
      </tp>
      <tp t="s">
        <v>#N/A N/A</v>
        <stp/>
        <stp>BDH|15349126832328398772</stp>
        <tr r="G35" s="5"/>
      </tp>
      <tp t="s">
        <v>#N/A N/A</v>
        <stp/>
        <stp>BDH|12899129884443817019</stp>
        <tr r="C47" s="5"/>
      </tp>
      <tp t="s">
        <v>#N/A N/A</v>
        <stp/>
        <stp>BDH|13695043455138188610</stp>
        <tr r="I50" s="5"/>
      </tp>
      <tp t="s">
        <v>#N/A N/A</v>
        <stp/>
        <stp>BDH|13220495511268464689</stp>
        <tr r="F30" s="3"/>
      </tp>
      <tp t="s">
        <v>#N/A N/A</v>
        <stp/>
        <stp>BDH|18234119089449592099</stp>
        <tr r="E19" s="4"/>
      </tp>
      <tp t="s">
        <v>#N/A N/A</v>
        <stp/>
        <stp>BDH|11102222699980877241</stp>
        <tr r="I31" s="5"/>
      </tp>
      <tp t="s">
        <v>#N/A N/A</v>
        <stp/>
        <stp>BDH|17333644298771037192</stp>
        <tr r="E21" s="4"/>
      </tp>
      <tp t="s">
        <v>#N/A N/A</v>
        <stp/>
        <stp>BDH|10354626308628677669</stp>
        <tr r="H48" s="3"/>
      </tp>
      <tp t="s">
        <v>#N/A N/A</v>
        <stp/>
        <stp>BDH|11658772893855256296</stp>
        <tr r="I38" s="4"/>
      </tp>
      <tp t="s">
        <v>#N/A N/A</v>
        <stp/>
        <stp>BDH|16893531812702353839</stp>
        <tr r="G31" s="4"/>
      </tp>
      <tp t="s">
        <v>#N/A N/A</v>
        <stp/>
        <stp>BDH|15816918212637585260</stp>
        <tr r="L30" s="5"/>
      </tp>
      <tp t="s">
        <v>#N/A N/A</v>
        <stp/>
        <stp>BDH|11020988681719790157</stp>
        <tr r="K62" s="5"/>
      </tp>
      <tp t="s">
        <v>#N/A N/A</v>
        <stp/>
        <stp>BDH|11093592687102693632</stp>
        <tr r="D38" s="5"/>
      </tp>
      <tp t="s">
        <v>#N/A N/A</v>
        <stp/>
        <stp>BDH|16855859814425381210</stp>
        <tr r="J62" s="3"/>
      </tp>
      <tp t="s">
        <v>#N/A N/A</v>
        <stp/>
        <stp>BDH|10946939245602715721</stp>
        <tr r="L21" s="4"/>
      </tp>
      <tp t="s">
        <v>#N/A N/A</v>
        <stp/>
        <stp>BDH|16348449884066158481</stp>
        <tr r="I17" s="5"/>
      </tp>
      <tp t="s">
        <v>#N/A N/A</v>
        <stp/>
        <stp>BDH|12531271305988907044</stp>
        <tr r="C51" s="3"/>
      </tp>
      <tp t="s">
        <v>#N/A N/A</v>
        <stp/>
        <stp>BDH|11484789470491794863</stp>
        <tr r="F57" s="5"/>
      </tp>
      <tp t="s">
        <v>#N/A N/A</v>
        <stp/>
        <stp>BDH|15672288757469304378</stp>
        <tr r="E62" s="3"/>
      </tp>
      <tp t="s">
        <v>#N/A N/A</v>
        <stp/>
        <stp>BDH|11000977323402803013</stp>
        <tr r="I80" s="4"/>
      </tp>
      <tp t="s">
        <v>#N/A N/A</v>
        <stp/>
        <stp>BDH|13704221165079915657</stp>
        <tr r="E68" s="3"/>
      </tp>
      <tp t="s">
        <v>#N/A N/A</v>
        <stp/>
        <stp>BDH|16463625365136996853</stp>
        <tr r="G90" s="4"/>
      </tp>
      <tp t="s">
        <v>#N/A N/A</v>
        <stp/>
        <stp>BDH|17178915134964854131</stp>
        <tr r="I48" s="4"/>
      </tp>
      <tp t="s">
        <v>#N/A N/A</v>
        <stp/>
        <stp>BDH|17859122953108731317</stp>
        <tr r="D14" s="4"/>
      </tp>
      <tp t="s">
        <v>#N/A N/A</v>
        <stp/>
        <stp>BDH|13824472415109387775</stp>
        <tr r="K20" s="4"/>
      </tp>
      <tp t="s">
        <v>#N/A N/A</v>
        <stp/>
        <stp>BDH|13413206481178200992</stp>
        <tr r="I58" s="5"/>
      </tp>
      <tp t="s">
        <v>#N/A N/A</v>
        <stp/>
        <stp>BDH|13203482709387669948</stp>
        <tr r="H20" s="4"/>
      </tp>
      <tp t="s">
        <v>#N/A N/A</v>
        <stp/>
        <stp>BDH|10691217955906781857</stp>
        <tr r="D81" s="4"/>
      </tp>
      <tp t="s">
        <v>#N/A N/A</v>
        <stp/>
        <stp>BDH|14123868741377024667</stp>
        <tr r="D44" s="5"/>
      </tp>
      <tp t="s">
        <v>#N/A N/A</v>
        <stp/>
        <stp>BDH|17741039224995014903</stp>
        <tr r="G72" s="4"/>
      </tp>
      <tp t="s">
        <v>#N/A N/A</v>
        <stp/>
        <stp>BDH|12875852438287154746</stp>
        <tr r="E72" s="4"/>
      </tp>
      <tp t="s">
        <v>#N/A N/A</v>
        <stp/>
        <stp>BDH|13644559104817727836</stp>
        <tr r="H58" s="5"/>
      </tp>
      <tp t="s">
        <v>#N/A N/A</v>
        <stp/>
        <stp>BDH|16174076686875668245</stp>
        <tr r="H74" s="4"/>
      </tp>
      <tp t="s">
        <v>#N/A N/A</v>
        <stp/>
        <stp>BDH|17134327162938269316</stp>
        <tr r="H9" s="2"/>
      </tp>
      <tp t="s">
        <v>#N/A N/A</v>
        <stp/>
        <stp>BDH|18297784569896603679</stp>
        <tr r="F29" s="4"/>
      </tp>
      <tp t="s">
        <v>#N/A N/A</v>
        <stp/>
        <stp>BDH|10919893624644033762</stp>
        <tr r="H37" s="3"/>
      </tp>
      <tp t="s">
        <v>#N/A N/A</v>
        <stp/>
        <stp>BDH|16065243844729342068</stp>
        <tr r="E23" s="3"/>
      </tp>
      <tp t="s">
        <v>#N/A N/A</v>
        <stp/>
        <stp>BDH|15577220216506282966</stp>
        <tr r="C62" s="5"/>
      </tp>
      <tp t="s">
        <v>#N/A N/A</v>
        <stp/>
        <stp>BDH|10720632834338010451</stp>
        <tr r="E74" s="4"/>
      </tp>
      <tp t="s">
        <v>#N/A N/A</v>
        <stp/>
        <stp>BDH|13840193784554571753</stp>
        <tr r="H72" s="4"/>
      </tp>
      <tp t="s">
        <v>#N/A N/A</v>
        <stp/>
        <stp>BDH|18116453037865657314</stp>
        <tr r="K37" s="5"/>
      </tp>
      <tp t="s">
        <v>#N/A N/A</v>
        <stp/>
        <stp>BDH|17900167383525193290</stp>
        <tr r="G85" s="4"/>
      </tp>
      <tp t="s">
        <v>#N/A N/A</v>
        <stp/>
        <stp>BDH|15197867182624179801</stp>
        <tr r="C32" s="3"/>
      </tp>
      <tp t="s">
        <v>#N/A N/A</v>
        <stp/>
        <stp>BDH|14204482544725286883</stp>
        <tr r="E44" s="4"/>
      </tp>
      <tp t="s">
        <v>#N/A N/A</v>
        <stp/>
        <stp>BDH|16078411597312602046</stp>
        <tr r="D27" s="4"/>
      </tp>
      <tp t="s">
        <v>#N/A N/A</v>
        <stp/>
        <stp>BDH|17842983909210425790</stp>
        <tr r="J27" s="5"/>
      </tp>
      <tp t="s">
        <v>#N/A N/A</v>
        <stp/>
        <stp>BDH|15137916108154973169</stp>
        <tr r="E28" s="3"/>
      </tp>
      <tp t="s">
        <v>#N/A N/A</v>
        <stp/>
        <stp>BDH|13125526903327292856</stp>
        <tr r="J71" s="3"/>
      </tp>
      <tp t="s">
        <v>#N/A N/A</v>
        <stp/>
        <stp>BDH|12056468562960752940</stp>
        <tr r="L44" s="4"/>
      </tp>
      <tp t="s">
        <v>#N/A N/A</v>
        <stp/>
        <stp>BDH|12254152332048795144</stp>
        <tr r="I65" s="4"/>
      </tp>
      <tp t="s">
        <v>#N/A N/A</v>
        <stp/>
        <stp>BDH|12127816501985047675</stp>
        <tr r="K93" s="4"/>
      </tp>
      <tp t="s">
        <v>#N/A N/A</v>
        <stp/>
        <stp>BDH|15744900850374300425</stp>
        <tr r="G89" s="4"/>
      </tp>
      <tp t="s">
        <v>#N/A N/A</v>
        <stp/>
        <stp>BDH|18182828189219521896</stp>
        <tr r="E7" s="5"/>
      </tp>
      <tp t="s">
        <v>#N/A N/A</v>
        <stp/>
        <stp>BDH|13852277689229653960</stp>
        <tr r="F46" s="4"/>
      </tp>
      <tp t="s">
        <v>#N/A N/A</v>
        <stp/>
        <stp>BDH|12720419341259148209</stp>
        <tr r="J21" s="4"/>
      </tp>
      <tp t="s">
        <v>#N/A N/A</v>
        <stp/>
        <stp>BDH|15680280957319961269</stp>
        <tr r="K94" s="4"/>
      </tp>
      <tp t="s">
        <v>#N/A N/A</v>
        <stp/>
        <stp>BDH|16493800397576248892</stp>
        <tr r="J44" s="3"/>
        <tr r="J18" s="2"/>
      </tp>
      <tp t="s">
        <v>#N/A N/A</v>
        <stp/>
        <stp>BDH|14820970678257600490</stp>
        <tr r="E68" s="4"/>
      </tp>
      <tp t="s">
        <v>#N/A N/A</v>
        <stp/>
        <stp>BDH|14939001005024279962</stp>
        <tr r="D64" s="5"/>
      </tp>
      <tp t="s">
        <v>#N/A N/A</v>
        <stp/>
        <stp>BDH|11377142407329951017</stp>
        <tr r="G64" s="3"/>
      </tp>
      <tp t="s">
        <v>#N/A N/A</v>
        <stp/>
        <stp>BDH|16651822842767988446</stp>
        <tr r="G61" s="5"/>
      </tp>
      <tp t="s">
        <v>#N/A N/A</v>
        <stp/>
        <stp>BDH|13610921882272977946</stp>
        <tr r="I11" s="3"/>
        <tr r="I14" s="2"/>
      </tp>
      <tp t="s">
        <v>#N/A N/A</v>
        <stp/>
        <stp>BDH|11914927565386013150</stp>
        <tr r="F36" s="5"/>
      </tp>
      <tp t="s">
        <v>#N/A N/A</v>
        <stp/>
        <stp>BDH|17029889042777408558</stp>
        <tr r="J35" s="3"/>
      </tp>
      <tp t="s">
        <v>#N/A N/A</v>
        <stp/>
        <stp>BDH|10845941600289602909</stp>
        <tr r="J36" s="4"/>
      </tp>
      <tp t="s">
        <v>#N/A N/A</v>
        <stp/>
        <stp>BDH|11995917723431665278</stp>
        <tr r="I27" s="5"/>
      </tp>
      <tp t="s">
        <v>#N/A N/A</v>
        <stp/>
        <stp>BDH|13098364135598699288</stp>
        <tr r="E67" s="4"/>
      </tp>
      <tp t="s">
        <v>#N/A N/A</v>
        <stp/>
        <stp>BDH|17234964672159969924</stp>
        <tr r="G45" s="3"/>
      </tp>
      <tp t="s">
        <v>#N/A N/A</v>
        <stp/>
        <stp>BDH|18254751879618349916</stp>
        <tr r="G7" s="5"/>
      </tp>
      <tp t="s">
        <v>#N/A N/A</v>
        <stp/>
        <stp>BDH|15902662373779233420</stp>
        <tr r="E10" s="2"/>
      </tp>
      <tp t="s">
        <v>#N/A N/A</v>
        <stp/>
        <stp>BDH|12141385282212754228</stp>
        <tr r="H17" s="3"/>
      </tp>
      <tp t="s">
        <v>#N/A N/A</v>
        <stp/>
        <stp>BDH|13071541072598227759</stp>
        <tr r="D30" s="4"/>
      </tp>
      <tp t="s">
        <v>#N/A N/A</v>
        <stp/>
        <stp>BDH|11506262293776252238</stp>
        <tr r="D69" s="4"/>
      </tp>
      <tp t="s">
        <v>#N/A N/A</v>
        <stp/>
        <stp>BDH|12973389801449624677</stp>
        <tr r="D63" s="3"/>
      </tp>
      <tp t="s">
        <v>#N/A N/A</v>
        <stp/>
        <stp>BDH|18365398071217937530</stp>
        <tr r="G55" s="3"/>
      </tp>
      <tp t="s">
        <v>#N/A N/A</v>
        <stp/>
        <stp>BDH|16041701156879604310</stp>
        <tr r="L9" s="4"/>
      </tp>
      <tp t="s">
        <v>#N/A N/A</v>
        <stp/>
        <stp>BDH|14207878820387673737</stp>
        <tr r="H62" s="3"/>
      </tp>
      <tp t="s">
        <v>#N/A N/A</v>
        <stp/>
        <stp>BDH|14546747137847477924</stp>
        <tr r="E75" s="4"/>
      </tp>
      <tp t="s">
        <v>#N/A N/A</v>
        <stp/>
        <stp>BDH|14146037691201607256</stp>
        <tr r="G52" s="4"/>
      </tp>
      <tp t="s">
        <v>#N/A N/A</v>
        <stp/>
        <stp>BDH|13353745347347556951</stp>
        <tr r="J50" s="5"/>
      </tp>
      <tp t="s">
        <v>#N/A N/A</v>
        <stp/>
        <stp>BDH|16925280063074111836</stp>
        <tr r="F30" s="4"/>
      </tp>
      <tp t="s">
        <v>#N/A N/A</v>
        <stp/>
        <stp>BDH|11082135257502178964</stp>
        <tr r="J11" s="4"/>
      </tp>
      <tp t="s">
        <v>#N/A N/A</v>
        <stp/>
        <stp>BDH|17395461887442950783</stp>
        <tr r="D69" s="5"/>
      </tp>
      <tp t="s">
        <v>#N/A N/A</v>
        <stp/>
        <stp>BDH|13426202084172547568</stp>
        <tr r="D10" s="3"/>
      </tp>
      <tp t="s">
        <v>#N/A N/A</v>
        <stp/>
        <stp>BDH|15276588981331015781</stp>
        <tr r="D32" s="5"/>
      </tp>
      <tp t="s">
        <v>#N/A N/A</v>
        <stp/>
        <stp>BDH|16886967094080925808</stp>
        <tr r="D79" s="4"/>
      </tp>
      <tp t="s">
        <v>#N/A N/A</v>
        <stp/>
        <stp>BDH|10748505453306712807</stp>
        <tr r="H50" s="3"/>
      </tp>
      <tp t="s">
        <v>#N/A N/A</v>
        <stp/>
        <stp>BDH|14042158584017690456</stp>
        <tr r="F48" s="5"/>
      </tp>
      <tp t="s">
        <v>#N/A N/A</v>
        <stp/>
        <stp>BDH|18362753956490371415</stp>
        <tr r="G14" s="5"/>
      </tp>
      <tp t="s">
        <v>#N/A N/A</v>
        <stp/>
        <stp>BDH|14448047596393706033</stp>
        <tr r="C42" s="5"/>
      </tp>
      <tp t="s">
        <v>#N/A N/A</v>
        <stp/>
        <stp>BDH|16287452960428784226</stp>
        <tr r="K79" s="4"/>
      </tp>
      <tp t="s">
        <v>#N/A N/A</v>
        <stp/>
        <stp>BDH|14464844676966228311</stp>
        <tr r="G24" s="5"/>
      </tp>
      <tp t="s">
        <v>#N/A N/A</v>
        <stp/>
        <stp>BDH|11882154987235956367</stp>
        <tr r="D23" s="4"/>
      </tp>
      <tp t="s">
        <v>#N/A N/A</v>
        <stp/>
        <stp>BDH|13881751024730561899</stp>
        <tr r="F41" s="3"/>
      </tp>
      <tp t="s">
        <v>#N/A N/A</v>
        <stp/>
        <stp>BDH|14778146516713961994</stp>
        <tr r="G62" s="4"/>
      </tp>
      <tp t="s">
        <v>#N/A N/A</v>
        <stp/>
        <stp>BDH|16477813284281235961</stp>
        <tr r="D62" s="4"/>
      </tp>
      <tp t="s">
        <v>#N/A N/A</v>
        <stp/>
        <stp>BDH|14761963145455392237</stp>
        <tr r="C25" s="4"/>
      </tp>
      <tp t="s">
        <v>#N/A N/A</v>
        <stp/>
        <stp>BDH|15381971546390112675</stp>
        <tr r="I57" s="5"/>
      </tp>
      <tp t="s">
        <v>#N/A N/A</v>
        <stp/>
        <stp>BDH|15466814320638126907</stp>
        <tr r="D25" s="3"/>
      </tp>
      <tp t="s">
        <v>#N/A N/A</v>
        <stp/>
        <stp>BDH|17796100172388822798</stp>
        <tr r="G63" s="3"/>
      </tp>
      <tp t="s">
        <v>#N/A N/A</v>
        <stp/>
        <stp>BDH|17519182008750467852</stp>
        <tr r="E60" s="4"/>
      </tp>
      <tp t="s">
        <v>#N/A N/A</v>
        <stp/>
        <stp>BDH|11033163543329450351</stp>
        <tr r="H12" s="4"/>
      </tp>
      <tp t="s">
        <v>#N/A N/A</v>
        <stp/>
        <stp>BDH|17402837346721721424</stp>
        <tr r="H10" s="4"/>
      </tp>
      <tp t="s">
        <v>#N/A N/A</v>
        <stp/>
        <stp>BDH|14752770581952232740</stp>
        <tr r="C10" s="4"/>
      </tp>
      <tp t="s">
        <v>#N/A N/A</v>
        <stp/>
        <stp>BDH|10398977721927126236</stp>
        <tr r="G74" s="4"/>
      </tp>
      <tp t="s">
        <v>#N/A N/A</v>
        <stp/>
        <stp>BDH|10844817744002911033</stp>
        <tr r="J67" s="5"/>
      </tp>
      <tp t="s">
        <v>#N/A N/A</v>
        <stp/>
        <stp>BDH|16932415823168848658</stp>
        <tr r="J25" s="3"/>
      </tp>
      <tp t="s">
        <v>#N/A N/A</v>
        <stp/>
        <stp>BDH|15251850591262947893</stp>
        <tr r="I30" s="4"/>
      </tp>
      <tp t="s">
        <v>#N/A N/A</v>
        <stp/>
        <stp>BDH|16245064445238708407</stp>
        <tr r="K69" s="5"/>
      </tp>
      <tp t="s">
        <v>#N/A N/A</v>
        <stp/>
        <stp>BDH|17607449205364760969</stp>
        <tr r="I62" s="5"/>
      </tp>
      <tp t="s">
        <v>#N/A N/A</v>
        <stp/>
        <stp>BDH|18011984419236476834</stp>
        <tr r="E67" s="3"/>
      </tp>
      <tp t="s">
        <v>#N/A N/A</v>
        <stp/>
        <stp>BDH|10947946528592888746</stp>
        <tr r="E18" s="3"/>
      </tp>
      <tp t="s">
        <v>#N/A N/A</v>
        <stp/>
        <stp>BDH|11433217743559685098</stp>
        <tr r="E63" s="5"/>
      </tp>
      <tp t="s">
        <v>#N/A N/A</v>
        <stp/>
        <stp>BDH|12198163483264471185</stp>
        <tr r="I42" s="3"/>
      </tp>
      <tp t="s">
        <v>#N/A N/A</v>
        <stp/>
        <stp>BDH|12072883351672497353</stp>
        <tr r="D27" s="5"/>
      </tp>
      <tp t="s">
        <v>#N/A N/A</v>
        <stp/>
        <stp>BDH|11861944635186990385</stp>
        <tr r="C25" s="3"/>
      </tp>
      <tp t="s">
        <v>#N/A N/A</v>
        <stp/>
        <stp>BDH|10268095866599073157</stp>
        <tr r="E42" s="5"/>
      </tp>
      <tp t="s">
        <v>#N/A N/A</v>
        <stp/>
        <stp>BDH|12956229556472195947</stp>
        <tr r="D13" s="3"/>
      </tp>
      <tp t="s">
        <v>#N/A N/A</v>
        <stp/>
        <stp>BDH|17209397766414205859</stp>
        <tr r="C40" s="3"/>
      </tp>
      <tp t="s">
        <v>#N/A N/A</v>
        <stp/>
        <stp>BDH|12183081209584248885</stp>
        <tr r="I65" s="3"/>
      </tp>
      <tp t="s">
        <v>#N/A N/A</v>
        <stp/>
        <stp>BDH|15799083243328009716</stp>
        <tr r="E9" s="3"/>
      </tp>
      <tp t="s">
        <v>#N/A N/A</v>
        <stp/>
        <stp>BDH|17858208125351831883</stp>
        <tr r="D80" s="4"/>
      </tp>
      <tp t="s">
        <v>#N/A N/A</v>
        <stp/>
        <stp>BDH|14285373637159617398</stp>
        <tr r="D66" s="5"/>
      </tp>
      <tp t="s">
        <v>#N/A N/A</v>
        <stp/>
        <stp>BDH|11951364834228787704</stp>
        <tr r="J9" s="2"/>
      </tp>
      <tp t="s">
        <v>#N/A N/A</v>
        <stp/>
        <stp>BDH|10337384806048756564</stp>
        <tr r="J31" s="5"/>
      </tp>
      <tp t="s">
        <v>#N/A N/A</v>
        <stp/>
        <stp>BDH|11839367781477667360</stp>
        <tr r="E8" s="5"/>
      </tp>
      <tp t="s">
        <v>#N/A N/A</v>
        <stp/>
        <stp>BDH|12820824265780824285</stp>
        <tr r="L85" s="4"/>
      </tp>
      <tp t="s">
        <v>#N/A N/A</v>
        <stp/>
        <stp>BDH|11787807422641258494</stp>
        <tr r="D11" s="5"/>
      </tp>
      <tp t="s">
        <v>#N/A N/A</v>
        <stp/>
        <stp>BDH|14818675655789459007</stp>
        <tr r="H41" s="5"/>
      </tp>
      <tp t="s">
        <v>#N/A N/A</v>
        <stp/>
        <stp>BDH|10982436733508796107</stp>
        <tr r="C75" s="4"/>
      </tp>
      <tp t="s">
        <v>#N/A N/A</v>
        <stp/>
        <stp>BDH|14776623446281266809</stp>
        <tr r="J64" s="5"/>
        <tr r="H25" s="2"/>
      </tp>
      <tp t="s">
        <v>#N/A N/A</v>
        <stp/>
        <stp>BDH|11417312328997514897</stp>
        <tr r="K77" s="4"/>
      </tp>
      <tp t="s">
        <v>#N/A N/A</v>
        <stp/>
        <stp>BDH|12308637255096171853</stp>
        <tr r="G33" s="4"/>
      </tp>
      <tp t="s">
        <v>#N/A N/A</v>
        <stp/>
        <stp>BDH|15091925208855311687</stp>
        <tr r="G55" s="4"/>
      </tp>
      <tp t="s">
        <v>#N/A N/A</v>
        <stp/>
        <stp>BDH|10771228343350009978</stp>
        <tr r="D9" s="5"/>
      </tp>
      <tp t="s">
        <v>#N/A N/A</v>
        <stp/>
        <stp>BDH|10202555960418621418</stp>
        <tr r="G48" s="4"/>
      </tp>
      <tp t="s">
        <v>#N/A N/A</v>
        <stp/>
        <stp>BDH|18048065666181865088</stp>
        <tr r="E9" s="4"/>
      </tp>
      <tp t="s">
        <v>#N/A N/A</v>
        <stp/>
        <stp>BDH|17436528264182155902</stp>
        <tr r="G37" s="5"/>
      </tp>
      <tp t="s">
        <v>#N/A N/A</v>
        <stp/>
        <stp>BDH|18292162431655737005</stp>
        <tr r="E45" s="3"/>
      </tp>
      <tp t="s">
        <v>#N/A N/A</v>
        <stp/>
        <stp>BDH|11411670302800098832</stp>
        <tr r="J27" s="4"/>
      </tp>
      <tp t="s">
        <v>#N/A N/A</v>
        <stp/>
        <stp>BDH|16047993683728006085</stp>
        <tr r="J7" s="2"/>
      </tp>
      <tp t="s">
        <v>#N/A N/A</v>
        <stp/>
        <stp>BDH|15824722191913847763</stp>
        <tr r="D40" s="3"/>
      </tp>
      <tp t="s">
        <v>#N/A N/A</v>
        <stp/>
        <stp>BDH|10976116179460066943</stp>
        <tr r="G16" s="4"/>
      </tp>
      <tp t="s">
        <v>#N/A N/A</v>
        <stp/>
        <stp>BDH|17921070492561901003</stp>
        <tr r="K88" s="4"/>
      </tp>
      <tp t="s">
        <v>#N/A N/A</v>
        <stp/>
        <stp>BDH|12571439463618828790</stp>
        <tr r="C24" s="4"/>
      </tp>
      <tp t="s">
        <v>#N/A N/A</v>
        <stp/>
        <stp>BDH|10782375440050112856</stp>
        <tr r="I68" s="4"/>
      </tp>
      <tp t="s">
        <v>#N/A N/A</v>
        <stp/>
        <stp>BDH|11691241421378525621</stp>
        <tr r="C38" s="5"/>
      </tp>
      <tp t="s">
        <v>#N/A N/A</v>
        <stp/>
        <stp>BDH|17250788007117237881</stp>
        <tr r="K43" s="5"/>
      </tp>
      <tp t="s">
        <v>#N/A N/A</v>
        <stp/>
        <stp>BDH|11653544711779615326</stp>
        <tr r="L53" s="5"/>
      </tp>
      <tp t="s">
        <v>#N/A N/A</v>
        <stp/>
        <stp>BDH|15436043070928180566</stp>
        <tr r="E37" s="3"/>
      </tp>
      <tp t="s">
        <v>#N/A N/A</v>
        <stp/>
        <stp>BDH|10552292201899834434</stp>
        <tr r="H89" s="4"/>
      </tp>
      <tp t="s">
        <v>#N/A N/A</v>
        <stp/>
        <stp>BDH|10681433630431156927</stp>
        <tr r="H67" s="5"/>
      </tp>
      <tp t="s">
        <v>#N/A N/A</v>
        <stp/>
        <stp>BDH|14838914618912480131</stp>
        <tr r="E42" s="4"/>
      </tp>
      <tp t="s">
        <v>#N/A N/A</v>
        <stp/>
        <stp>BDH|12438201622454162916</stp>
        <tr r="G57" s="4"/>
      </tp>
      <tp t="s">
        <v>#N/A N/A</v>
        <stp/>
        <stp>BDH|15737076354206258907</stp>
        <tr r="K69" s="4"/>
      </tp>
      <tp t="s">
        <v>#N/A N/A</v>
        <stp/>
        <stp>BDH|18405151865098024826</stp>
        <tr r="J48" s="5"/>
      </tp>
      <tp t="s">
        <v>#N/A N/A</v>
        <stp/>
        <stp>BDH|16831419052098506072</stp>
        <tr r="C15" s="5"/>
      </tp>
      <tp t="s">
        <v>#N/A N/A</v>
        <stp/>
        <stp>BDH|10142850446666384584</stp>
        <tr r="C8" s="2"/>
      </tp>
      <tp t="s">
        <v>#N/A N/A</v>
        <stp/>
        <stp>BDH|12422687127670540979</stp>
        <tr r="K46" s="4"/>
      </tp>
      <tp t="s">
        <v>#N/A N/A</v>
        <stp/>
        <stp>BDH|16302872558105170144</stp>
        <tr r="C66" s="4"/>
      </tp>
      <tp t="s">
        <v>#N/A N/A</v>
        <stp/>
        <stp>BDH|12813042096795690140</stp>
        <tr r="H19" s="5"/>
        <tr r="F23" s="2"/>
      </tp>
      <tp t="s">
        <v>#N/A N/A</v>
        <stp/>
        <stp>BDH|14990964023366297664</stp>
        <tr r="J55" s="3"/>
      </tp>
      <tp t="s">
        <v>#N/A N/A</v>
        <stp/>
        <stp>BDH|15798798524228199704</stp>
        <tr r="D34" s="5"/>
      </tp>
      <tp t="s">
        <v>#N/A N/A</v>
        <stp/>
        <stp>BDH|10602974636455504090</stp>
        <tr r="H69" s="3"/>
      </tp>
      <tp t="s">
        <v>#N/A N/A</v>
        <stp/>
        <stp>BDH|17934294902859007381</stp>
        <tr r="E65" s="5"/>
      </tp>
      <tp t="s">
        <v>#N/A N/A</v>
        <stp/>
        <stp>BDH|10172841729265647000</stp>
        <tr r="G45" s="5"/>
      </tp>
      <tp t="s">
        <v>#N/A N/A</v>
        <stp/>
        <stp>BDH|13330065737289873606</stp>
        <tr r="C63" s="3"/>
      </tp>
      <tp t="s">
        <v>#N/A N/A</v>
        <stp/>
        <stp>BDH|16306183598324030597</stp>
        <tr r="L15" s="4"/>
      </tp>
      <tp t="s">
        <v>#N/A N/A</v>
        <stp/>
        <stp>BDH|11383796786038817984</stp>
        <tr r="F21" s="3"/>
      </tp>
      <tp t="s">
        <v>#N/A N/A</v>
        <stp/>
        <stp>BDH|16935712280570324678</stp>
        <tr r="E55" s="4"/>
      </tp>
      <tp t="s">
        <v>#N/A N/A</v>
        <stp/>
        <stp>BDH|17870948589131860818</stp>
        <tr r="F61" s="4"/>
      </tp>
      <tp t="s">
        <v>#N/A N/A</v>
        <stp/>
        <stp>BDH|14216981623491669109</stp>
        <tr r="H32" s="5"/>
      </tp>
      <tp t="s">
        <v>#N/A N/A</v>
        <stp/>
        <stp>BDH|13637422254575798882</stp>
        <tr r="J74" s="4"/>
      </tp>
      <tp t="s">
        <v>#N/A N/A</v>
        <stp/>
        <stp>BDH|11310495197574768756</stp>
        <tr r="C56" s="4"/>
      </tp>
      <tp t="s">
        <v>#N/A N/A</v>
        <stp/>
        <stp>BDH|13061087684980131430</stp>
        <tr r="E13" s="5"/>
      </tp>
      <tp t="s">
        <v>#N/A N/A</v>
        <stp/>
        <stp>BDH|13868224439735880850</stp>
        <tr r="K19" s="4"/>
      </tp>
      <tp t="s">
        <v>#N/A N/A</v>
        <stp/>
        <stp>BDH|14614108481637170673</stp>
        <tr r="E12" s="4"/>
      </tp>
      <tp t="s">
        <v>#N/A N/A</v>
        <stp/>
        <stp>BDH|10899543051784949853</stp>
        <tr r="C27" s="3"/>
      </tp>
      <tp t="s">
        <v>#N/A N/A</v>
        <stp/>
        <stp>BDH|18184157555234055401</stp>
        <tr r="C62" s="4"/>
      </tp>
      <tp t="s">
        <v>#N/A N/A</v>
        <stp/>
        <stp>BDH|14787003645968058438</stp>
        <tr r="H70" s="3"/>
      </tp>
      <tp t="s">
        <v>#N/A N/A</v>
        <stp/>
        <stp>BDH|14194863132232770130</stp>
        <tr r="F41" s="5"/>
      </tp>
      <tp t="s">
        <v>#N/A N/A</v>
        <stp/>
        <stp>BDH|15786967611060171105</stp>
        <tr r="F17" s="4"/>
      </tp>
      <tp t="s">
        <v>#N/A N/A</v>
        <stp/>
        <stp>BDH|13726922460110609023</stp>
        <tr r="L29" s="5"/>
      </tp>
      <tp t="s">
        <v>#N/A N/A</v>
        <stp/>
        <stp>BDH|13611927483696707816</stp>
        <tr r="C6" s="2"/>
      </tp>
      <tp t="s">
        <v>#N/A N/A</v>
        <stp/>
        <stp>BDH|11880800459524094400</stp>
        <tr r="C21" s="3"/>
      </tp>
      <tp t="s">
        <v>#N/A N/A</v>
        <stp/>
        <stp>BDH|12700919941655748603</stp>
        <tr r="E52" s="4"/>
      </tp>
      <tp t="s">
        <v>#N/A N/A</v>
        <stp/>
        <stp>BDH|15296085688661566074</stp>
        <tr r="K13" s="5"/>
      </tp>
      <tp t="s">
        <v>#N/A N/A</v>
        <stp/>
        <stp>BDH|10458323188660806763</stp>
        <tr r="H14" s="5"/>
      </tp>
      <tp t="s">
        <v>#N/A N/A</v>
        <stp/>
        <stp>BDH|14842636796447524080</stp>
        <tr r="G42" s="5"/>
      </tp>
      <tp t="s">
        <v>#N/A N/A</v>
        <stp/>
        <stp>BDH|17289567487776338038</stp>
        <tr r="C6" s="3"/>
        <tr r="C12" s="2"/>
      </tp>
      <tp t="s">
        <v>#N/A N/A</v>
        <stp/>
        <stp>BDH|11591614006098981387</stp>
        <tr r="H26" s="5"/>
      </tp>
      <tp t="s">
        <v>#N/A N/A</v>
        <stp/>
        <stp>BDH|10424663838810098990</stp>
        <tr r="H48" s="5"/>
      </tp>
      <tp t="s">
        <v>#N/A N/A</v>
        <stp/>
        <stp>BDH|17400468804166798938</stp>
        <tr r="G81" s="4"/>
      </tp>
      <tp t="s">
        <v>#N/A N/A</v>
        <stp/>
        <stp>BDH|16476642863879192303</stp>
        <tr r="J28" s="3"/>
      </tp>
      <tp t="s">
        <v>#N/A N/A</v>
        <stp/>
        <stp>BDH|12972305493507025383</stp>
        <tr r="F13" s="3"/>
      </tp>
      <tp t="s">
        <v>#N/A N/A</v>
        <stp/>
        <stp>BDH|14326755811599044728</stp>
        <tr r="I37" s="5"/>
      </tp>
      <tp t="s">
        <v>#N/A N/A</v>
        <stp/>
        <stp>BDH|18303016478544964764</stp>
        <tr r="J67" s="4"/>
      </tp>
      <tp t="s">
        <v>#N/A N/A</v>
        <stp/>
        <stp>BDH|15443667055713729953</stp>
        <tr r="E51" s="5"/>
      </tp>
      <tp t="s">
        <v>#N/A N/A</v>
        <stp/>
        <stp>BDH|14796080504469614196</stp>
        <tr r="E68" s="5"/>
      </tp>
      <tp t="s">
        <v>#N/A N/A</v>
        <stp/>
        <stp>BDH|15214872467464629302</stp>
        <tr r="J69" s="5"/>
      </tp>
      <tp t="s">
        <v>#N/A N/A</v>
        <stp/>
        <stp>BDH|14205728584173260416</stp>
        <tr r="G24" s="3"/>
      </tp>
      <tp t="s">
        <v>#N/A N/A</v>
        <stp/>
        <stp>BDH|15968139189722141258</stp>
        <tr r="D14" s="3"/>
      </tp>
      <tp t="s">
        <v>#N/A N/A</v>
        <stp/>
        <stp>BDH|10378042111998892591</stp>
        <tr r="H65" s="4"/>
      </tp>
      <tp t="s">
        <v>#N/A N/A</v>
        <stp/>
        <stp>BDH|14275609017616423979</stp>
        <tr r="G17" s="4"/>
      </tp>
      <tp t="s">
        <v>#N/A N/A</v>
        <stp/>
        <stp>BDH|18399243871534810588</stp>
        <tr r="J63" s="4"/>
      </tp>
      <tp t="s">
        <v>#N/A N/A</v>
        <stp/>
        <stp>BDH|18410279463815110575</stp>
        <tr r="K26" s="5"/>
      </tp>
      <tp t="s">
        <v>#N/A N/A</v>
        <stp/>
        <stp>BDH|15722791724804574865</stp>
        <tr r="H23" s="4"/>
      </tp>
      <tp t="s">
        <v>#N/A N/A</v>
        <stp/>
        <stp>BDH|12171789756285038967</stp>
        <tr r="L53" s="4"/>
      </tp>
      <tp t="s">
        <v>#N/A N/A</v>
        <stp/>
        <stp>BDH|15196084492404303411</stp>
        <tr r="I20" s="3"/>
      </tp>
      <tp t="s">
        <v>#N/A N/A</v>
        <stp/>
        <stp>BDH|18092005643354828421</stp>
        <tr r="I19" s="4"/>
      </tp>
      <tp t="s">
        <v>#N/A N/A</v>
        <stp/>
        <stp>BDH|15784683765738324102</stp>
        <tr r="K55" s="4"/>
      </tp>
      <tp t="s">
        <v>#N/A N/A</v>
        <stp/>
        <stp>BDH|12487941733960817423</stp>
        <tr r="F48" s="4"/>
      </tp>
      <tp t="s">
        <v>#N/A N/A</v>
        <stp/>
        <stp>BDH|17881332032889029201</stp>
        <tr r="J42" s="5"/>
      </tp>
      <tp t="s">
        <v>#N/A N/A</v>
        <stp/>
        <stp>BDH|11888022931428702641</stp>
        <tr r="D23" s="5"/>
      </tp>
      <tp t="s">
        <v>#N/A N/A</v>
        <stp/>
        <stp>BDH|14516704198120758623</stp>
        <tr r="F41" s="4"/>
      </tp>
      <tp t="s">
        <v>#N/A N/A</v>
        <stp/>
        <stp>BDH|12650336339279494708</stp>
        <tr r="D24" s="4"/>
      </tp>
      <tp t="s">
        <v>#N/A N/A</v>
        <stp/>
        <stp>BDH|11303043651341942971</stp>
        <tr r="L24" s="4"/>
      </tp>
      <tp t="s">
        <v>#N/A N/A</v>
        <stp/>
        <stp>BDH|12627390882810661503</stp>
        <tr r="H47" s="5"/>
      </tp>
      <tp t="s">
        <v>#N/A N/A</v>
        <stp/>
        <stp>BDH|11482800588238689515</stp>
        <tr r="C24" s="5"/>
      </tp>
      <tp t="s">
        <v>#N/A N/A</v>
        <stp/>
        <stp>BDH|18184434503590898026</stp>
        <tr r="F24" s="4"/>
      </tp>
      <tp t="s">
        <v>#N/A N/A</v>
        <stp/>
        <stp>BDH|15024095454164134869</stp>
        <tr r="F62" s="3"/>
      </tp>
      <tp t="s">
        <v>#N/A N/A</v>
        <stp/>
        <stp>BDH|18361154107702820748</stp>
        <tr r="F66" s="3"/>
      </tp>
      <tp t="s">
        <v>#N/A N/A</v>
        <stp/>
        <stp>BDH|10667544232958879252</stp>
        <tr r="G8" s="3"/>
      </tp>
      <tp t="s">
        <v>#N/A N/A</v>
        <stp/>
        <stp>BDH|16160656778612586942</stp>
        <tr r="L69" s="4"/>
      </tp>
      <tp t="s">
        <v>#N/A N/A</v>
        <stp/>
        <stp>BDH|10329997355667449766</stp>
        <tr r="J24" s="2"/>
      </tp>
      <tp t="s">
        <v>#N/A N/A</v>
        <stp/>
        <stp>BDH|13941103688843822554</stp>
        <tr r="I41" s="4"/>
      </tp>
      <tp t="s">
        <v>#N/A N/A</v>
        <stp/>
        <stp>BDH|13183480313643787912</stp>
        <tr r="I22" s="3"/>
      </tp>
      <tp t="s">
        <v>#N/A N/A</v>
        <stp/>
        <stp>BDH|15518593980925067135</stp>
        <tr r="I70" s="3"/>
      </tp>
      <tp t="s">
        <v>#N/A N/A</v>
        <stp/>
        <stp>BDH|14760138365396885964</stp>
        <tr r="J31" s="3"/>
      </tp>
      <tp t="s">
        <v>#N/A N/A</v>
        <stp/>
        <stp>BDH|13012853922917091282</stp>
        <tr r="I9" s="4"/>
      </tp>
      <tp t="s">
        <v>#N/A N/A</v>
        <stp/>
        <stp>BDH|16118755739249086736</stp>
        <tr r="J57" s="5"/>
      </tp>
      <tp t="s">
        <v>#N/A N/A</v>
        <stp/>
        <stp>BDH|12911371757499144168</stp>
        <tr r="L23" s="4"/>
      </tp>
      <tp t="s">
        <v>#N/A N/A</v>
        <stp/>
        <stp>BDH|14430339983436283589</stp>
        <tr r="F57" s="4"/>
      </tp>
      <tp t="s">
        <v>#N/A N/A</v>
        <stp/>
        <stp>BDH|13244191777261311816</stp>
        <tr r="C17" s="3"/>
      </tp>
      <tp t="s">
        <v>#N/A N/A</v>
        <stp/>
        <stp>BDH|17728681383427487269</stp>
        <tr r="E90" s="4"/>
      </tp>
      <tp t="s">
        <v>#N/A N/A</v>
        <stp/>
        <stp>BDH|14159061635669418286</stp>
        <tr r="L65" s="4"/>
      </tp>
      <tp t="s">
        <v>#N/A N/A</v>
        <stp/>
        <stp>BDH|16548236794259126929</stp>
        <tr r="E8" s="3"/>
      </tp>
      <tp t="s">
        <v>#N/A N/A</v>
        <stp/>
        <stp>BDH|10858805276253956168</stp>
        <tr r="G33" s="5"/>
      </tp>
      <tp t="s">
        <v>#N/A N/A</v>
        <stp/>
        <stp>BDH|16158702692423718651</stp>
        <tr r="F61" s="5"/>
      </tp>
      <tp t="s">
        <v>#N/A N/A</v>
        <stp/>
        <stp>BDH|12978755938203325862</stp>
        <tr r="L57" s="5"/>
      </tp>
      <tp t="s">
        <v>#N/A N/A</v>
        <stp/>
        <stp>BDH|10910411098889413944</stp>
        <tr r="E51" s="3"/>
      </tp>
      <tp t="s">
        <v>#N/A N/A</v>
        <stp/>
        <stp>BDH|11051482301291291985</stp>
        <tr r="D65" s="4"/>
      </tp>
      <tp t="s">
        <v>#N/A N/A</v>
        <stp/>
        <stp>BDH|11306120982204864187</stp>
        <tr r="C12" s="5"/>
      </tp>
      <tp t="s">
        <v>#N/A N/A</v>
        <stp/>
        <stp>BDH|18173745174191528470</stp>
        <tr r="E61" s="5"/>
      </tp>
      <tp t="s">
        <v>#N/A N/A</v>
        <stp/>
        <stp>BDH|10241665780970673318</stp>
        <tr r="F10" s="3"/>
      </tp>
      <tp t="s">
        <v>#N/A N/A</v>
        <stp/>
        <stp>BDH|11431880118897622202</stp>
        <tr r="H39" s="3"/>
      </tp>
      <tp t="s">
        <v>#N/A N/A</v>
        <stp/>
        <stp>BDH|12884415897462964056</stp>
        <tr r="K25" s="4"/>
      </tp>
      <tp t="s">
        <v>#N/A N/A</v>
        <stp/>
        <stp>BDH|17943273798131292066</stp>
        <tr r="F12" s="3"/>
      </tp>
      <tp t="s">
        <v>#N/A N/A</v>
        <stp/>
        <stp>BDH|14439743801396669855</stp>
        <tr r="G32" s="4"/>
      </tp>
      <tp t="s">
        <v>#N/A N/A</v>
        <stp/>
        <stp>BDH|14720600515518936692</stp>
        <tr r="I53" s="3"/>
      </tp>
      <tp t="s">
        <v>#N/A N/A</v>
        <stp/>
        <stp>BDH|14320986052380584591</stp>
        <tr r="J34" s="4"/>
      </tp>
      <tp t="s">
        <v>#N/A N/A</v>
        <stp/>
        <stp>BDH|18422875300374762912</stp>
        <tr r="L32" s="4"/>
      </tp>
      <tp t="s">
        <v>#N/A N/A</v>
        <stp/>
        <stp>BDH|18348951733437569851</stp>
        <tr r="C10" s="3"/>
      </tp>
      <tp t="s">
        <v>#N/A N/A</v>
        <stp/>
        <stp>BDH|14429612766211155872</stp>
        <tr r="C41" s="4"/>
      </tp>
      <tp t="s">
        <v>#N/A N/A</v>
        <stp/>
        <stp>BDH|10169895333056725095</stp>
        <tr r="G14" s="4"/>
      </tp>
      <tp t="s">
        <v>#N/A N/A</v>
        <stp/>
        <stp>BDH|10196816359423565399</stp>
        <tr r="K80" s="4"/>
      </tp>
      <tp t="s">
        <v>#N/A N/A</v>
        <stp/>
        <stp>BDH|16514805755812742433</stp>
        <tr r="H77" s="4"/>
      </tp>
      <tp t="s">
        <v>#N/A N/A</v>
        <stp/>
        <stp>BDH|11575876000997309352</stp>
        <tr r="F23" s="4"/>
      </tp>
      <tp t="s">
        <v>#N/A N/A</v>
        <stp/>
        <stp>BDH|16352405240519374240</stp>
        <tr r="I26" s="3"/>
      </tp>
      <tp t="s">
        <v>#N/A N/A</v>
        <stp/>
        <stp>BDH|11613476357605130833</stp>
        <tr r="E85" s="4"/>
      </tp>
      <tp t="s">
        <v>#N/A N/A</v>
        <stp/>
        <stp>BDH|15752936876955586309</stp>
        <tr r="J81" s="4"/>
      </tp>
      <tp t="s">
        <v>#N/A N/A</v>
        <stp/>
        <stp>BDH|14251605490904701227</stp>
        <tr r="I73" s="4"/>
      </tp>
      <tp t="s">
        <v>#N/A N/A</v>
        <stp/>
        <stp>BDH|10383349367189682115</stp>
        <tr r="D11" s="4"/>
      </tp>
      <tp t="s">
        <v>#N/A N/A</v>
        <stp/>
        <stp>BDH|16510800246197398074</stp>
        <tr r="J33" s="5"/>
      </tp>
      <tp t="s">
        <v>#N/A N/A</v>
        <stp/>
        <stp>BDH|14984199724918172223</stp>
        <tr r="G46" s="3"/>
        <tr r="G34" s="3"/>
      </tp>
      <tp t="s">
        <v>#N/A N/A</v>
        <stp/>
        <stp>BDH|14439988377357522089</stp>
        <tr r="C28" s="5"/>
      </tp>
      <tp t="s">
        <v>#N/A N/A</v>
        <stp/>
        <stp>BDH|11003196691241649583</stp>
        <tr r="D46" s="3"/>
        <tr r="D34" s="3"/>
      </tp>
      <tp t="s">
        <v>#N/A N/A</v>
        <stp/>
        <stp>BDH|10861127523138713681</stp>
        <tr r="E7" s="4"/>
      </tp>
      <tp t="s">
        <v>#N/A N/A</v>
        <stp/>
        <stp>BDH|12547777086605886551</stp>
        <tr r="I92" s="4"/>
      </tp>
      <tp t="s">
        <v>#N/A N/A</v>
        <stp/>
        <stp>BDH|18077570947951899513</stp>
        <tr r="F9" s="4"/>
      </tp>
      <tp t="s">
        <v>#N/A N/A</v>
        <stp/>
        <stp>BDH|15023192192923253312</stp>
        <tr r="J59" s="4"/>
      </tp>
      <tp t="s">
        <v>#N/A N/A</v>
        <stp/>
        <stp>BDH|11387797986614088742</stp>
        <tr r="G7" s="4"/>
      </tp>
      <tp t="s">
        <v>#N/A N/A</v>
        <stp/>
        <stp>BDH|17739821204957355590</stp>
        <tr r="H44" s="4"/>
      </tp>
      <tp t="s">
        <v>#N/A N/A</v>
        <stp/>
        <stp>BDH|14646415788663331672</stp>
        <tr r="H30" s="3"/>
      </tp>
      <tp t="s">
        <v>#N/A N/A</v>
        <stp/>
        <stp>BDH|14998671672460160872</stp>
        <tr r="I91" s="4"/>
      </tp>
      <tp t="s">
        <v>#N/A N/A</v>
        <stp/>
        <stp>BDH|10224193161298224220</stp>
        <tr r="J75" s="4"/>
      </tp>
      <tp t="s">
        <v>#N/A N/A</v>
        <stp/>
        <stp>BDH|17847253267596218841</stp>
        <tr r="E16" s="3"/>
      </tp>
      <tp t="s">
        <v>#N/A N/A</v>
        <stp/>
        <stp>BDH|15620955853387873341</stp>
        <tr r="C62" s="3"/>
      </tp>
      <tp t="s">
        <v>#N/A N/A</v>
        <stp/>
        <stp>BDH|14952312326119726169</stp>
        <tr r="G87" s="4"/>
      </tp>
      <tp t="s">
        <v>#N/A N/A</v>
        <stp/>
        <stp>BDH|12174381307459423557</stp>
        <tr r="I32" s="5"/>
      </tp>
      <tp t="s">
        <v>#N/A N/A</v>
        <stp/>
        <stp>BDH|11303984828310811740</stp>
        <tr r="C89" s="4"/>
      </tp>
      <tp t="s">
        <v>#N/A N/A</v>
        <stp/>
        <stp>BDH|12608346735406067999</stp>
        <tr r="E21" s="3"/>
      </tp>
      <tp t="s">
        <v>#N/A N/A</v>
        <stp/>
        <stp>BDH|10346687025249043007</stp>
        <tr r="E62" s="5"/>
      </tp>
      <tp t="s">
        <v>#N/A N/A</v>
        <stp/>
        <stp>BDH|16739711173408822335</stp>
        <tr r="L17" s="5"/>
      </tp>
      <tp t="s">
        <v>#N/A N/A</v>
        <stp/>
        <stp>BDH|10710195791744356127</stp>
        <tr r="I33" s="3"/>
      </tp>
      <tp t="s">
        <v>#N/A N/A</v>
        <stp/>
        <stp>BDH|12760513790001143290</stp>
        <tr r="H46" s="3"/>
        <tr r="H34" s="3"/>
      </tp>
      <tp t="s">
        <v>#N/A N/A</v>
        <stp/>
        <stp>BDH|17379013962019710593</stp>
        <tr r="C51" s="4"/>
      </tp>
      <tp t="s">
        <v>#N/A N/A</v>
        <stp/>
        <stp>BDH|11033210201042780362</stp>
        <tr r="G13" s="2"/>
      </tp>
      <tp t="s">
        <v>#N/A N/A</v>
        <stp/>
        <stp>BDH|15892841264960890916</stp>
        <tr r="F26" s="3"/>
      </tp>
      <tp t="s">
        <v>#N/A N/A</v>
        <stp/>
        <stp>BDH|18383070603808715212</stp>
        <tr r="J45" s="3"/>
      </tp>
      <tp t="s">
        <v>#N/A N/A</v>
        <stp/>
        <stp>BDH|12112493751769011887</stp>
        <tr r="I11" s="4"/>
      </tp>
      <tp t="s">
        <v>#N/A N/A</v>
        <stp/>
        <stp>BDH|11758327542685261142</stp>
        <tr r="F22" s="3"/>
      </tp>
      <tp t="s">
        <v>#N/A N/A</v>
        <stp/>
        <stp>BDH|12806022107102908256</stp>
        <tr r="E23" s="5"/>
      </tp>
      <tp t="s">
        <v>#N/A N/A</v>
        <stp/>
        <stp>BDH|17969688367020136575</stp>
        <tr r="L45" s="4"/>
      </tp>
      <tp t="s">
        <v>#N/A N/A</v>
        <stp/>
        <stp>BDH|13226826764287233868</stp>
        <tr r="F59" s="4"/>
      </tp>
      <tp t="s">
        <v>#N/A N/A</v>
        <stp/>
        <stp>BDH|12034271205286135432</stp>
        <tr r="D35" s="4"/>
      </tp>
      <tp t="s">
        <v>#N/A N/A</v>
        <stp/>
        <stp>BDH|11054633022507910083</stp>
        <tr r="J13" s="2"/>
      </tp>
      <tp t="s">
        <v>#N/A N/A</v>
        <stp/>
        <stp>BDH|17653417814425684558</stp>
        <tr r="F13" s="4"/>
      </tp>
      <tp t="s">
        <v>#N/A N/A</v>
        <stp/>
        <stp>BDH|17202108831337966095</stp>
        <tr r="C12" s="4"/>
      </tp>
      <tp t="s">
        <v>#N/A N/A</v>
        <stp/>
        <stp>BDH|16415593162311886646</stp>
        <tr r="C71" s="4"/>
      </tp>
      <tp t="s">
        <v>#N/A N/A</v>
        <stp/>
        <stp>BDH|11628513863114337441</stp>
        <tr r="E35" s="3"/>
      </tp>
      <tp t="s">
        <v>#N/A N/A</v>
        <stp/>
        <stp>BDH|16379647719202800149</stp>
        <tr r="K53" s="4"/>
      </tp>
      <tp t="s">
        <v>#N/A N/A</v>
        <stp/>
        <stp>BDH|15699093841287836445</stp>
        <tr r="F37" s="4"/>
      </tp>
      <tp t="s">
        <v>#N/A N/A</v>
        <stp/>
        <stp>BDH|13670154864050353668</stp>
        <tr r="F38" s="5"/>
      </tp>
      <tp t="s">
        <v>#N/A N/A</v>
        <stp/>
        <stp>BDH|10584001718076778582</stp>
        <tr r="F7" s="2"/>
      </tp>
      <tp t="s">
        <v>#N/A N/A</v>
        <stp/>
        <stp>BDH|17027186869067360578</stp>
        <tr r="G64" s="4"/>
      </tp>
      <tp t="s">
        <v>#N/A N/A</v>
        <stp/>
        <stp>BDH|17808282555540165214</stp>
        <tr r="E33" s="4"/>
      </tp>
      <tp t="s">
        <v>#N/A N/A</v>
        <stp/>
        <stp>BDH|14911602907595304599</stp>
        <tr r="F32" s="4"/>
      </tp>
      <tp t="s">
        <v>#N/A N/A</v>
        <stp/>
        <stp>BDH|13535162346107250335</stp>
        <tr r="H50" s="5"/>
      </tp>
      <tp t="s">
        <v>#N/A N/A</v>
        <stp/>
        <stp>BDH|14237032531584767135</stp>
        <tr r="F6" s="3"/>
        <tr r="F12" s="2"/>
      </tp>
      <tp t="s">
        <v>#N/A N/A</v>
        <stp/>
        <stp>BDH|10606547146725056600</stp>
        <tr r="F62" s="5"/>
      </tp>
      <tp t="s">
        <v>#N/A N/A</v>
        <stp/>
        <stp>BDH|14383702510053481309</stp>
        <tr r="H45" s="3"/>
      </tp>
      <tp t="s">
        <v>#N/A N/A</v>
        <stp/>
        <stp>BDH|15745423973916131207</stp>
        <tr r="D67" s="5"/>
      </tp>
      <tp t="s">
        <v>#N/A N/A</v>
        <stp/>
        <stp>BDH|12967565858180011009</stp>
        <tr r="J73" s="4"/>
      </tp>
      <tp t="s">
        <v>#N/A N/A</v>
        <stp/>
        <stp>BDH|15618394224292910449</stp>
        <tr r="F68" s="4"/>
      </tp>
      <tp t="s">
        <v>#N/A N/A</v>
        <stp/>
        <stp>BDH|11442347249697516350</stp>
        <tr r="C45" s="3"/>
      </tp>
      <tp t="s">
        <v>#N/A N/A</v>
        <stp/>
        <stp>BDH|10905174819681880373</stp>
        <tr r="C38" s="3"/>
      </tp>
      <tp t="s">
        <v>#N/A N/A</v>
        <stp/>
        <stp>BDH|10578077608880507277</stp>
        <tr r="D11" s="3"/>
        <tr r="D14" s="2"/>
      </tp>
      <tp t="s">
        <v>#N/A N/A</v>
        <stp/>
        <stp>BDH|11229197392299781262</stp>
        <tr r="H60" s="3"/>
        <tr r="H16" s="2"/>
      </tp>
      <tp t="s">
        <v>#N/A N/A</v>
        <stp/>
        <stp>BDH|17425001920241526695</stp>
        <tr r="C7" s="4"/>
      </tp>
      <tp t="s">
        <v>#N/A N/A</v>
        <stp/>
        <stp>BDH|10076082370283436642</stp>
        <tr r="L62" s="5"/>
      </tp>
      <tp t="s">
        <v>#N/A N/A</v>
        <stp/>
        <stp>BDH|14164012917111680699</stp>
        <tr r="J70" s="4"/>
      </tp>
      <tp t="s">
        <v>#N/A N/A</v>
        <stp/>
        <stp>BDH|18100971551903429580</stp>
        <tr r="I41" s="3"/>
      </tp>
      <tp t="s">
        <v>#N/A N/A</v>
        <stp/>
        <stp>BDH|18227685180843471751</stp>
        <tr r="J8" s="2"/>
      </tp>
      <tp t="s">
        <v>#N/A N/A</v>
        <stp/>
        <stp>BDH|13670080353175003161</stp>
        <tr r="C66" s="3"/>
      </tp>
      <tp t="s">
        <v>#N/A N/A</v>
        <stp/>
        <stp>BDH|14229262867822958019</stp>
        <tr r="L74" s="4"/>
      </tp>
      <tp t="s">
        <v>#N/A N/A</v>
        <stp/>
        <stp>BDH|10919618212277835280</stp>
        <tr r="C37" s="5"/>
      </tp>
      <tp t="s">
        <v>#N/A N/A</v>
        <stp/>
        <stp>BDH|16553604856674100386</stp>
        <tr r="C28" s="3"/>
      </tp>
      <tp t="s">
        <v>#N/A N/A</v>
        <stp/>
        <stp>BDH|10922611033150559740</stp>
        <tr r="C31" s="5"/>
      </tp>
      <tp t="s">
        <v>#N/A N/A</v>
        <stp/>
        <stp>BDH|11968445340547743404</stp>
        <tr r="K10" s="4"/>
      </tp>
      <tp t="s">
        <v>#N/A N/A</v>
        <stp/>
        <stp>BDH|17602265927517458293</stp>
        <tr r="C30" s="3"/>
      </tp>
      <tp t="s">
        <v>#N/A N/A</v>
        <stp/>
        <stp>BDH|14882329313825472101</stp>
        <tr r="C14" s="4"/>
      </tp>
      <tp t="s">
        <v>#N/A N/A</v>
        <stp/>
        <stp>BDH|18252495531254384946</stp>
        <tr r="H63" s="5"/>
      </tp>
      <tp t="s">
        <v>#N/A N/A</v>
        <stp/>
        <stp>BDH|12606369229741091047</stp>
        <tr r="D7" s="2"/>
      </tp>
      <tp t="s">
        <v>#N/A N/A</v>
        <stp/>
        <stp>BDH|15514143097706890924</stp>
        <tr r="H94" s="4"/>
      </tp>
      <tp t="s">
        <v>#N/A N/A</v>
        <stp/>
        <stp>BDH|17627819896440895457</stp>
        <tr r="E53" s="5"/>
      </tp>
      <tp t="s">
        <v>#N/A N/A</v>
        <stp/>
        <stp>BDH|11333980600168315273</stp>
        <tr r="E48" s="4"/>
      </tp>
      <tp t="s">
        <v>#N/A N/A</v>
        <stp/>
        <stp>BDH|12714595670914683673</stp>
        <tr r="L7" s="4"/>
      </tp>
      <tp t="s">
        <v>#N/A N/A</v>
        <stp/>
        <stp>BDH|14190720729502454101</stp>
        <tr r="G53" s="3"/>
      </tp>
      <tp t="s">
        <v>#N/A N/A</v>
        <stp/>
        <stp>BDH|11000343801018979828</stp>
        <tr r="E19" s="3"/>
      </tp>
      <tp t="s">
        <v>#N/A N/A</v>
        <stp/>
        <stp>BDH|16474102231530906621</stp>
        <tr r="K59" s="4"/>
      </tp>
      <tp t="s">
        <v>#N/A N/A</v>
        <stp/>
        <stp>BDH|12745363550634615295</stp>
        <tr r="C47" s="4"/>
      </tp>
      <tp t="s">
        <v>#N/A N/A</v>
        <stp/>
        <stp>BDH|14318735975271273668</stp>
        <tr r="F81" s="4"/>
      </tp>
      <tp t="s">
        <v>#N/A N/A</v>
        <stp/>
        <stp>BDH|12472441110205152108</stp>
        <tr r="D69" s="3"/>
      </tp>
      <tp t="s">
        <v>#N/A N/A</v>
        <stp/>
        <stp>BDH|18181497819109504750</stp>
        <tr r="L61" s="5"/>
      </tp>
      <tp t="s">
        <v>#N/A N/A</v>
        <stp/>
        <stp>BDH|17202273453661793202</stp>
        <tr r="L95" s="4"/>
      </tp>
      <tp t="s">
        <v>#N/A N/A</v>
        <stp/>
        <stp>BDH|13705446252157974693</stp>
        <tr r="J17" s="3"/>
      </tp>
      <tp t="s">
        <v>#N/A N/A</v>
        <stp/>
        <stp>BDH|16323737807181131373</stp>
        <tr r="E10" s="3"/>
      </tp>
      <tp t="s">
        <v>#N/A N/A</v>
        <stp/>
        <stp>BDH|16836634933678066888</stp>
        <tr r="E49" s="5"/>
      </tp>
      <tp t="s">
        <v>#N/A N/A</v>
        <stp/>
        <stp>BDH|12713051025056590529</stp>
        <tr r="K32" s="5"/>
      </tp>
      <tp t="s">
        <v>#N/A N/A</v>
        <stp/>
        <stp>BDH|14946615631031924305</stp>
        <tr r="E35" s="5"/>
      </tp>
      <tp t="s">
        <v>#N/A N/A</v>
        <stp/>
        <stp>BDH|12481756662760458044</stp>
        <tr r="K28" s="5"/>
      </tp>
      <tp t="s">
        <v>#N/A N/A</v>
        <stp/>
        <stp>BDH|16077418671385223311</stp>
        <tr r="J89" s="4"/>
      </tp>
      <tp t="s">
        <v>#N/A N/A</v>
        <stp/>
        <stp>BDH|13229747372674491434</stp>
        <tr r="K65" s="4"/>
      </tp>
      <tp t="s">
        <v>#N/A N/A</v>
        <stp/>
        <stp>BDH|15034645903268040842</stp>
        <tr r="I53" s="4"/>
      </tp>
      <tp t="s">
        <v>#N/A N/A</v>
        <stp/>
        <stp>BDH|17287832607538794439</stp>
        <tr r="F21" s="4"/>
      </tp>
      <tp t="s">
        <v>#N/A N/A</v>
        <stp/>
        <stp>BDH|16453648234989089911</stp>
        <tr r="I58" s="4"/>
      </tp>
      <tp t="s">
        <v>#N/A N/A</v>
        <stp/>
        <stp>BDH|17905732710620985260</stp>
        <tr r="D53" s="5"/>
      </tp>
      <tp t="s">
        <v>#N/A N/A</v>
        <stp/>
        <stp>BDH|12128700121414451010</stp>
        <tr r="F26" s="5"/>
      </tp>
      <tp t="s">
        <v>#N/A N/A</v>
        <stp/>
        <stp>BDH|15044821318778715799</stp>
        <tr r="G51" s="5"/>
      </tp>
      <tp t="s">
        <v>#N/A N/A</v>
        <stp/>
        <stp>BDH|18351526545368984290</stp>
        <tr r="F16" s="4"/>
      </tp>
      <tp t="s">
        <v>#N/A N/A</v>
        <stp/>
        <stp>BDH|16505913946711748917</stp>
        <tr r="D13" s="2"/>
      </tp>
      <tp t="s">
        <v>#N/A N/A</v>
        <stp/>
        <stp>BDH|17683327435271797522</stp>
        <tr r="K87" s="4"/>
      </tp>
      <tp t="s">
        <v>#N/A N/A</v>
        <stp/>
        <stp>BDH|10421745260292207061</stp>
        <tr r="E44" s="3"/>
        <tr r="E18" s="2"/>
      </tp>
      <tp t="s">
        <v>#N/A N/A</v>
        <stp/>
        <stp>BDH|12644128482210552846</stp>
        <tr r="E54" s="4"/>
      </tp>
      <tp t="s">
        <v>#N/A N/A</v>
        <stp/>
        <stp>BDH|17567584207638493991</stp>
        <tr r="E15" s="4"/>
      </tp>
      <tp t="s">
        <v>#N/A N/A</v>
        <stp/>
        <stp>BDH|13125663063806138632</stp>
        <tr r="K89" s="4"/>
      </tp>
      <tp t="s">
        <v>#N/A N/A</v>
        <stp/>
        <stp>BDH|11382654127457320145</stp>
        <tr r="C41" s="5"/>
      </tp>
      <tp t="s">
        <v>#N/A N/A</v>
        <stp/>
        <stp>BDH|16382055186685033865</stp>
        <tr r="H12" s="3"/>
      </tp>
      <tp t="s">
        <v>#N/A N/A</v>
        <stp/>
        <stp>BDH|10767747336880035738</stp>
        <tr r="J36" s="3"/>
      </tp>
      <tp t="s">
        <v>#N/A N/A</v>
        <stp/>
        <stp>BDH|15257545701336403552</stp>
        <tr r="D23" s="3"/>
      </tp>
      <tp t="s">
        <v>#N/A N/A</v>
        <stp/>
        <stp>BDH|15431539477046136283</stp>
        <tr r="H30" s="4"/>
      </tp>
      <tp t="s">
        <v>#N/A N/A</v>
        <stp/>
        <stp>BDH|16549101764095856708</stp>
        <tr r="F49" s="3"/>
      </tp>
      <tp t="s">
        <v>#N/A N/A</v>
        <stp/>
        <stp>BDH|14276568357051964634</stp>
        <tr r="F55" s="5"/>
      </tp>
      <tp t="s">
        <v>#N/A N/A</v>
        <stp/>
        <stp>BDH|10693874442767379891</stp>
        <tr r="C77" s="4"/>
      </tp>
      <tp t="s">
        <v>#N/A N/A</v>
        <stp/>
        <stp>BDH|13550212377312854722</stp>
        <tr r="J90" s="4"/>
      </tp>
      <tp t="s">
        <v>#N/A N/A</v>
        <stp/>
        <stp>BDH|17865665064073644755</stp>
        <tr r="F58" s="5"/>
      </tp>
      <tp t="s">
        <v>#N/A N/A</v>
        <stp/>
        <stp>BDH|14095430510356316483</stp>
        <tr r="H93" s="4"/>
      </tp>
      <tp t="s">
        <v>#N/A N/A</v>
        <stp/>
        <stp>BDH|15550063720552875639</stp>
        <tr r="D50" s="5"/>
      </tp>
      <tp t="s">
        <v>#N/A N/A</v>
        <stp/>
        <stp>BDH|10187662344226215794</stp>
        <tr r="J68" s="5"/>
      </tp>
      <tp t="s">
        <v>#N/A N/A</v>
        <stp/>
        <stp>BDH|11563686214834933187</stp>
        <tr r="H8" s="5"/>
      </tp>
      <tp t="s">
        <v>#N/A N/A</v>
        <stp/>
        <stp>BDH|12244628219937878191</stp>
        <tr r="G23" s="3"/>
      </tp>
      <tp t="s">
        <v>#N/A N/A</v>
        <stp/>
        <stp>BDH|13883018077446709111</stp>
        <tr r="F30" s="5"/>
      </tp>
      <tp t="s">
        <v>#N/A N/A</v>
        <stp/>
        <stp>BDH|11872012223512968280</stp>
        <tr r="D70" s="4"/>
      </tp>
      <tp t="s">
        <v>#N/A N/A</v>
        <stp/>
        <stp>BDH|13267026099681609859</stp>
        <tr r="H81" s="4"/>
      </tp>
      <tp t="s">
        <v>#N/A N/A</v>
        <stp/>
        <stp>BDH|13918324933959606943</stp>
        <tr r="J54" s="4"/>
      </tp>
      <tp t="s">
        <v>#N/A N/A</v>
        <stp/>
        <stp>BDH|12649031134275944724</stp>
        <tr r="C69" s="4"/>
      </tp>
      <tp t="s">
        <v>#N/A N/A</v>
        <stp/>
        <stp>BDH|16684870659070284807</stp>
        <tr r="E26" s="4"/>
      </tp>
      <tp t="s">
        <v>#N/A N/A</v>
        <stp/>
        <stp>BDH|14543116151282963162</stp>
        <tr r="L62" s="4"/>
      </tp>
      <tp t="s">
        <v>#N/A N/A</v>
        <stp/>
        <stp>BDH|16586932700354854835</stp>
        <tr r="K95" s="4"/>
      </tp>
      <tp t="s">
        <v>#N/A N/A</v>
        <stp/>
        <stp>BDH|10883522967794893489</stp>
        <tr r="E10" s="5"/>
      </tp>
      <tp t="s">
        <v>#N/A N/A</v>
        <stp/>
        <stp>BDH|17079867294335621090</stp>
        <tr r="D27" s="3"/>
      </tp>
      <tp t="s">
        <v>#N/A N/A</v>
        <stp/>
        <stp>BDH|18287565770141885810</stp>
        <tr r="G50" s="3"/>
      </tp>
      <tp t="s">
        <v>#N/A N/A</v>
        <stp/>
        <stp>BDH|17332705070912963663</stp>
        <tr r="E34" s="5"/>
      </tp>
      <tp t="s">
        <v>#N/A N/A</v>
        <stp/>
        <stp>BDH|12380080633334546612</stp>
        <tr r="J92" s="4"/>
      </tp>
      <tp t="s">
        <v>#N/A N/A</v>
        <stp/>
        <stp>BDH|11578013922062850223</stp>
        <tr r="J41" s="3"/>
      </tp>
      <tp t="s">
        <v>#N/A N/A</v>
        <stp/>
        <stp>BDH|15412494463017257306</stp>
        <tr r="E65" s="4"/>
      </tp>
      <tp t="s">
        <v>#N/A N/A</v>
        <stp/>
        <stp>BDH|17778352704546349191</stp>
        <tr r="F27" s="3"/>
      </tp>
      <tp t="s">
        <v>#N/A N/A</v>
        <stp/>
        <stp>BDH|10561368578210740737</stp>
        <tr r="K62" s="4"/>
      </tp>
      <tp t="s">
        <v>#N/A N/A</v>
        <stp/>
        <stp>BDH|14544309709974134024</stp>
        <tr r="D34" s="4"/>
      </tp>
      <tp t="s">
        <v>#N/A N/A</v>
        <stp/>
        <stp>BDH|12373184286119339113</stp>
        <tr r="E45" s="4"/>
      </tp>
      <tp t="s">
        <v>#N/A N/A</v>
        <stp/>
        <stp>BDH|10786601748563717278</stp>
        <tr r="F74" s="4"/>
      </tp>
      <tp t="s">
        <v>#N/A N/A</v>
        <stp/>
        <stp>BDH|17256156978057601567</stp>
        <tr r="C45" s="5"/>
      </tp>
      <tp t="s">
        <v>#N/A N/A</v>
        <stp/>
        <stp>BDH|17619634768211169523</stp>
        <tr r="J26" s="4"/>
      </tp>
      <tp t="s">
        <v>#N/A N/A</v>
        <stp/>
        <stp>BDH|17356042214365542082</stp>
        <tr r="C22" s="4"/>
      </tp>
      <tp t="s">
        <v>#N/A N/A</v>
        <stp/>
        <stp>BDH|13537480562383330122</stp>
        <tr r="I89" s="4"/>
      </tp>
      <tp t="s">
        <v>#N/A N/A</v>
        <stp/>
        <stp>BDH|11760226487569477185</stp>
        <tr r="L55" s="5"/>
      </tp>
      <tp t="s">
        <v>#N/A N/A</v>
        <stp/>
        <stp>BDH|17250592620751716225</stp>
        <tr r="I42" s="5"/>
      </tp>
      <tp t="s">
        <v>#N/A N/A</v>
        <stp/>
        <stp>BDH|13675715198317854990</stp>
        <tr r="H46" s="5"/>
      </tp>
      <tp t="s">
        <v>#N/A N/A</v>
        <stp/>
        <stp>BDH|12199340655346553241</stp>
        <tr r="F68" s="3"/>
      </tp>
      <tp t="s">
        <v>#N/A N/A</v>
        <stp/>
        <stp>BDH|15739131023284025261</stp>
        <tr r="E20" s="4"/>
      </tp>
      <tp t="s">
        <v>#N/A N/A</v>
        <stp/>
        <stp>BDH|13130771184494218814</stp>
        <tr r="C54" s="4"/>
      </tp>
      <tp t="s">
        <v>#N/A N/A</v>
        <stp/>
        <stp>BDH|10575607445457236537</stp>
        <tr r="E6" s="2"/>
      </tp>
      <tp t="s">
        <v>#N/A N/A</v>
        <stp/>
        <stp>BDH|17605849460018690157</stp>
        <tr r="I15" s="5"/>
      </tp>
      <tp t="s">
        <v>#N/A N/A</v>
        <stp/>
        <stp>BDH|15133799728884079413</stp>
        <tr r="D62" s="3"/>
      </tp>
      <tp t="s">
        <v>#N/A N/A</v>
        <stp/>
        <stp>BDH|12986592334737721329</stp>
        <tr r="C60" s="3"/>
        <tr r="C16" s="2"/>
      </tp>
      <tp t="s">
        <v>#N/A N/A</v>
        <stp/>
        <stp>BDH|11874646554621185395</stp>
        <tr r="F69" s="3"/>
      </tp>
      <tp t="s">
        <v>#N/A N/A</v>
        <stp/>
        <stp>BDH|13299075832942792205</stp>
        <tr r="E38" s="5"/>
      </tp>
      <tp t="s">
        <v>#N/A N/A</v>
        <stp/>
        <stp>BDH|14716094762515874748</stp>
        <tr r="F33" s="4"/>
      </tp>
      <tp t="s">
        <v>#N/A N/A</v>
        <stp/>
        <stp>BDH|11685200137777268735</stp>
        <tr r="D17" s="4"/>
      </tp>
      <tp t="s">
        <v>#N/A N/A</v>
        <stp/>
        <stp>BDH|12347159442663042443</stp>
        <tr r="H64" s="4"/>
      </tp>
      <tp t="s">
        <v>#N/A N/A</v>
        <stp/>
        <stp>BDH|12862658960382593088</stp>
        <tr r="I74" s="4"/>
      </tp>
      <tp t="s">
        <v>#N/A N/A</v>
        <stp/>
        <stp>BDH|12150752543765170464</stp>
        <tr r="D70" s="3"/>
      </tp>
      <tp t="s">
        <v>#N/A N/A</v>
        <stp/>
        <stp>BDH|12210909291850215212</stp>
        <tr r="I37" s="4"/>
      </tp>
      <tp t="s">
        <v>#N/A N/A</v>
        <stp/>
        <stp>BDH|16610225224233849585</stp>
        <tr r="I62" s="3"/>
      </tp>
      <tp t="s">
        <v>#N/A N/A</v>
        <stp/>
        <stp>BDH|16448748917078071840</stp>
        <tr r="E50" s="3"/>
      </tp>
      <tp t="s">
        <v>#N/A N/A</v>
        <stp/>
        <stp>BDH|14193524530581055304</stp>
        <tr r="I71" s="3"/>
      </tp>
      <tp t="s">
        <v>#N/A N/A</v>
        <stp/>
        <stp>BDH|13898914352646053981</stp>
        <tr r="G61" s="3"/>
      </tp>
      <tp t="s">
        <v>#N/A N/A</v>
        <stp/>
        <stp>BDH|17224096469868112900</stp>
        <tr r="L17" s="4"/>
      </tp>
      <tp t="s">
        <v>#N/A N/A</v>
        <stp/>
        <stp>BDH|11693073262111527655</stp>
        <tr r="D58" s="5"/>
      </tp>
      <tp t="s">
        <v>#N/A N/A</v>
        <stp/>
        <stp>BDH|15101960461162778827</stp>
        <tr r="L46" s="5"/>
      </tp>
      <tp t="s">
        <v>#N/A N/A</v>
        <stp/>
        <stp>BDH|13853469555034032688</stp>
        <tr r="G13" s="5"/>
      </tp>
      <tp t="s">
        <v>#N/A N/A</v>
        <stp/>
        <stp>BDH|16231106346634100767</stp>
        <tr r="E60" s="3"/>
        <tr r="E16" s="2"/>
      </tp>
      <tp t="s">
        <v>#N/A N/A</v>
        <stp/>
        <stp>BDH|11881458617601183595</stp>
        <tr r="E36" s="4"/>
      </tp>
      <tp t="s">
        <v>#N/A N/A</v>
        <stp/>
        <stp>BDH|11389835097276143641</stp>
        <tr r="D72" s="3"/>
      </tp>
      <tp t="s">
        <v>#N/A N/A</v>
        <stp/>
        <stp>BDH|10160984799269538905</stp>
        <tr r="L63" s="4"/>
      </tp>
      <tp t="s">
        <v>#N/A N/A</v>
        <stp/>
        <stp>BDH|14862700978921124548</stp>
        <tr r="I20" s="4"/>
      </tp>
      <tp t="s">
        <v>#N/A N/A</v>
        <stp/>
        <stp>BDH|17300573630484750567</stp>
        <tr r="E70" s="4"/>
      </tp>
      <tp t="s">
        <v>#N/A N/A</v>
        <stp/>
        <stp>BDH|10768635748263989112</stp>
        <tr r="L48" s="4"/>
      </tp>
      <tp t="s">
        <v>#N/A N/A</v>
        <stp/>
        <stp>BDH|13998290460433425407</stp>
        <tr r="C13" s="3"/>
      </tp>
      <tp t="s">
        <v>#N/A N/A</v>
        <stp/>
        <stp>BDH|10141816552829021469</stp>
        <tr r="J36" s="5"/>
      </tp>
      <tp t="s">
        <v>#N/A N/A</v>
        <stp/>
        <stp>BDH|13730514343602485063</stp>
        <tr r="E66" s="3"/>
      </tp>
      <tp t="s">
        <v>#N/A N/A</v>
        <stp/>
        <stp>BDH|11503324531805807494</stp>
        <tr r="F33" s="5"/>
      </tp>
      <tp t="s">
        <v>#N/A N/A</v>
        <stp/>
        <stp>BDH|14273549627290753316</stp>
        <tr r="H36" s="4"/>
      </tp>
      <tp t="s">
        <v>#N/A N/A</v>
        <stp/>
        <stp>BDH|10053260931236613768</stp>
        <tr r="K27" s="4"/>
      </tp>
      <tp t="s">
        <v>#N/A N/A</v>
        <stp/>
        <stp>BDH|17038518348943608585</stp>
        <tr r="C38" s="4"/>
      </tp>
      <tp t="s">
        <v>#N/A N/A</v>
        <stp/>
        <stp>BDH|17340585210582471186</stp>
        <tr r="G25" s="5"/>
      </tp>
      <tp t="s">
        <v>#N/A N/A</v>
        <stp/>
        <stp>BDH|11576598220776253087</stp>
        <tr r="H26" s="3"/>
      </tp>
      <tp t="s">
        <v>#N/A N/A</v>
        <stp/>
        <stp>BDH|11806080055871275516</stp>
        <tr r="G51" s="3"/>
      </tp>
      <tp t="s">
        <v>#N/A N/A</v>
        <stp/>
        <stp>BDH|16834748357524430090</stp>
        <tr r="J43" s="4"/>
      </tp>
      <tp t="s">
        <v>#N/A N/A</v>
        <stp/>
        <stp>BDH|10131574650367448743</stp>
        <tr r="J24" s="5"/>
      </tp>
      <tp t="s">
        <v>#N/A N/A</v>
        <stp/>
        <stp>BDH|15162626015483404141</stp>
        <tr r="E12" s="3"/>
      </tp>
      <tp t="s">
        <v>#N/A N/A</v>
        <stp/>
        <stp>BDH|17403372577853827051</stp>
        <tr r="E95" s="4"/>
      </tp>
      <tp t="s">
        <v>#N/A N/A</v>
        <stp/>
        <stp>BDH|14876777441136131161</stp>
        <tr r="C65" s="4"/>
      </tp>
      <tp t="s">
        <v>#N/A N/A</v>
        <stp/>
        <stp>BDH|11149124338683118035</stp>
        <tr r="J46" s="4"/>
      </tp>
      <tp t="s">
        <v>#N/A N/A</v>
        <stp/>
        <stp>BDH|14781331519242614428</stp>
        <tr r="F88" s="4"/>
      </tp>
      <tp t="s">
        <v>#N/A N/A</v>
        <stp/>
        <stp>BDH|16968668494871550874</stp>
        <tr r="C19" s="5"/>
      </tp>
      <tp t="s">
        <v>#N/A N/A</v>
        <stp/>
        <stp>BDH|16605069300746110089</stp>
        <tr r="D53" s="4"/>
      </tp>
      <tp t="s">
        <v>#N/A N/A</v>
        <stp/>
        <stp>BDH|13980106162636591275</stp>
        <tr r="L18" s="5"/>
      </tp>
      <tp t="s">
        <v>#N/A N/A</v>
        <stp/>
        <stp>BDH|17219258633406800045</stp>
        <tr r="F25" s="5"/>
      </tp>
      <tp t="s">
        <v>#N/A N/A</v>
        <stp/>
        <stp>BDH|11145565029750464623</stp>
        <tr r="I38" s="3"/>
      </tp>
      <tp t="s">
        <v>#N/A N/A</v>
        <stp/>
        <stp>BDH|13248214968252744540</stp>
        <tr r="I32" s="3"/>
      </tp>
      <tp t="s">
        <v>#N/A N/A</v>
        <stp/>
        <stp>BDH|14822333813493613556</stp>
        <tr r="G6" s="3"/>
        <tr r="G12" s="2"/>
      </tp>
      <tp t="s">
        <v>#N/A N/A</v>
        <stp/>
        <stp>BDH|14676057435984804359</stp>
        <tr r="D29" s="5"/>
      </tp>
      <tp t="s">
        <v>#N/A N/A</v>
        <stp/>
        <stp>BDH|10054607813244919314</stp>
        <tr r="L35" s="5"/>
      </tp>
      <tp t="s">
        <v>#N/A N/A</v>
        <stp/>
        <stp>BDH|13612897627128074123</stp>
        <tr r="C46" s="5"/>
      </tp>
      <tp t="s">
        <v>#N/A N/A</v>
        <stp/>
        <stp>BDH|15503534297381373884</stp>
        <tr r="I55" s="3"/>
      </tp>
      <tp t="s">
        <v>#N/A N/A</v>
        <stp/>
        <stp>BDH|15086280336807312306</stp>
        <tr r="F51" s="4"/>
      </tp>
      <tp t="s">
        <v>#N/A N/A</v>
        <stp/>
        <stp>BDH|14848430212386340774</stp>
        <tr r="G58" s="5"/>
      </tp>
      <tp t="s">
        <v>#N/A N/A</v>
        <stp/>
        <stp>BDH|13546330325347739582</stp>
        <tr r="E44" s="5"/>
      </tp>
      <tp t="s">
        <v>#N/A N/A</v>
        <stp/>
        <stp>BDH|17803254224917727012</stp>
        <tr r="C26" s="5"/>
      </tp>
      <tp t="s">
        <v>#N/A N/A</v>
        <stp/>
        <stp>BDH|15979077742296214715</stp>
        <tr r="E63" s="3"/>
      </tp>
      <tp t="s">
        <v>#N/A N/A</v>
        <stp/>
        <stp>BDH|13955077863750284508</stp>
        <tr r="L25" s="4"/>
      </tp>
      <tp t="s">
        <v>#N/A N/A</v>
        <stp/>
        <stp>BDH|11775652563478313833</stp>
        <tr r="G29" s="4"/>
      </tp>
      <tp t="s">
        <v>#N/A N/A</v>
        <stp/>
        <stp>BDH|15301303933784507046</stp>
        <tr r="D50" s="4"/>
      </tp>
      <tp t="s">
        <v>#N/A N/A</v>
        <stp/>
        <stp>BDH|10389521399504000980</stp>
        <tr r="H20" s="3"/>
      </tp>
      <tp t="s">
        <v>#N/A N/A</v>
        <stp/>
        <stp>BDH|16601427394453209921</stp>
        <tr r="J85" s="4"/>
      </tp>
      <tp t="s">
        <v>#N/A N/A</v>
        <stp/>
        <stp>BDH|14382406603911603061</stp>
        <tr r="E45" s="5"/>
      </tp>
      <tp t="s">
        <v>#N/A N/A</v>
        <stp/>
        <stp>BDH|17432507527041725040</stp>
        <tr r="I64" s="5"/>
        <tr r="G25" s="2"/>
      </tp>
      <tp t="s">
        <v>#N/A N/A</v>
        <stp/>
        <stp>BDH|15926218161727887713</stp>
        <tr r="F48" s="3"/>
      </tp>
      <tp t="s">
        <v>#N/A N/A</v>
        <stp/>
        <stp>BDH|17937863897122990525</stp>
        <tr r="G13" s="3"/>
      </tp>
      <tp t="s">
        <v>#N/A N/A</v>
        <stp/>
        <stp>BDH|16552643475832164465</stp>
        <tr r="L19" s="4"/>
      </tp>
      <tp t="s">
        <v>#N/A N/A</v>
        <stp/>
        <stp>BDH|17194279954382228336</stp>
        <tr r="L27" s="5"/>
      </tp>
      <tp t="s">
        <v>#N/A N/A</v>
        <stp/>
        <stp>BDH|14457187108861758508</stp>
        <tr r="J22" s="3"/>
      </tp>
      <tp t="s">
        <v>#N/A N/A</v>
        <stp/>
        <stp>BDH|17793832169169728186</stp>
        <tr r="I94" s="4"/>
      </tp>
      <tp t="s">
        <v>#N/A N/A</v>
        <stp/>
        <stp>BDH|12328501000007652177</stp>
        <tr r="D61" s="4"/>
      </tp>
      <tp t="s">
        <v>#N/A N/A</v>
        <stp/>
        <stp>BDH|16257526619246951524</stp>
        <tr r="G72" s="3"/>
      </tp>
      <tp t="s">
        <v>#N/A N/A</v>
        <stp/>
        <stp>BDH|16440739567643346567</stp>
        <tr r="F54" s="4"/>
      </tp>
      <tp t="s">
        <v>#N/A N/A</v>
        <stp/>
        <stp>BDH|10785477675505499742</stp>
        <tr r="C37" s="4"/>
      </tp>
      <tp t="s">
        <v>#N/A N/A</v>
        <stp/>
        <stp>BDH|17867089873522165379</stp>
        <tr r="C67" s="4"/>
      </tp>
      <tp t="s">
        <v>#N/A N/A</v>
        <stp/>
        <stp>BDH|17132591368410042545</stp>
        <tr r="C58" s="5"/>
      </tp>
      <tp t="s">
        <v>#N/A N/A</v>
        <stp/>
        <stp>BDH|13345210066930888683</stp>
        <tr r="I29" s="3"/>
      </tp>
      <tp t="s">
        <v>#N/A N/A</v>
        <stp/>
        <stp>BDH|16790878715218615674</stp>
        <tr r="E49" s="3"/>
      </tp>
      <tp t="s">
        <v>#N/A N/A</v>
        <stp/>
        <stp>BDH|14161514120190703208</stp>
        <tr r="C50" s="3"/>
      </tp>
      <tp t="s">
        <v>#N/A N/A</v>
        <stp/>
        <stp>BDH|13607255454632397734</stp>
        <tr r="D93" s="4"/>
      </tp>
      <tp t="s">
        <v>#N/A N/A</v>
        <stp/>
        <stp>BDH|14989382095597691850</stp>
        <tr r="E25" s="4"/>
      </tp>
      <tp t="s">
        <v>#N/A N/A</v>
        <stp/>
        <stp>BDH|12945157248525649356</stp>
        <tr r="E37" s="4"/>
      </tp>
      <tp t="s">
        <v>#N/A N/A</v>
        <stp/>
        <stp>BDH|16790959802528311659</stp>
        <tr r="C9" s="4"/>
      </tp>
      <tp t="s">
        <v>#N/A N/A</v>
        <stp/>
        <stp>BDH|14690674525713309219</stp>
        <tr r="K68" s="5"/>
      </tp>
      <tp t="s">
        <v>#N/A N/A</v>
        <stp/>
        <stp>BDH|17653071137023900697</stp>
        <tr r="K73" s="4"/>
      </tp>
      <tp t="s">
        <v>#N/A N/A</v>
        <stp/>
        <stp>BDH|13638195761452048785</stp>
        <tr r="L33" s="5"/>
      </tp>
      <tp t="s">
        <v>#N/A N/A</v>
        <stp/>
        <stp>BDH|12682541153461169293</stp>
        <tr r="H15" s="3"/>
      </tp>
      <tp t="s">
        <v>#N/A N/A</v>
        <stp/>
        <stp>BDH|17535511700490491392</stp>
        <tr r="H69" s="5"/>
      </tp>
      <tp t="s">
        <v>#N/A N/A</v>
        <stp/>
        <stp>BDH|12222987680432373016</stp>
        <tr r="E31" s="4"/>
      </tp>
      <tp t="s">
        <v>#N/A N/A</v>
        <stp/>
        <stp>BDH|14314715916994771785</stp>
        <tr r="J10" s="2"/>
      </tp>
      <tp t="s">
        <v>#N/A N/A</v>
        <stp/>
        <stp>BDH|16327912067849980171</stp>
        <tr r="H78" s="4"/>
      </tp>
      <tp t="s">
        <v>#N/A N/A</v>
        <stp/>
        <stp>BDH|17680848478621097818</stp>
        <tr r="G12" s="3"/>
      </tp>
      <tp t="s">
        <v>#N/A N/A</v>
        <stp/>
        <stp>BDH|11559416111542863766</stp>
        <tr r="K17" s="5"/>
      </tp>
      <tp t="s">
        <v>#N/A N/A</v>
        <stp/>
        <stp>BDH|13700125208981200249</stp>
        <tr r="D72" s="4"/>
      </tp>
      <tp t="s">
        <v>#N/A N/A</v>
        <stp/>
        <stp>BDH|10445951441189366599</stp>
        <tr r="J29" s="3"/>
      </tp>
      <tp t="s">
        <v>#N/A N/A</v>
        <stp/>
        <stp>BDH|14997708233386571759</stp>
        <tr r="J11" s="3"/>
        <tr r="J14" s="2"/>
      </tp>
      <tp t="s">
        <v>#N/A N/A</v>
        <stp/>
        <stp>BDH|13445362285999476098</stp>
        <tr r="F64" s="3"/>
      </tp>
      <tp t="s">
        <v>#N/A N/A</v>
        <stp/>
        <stp>BDH|10947687994806925817</stp>
        <tr r="C67" s="5"/>
      </tp>
      <tp t="s">
        <v>#N/A N/A</v>
        <stp/>
        <stp>BDH|10103718778282337373</stp>
        <tr r="I21" s="4"/>
      </tp>
      <tp t="s">
        <v>#N/A N/A</v>
        <stp/>
        <stp>BDH|11380606597678155795</stp>
        <tr r="J93" s="4"/>
      </tp>
      <tp t="s">
        <v>#N/A N/A</v>
        <stp/>
        <stp>BDH|13897441260052922297</stp>
        <tr r="K48" s="4"/>
      </tp>
      <tp t="s">
        <v>#N/A N/A</v>
        <stp/>
        <stp>BDH|12032972948399292718</stp>
        <tr r="D9" s="2"/>
      </tp>
      <tp t="s">
        <v>#N/A N/A</v>
        <stp/>
        <stp>BDH|17025047618035133213</stp>
        <tr r="D56" s="4"/>
      </tp>
      <tp t="s">
        <v>#N/A N/A</v>
        <stp/>
        <stp>BDH|13899079820474355439</stp>
        <tr r="D16" s="5"/>
      </tp>
      <tp t="s">
        <v>#N/A N/A</v>
        <stp/>
        <stp>BDH|16550682665875562227</stp>
        <tr r="I40" s="3"/>
      </tp>
      <tp t="s">
        <v>#N/A N/A</v>
        <stp/>
        <stp>BDH|17515771101115518493</stp>
        <tr r="C27" s="5"/>
      </tp>
      <tp t="s">
        <v>#N/A N/A</v>
        <stp/>
        <stp>BDH|13861799420311852677</stp>
        <tr r="H22" s="5"/>
      </tp>
      <tp t="s">
        <v>#N/A N/A</v>
        <stp/>
        <stp>BDH|12097281806646692767</stp>
        <tr r="H13" s="4"/>
      </tp>
      <tp t="s">
        <v>#N/A N/A</v>
        <stp/>
        <stp>BDH|13774334614099700996</stp>
        <tr r="F34" s="4"/>
      </tp>
      <tp t="s">
        <v>#N/A N/A</v>
        <stp/>
        <stp>BDH|12485533208268814969</stp>
        <tr r="H60" s="4"/>
      </tp>
      <tp t="s">
        <v>#N/A N/A</v>
        <stp/>
        <stp>BDH|14856129445284797391</stp>
        <tr r="J25" s="5"/>
      </tp>
      <tp t="s">
        <v>#N/A N/A</v>
        <stp/>
        <stp>BDH|18130122588374980329</stp>
        <tr r="K58" s="5"/>
      </tp>
      <tp t="s">
        <v>#N/A N/A</v>
        <stp/>
        <stp>BDH|13320638941741342628</stp>
        <tr r="F17" s="3"/>
      </tp>
      <tp t="s">
        <v>#N/A N/A</v>
        <stp/>
        <stp>BDH|13335715177663730627</stp>
        <tr r="I57" s="4"/>
      </tp>
      <tp t="s">
        <v>#N/A N/A</v>
        <stp/>
        <stp>BDH|16230599623121993629</stp>
        <tr r="G41" s="3"/>
      </tp>
      <tp t="s">
        <v>#N/A N/A</v>
        <stp/>
        <stp>BDH|12585176047779352857</stp>
        <tr r="F52" s="4"/>
      </tp>
      <tp t="s">
        <v>#N/A N/A</v>
        <stp/>
        <stp>BDH|18384463051999591621</stp>
        <tr r="C10" s="5"/>
      </tp>
      <tp t="s">
        <v>#N/A N/A</v>
        <stp/>
        <stp>BDH|16905092152484568148</stp>
        <tr r="J22" s="4"/>
      </tp>
      <tp t="s">
        <v>#N/A N/A</v>
        <stp/>
        <stp>BDH|10597673416833097273</stp>
        <tr r="L37" s="5"/>
      </tp>
      <tp t="s">
        <v>#N/A N/A</v>
        <stp/>
        <stp>BDH|14527004537263065210</stp>
        <tr r="J55" s="4"/>
      </tp>
      <tp t="s">
        <v>#N/A N/A</v>
        <stp/>
        <stp>BDH|14204644845792042207</stp>
        <tr r="E35" s="4"/>
      </tp>
      <tp t="s">
        <v>#N/A N/A</v>
        <stp/>
        <stp>BDH|16255336492168095214</stp>
        <tr r="F31" s="4"/>
      </tp>
      <tp t="s">
        <v>#N/A N/A</v>
        <stp/>
        <stp>BDH|13209908827357208955</stp>
        <tr r="I60" s="3"/>
        <tr r="I16" s="2"/>
      </tp>
      <tp t="s">
        <v>#N/A N/A</v>
        <stp/>
        <stp>BDH|14099770858412878256</stp>
        <tr r="E37" s="5"/>
      </tp>
      <tp t="s">
        <v>#N/A N/A</v>
        <stp/>
        <stp>BDH|12859784825203557225</stp>
        <tr r="I45" s="3"/>
      </tp>
      <tp t="s">
        <v>#N/A N/A</v>
        <stp/>
        <stp>BDH|11601740167954273258</stp>
        <tr r="H38" s="3"/>
      </tp>
      <tp t="s">
        <v>#N/A N/A</v>
        <stp/>
        <stp>BDH|10134621319878982917</stp>
        <tr r="C16" s="4"/>
      </tp>
      <tp t="s">
        <v>#N/A N/A</v>
        <stp/>
        <stp>BDH|12962195577781160339</stp>
        <tr r="E24" s="2"/>
      </tp>
      <tp t="s">
        <v>#N/A N/A</v>
        <stp/>
        <stp>BDH|16609451627856351023</stp>
        <tr r="C51" s="5"/>
      </tp>
      <tp t="s">
        <v>#N/A N/A</v>
        <stp/>
        <stp>BDH|13502313354845652633</stp>
        <tr r="C57" s="4"/>
      </tp>
      <tp t="s">
        <v>#N/A N/A</v>
        <stp/>
        <stp>BDH|14532676227957566159</stp>
        <tr r="E17" s="5"/>
      </tp>
      <tp t="s">
        <v>#N/A N/A</v>
        <stp/>
        <stp>BDH|10983448140160103695</stp>
        <tr r="K11" s="5"/>
      </tp>
      <tp t="s">
        <v>#N/A N/A</v>
        <stp/>
        <stp>BDH|13681740307911895391</stp>
        <tr r="H34" s="4"/>
      </tp>
      <tp t="s">
        <v>#N/A N/A</v>
        <stp/>
        <stp>BDH|17840714917571347696</stp>
        <tr r="J64" s="3"/>
      </tp>
      <tp t="s">
        <v>#N/A N/A</v>
        <stp/>
        <stp>BDH|17511568072396283575</stp>
        <tr r="H41" s="3"/>
      </tp>
      <tp t="s">
        <v>#N/A N/A</v>
        <stp/>
        <stp>BDH|12818343074891885147</stp>
        <tr r="I18" s="5"/>
      </tp>
      <tp t="s">
        <v>#N/A N/A</v>
        <stp/>
        <stp>BDH|11619692198438072034</stp>
        <tr r="G48" s="5"/>
      </tp>
      <tp t="s">
        <v>#N/A N/A</v>
        <stp/>
        <stp>BDH|11606718962781515775</stp>
        <tr r="E14" s="3"/>
      </tp>
      <tp t="s">
        <v>#N/A N/A</v>
        <stp/>
        <stp>BDH|17669918064709487709</stp>
        <tr r="J72" s="3"/>
      </tp>
      <tp t="s">
        <v>#N/A N/A</v>
        <stp/>
        <stp>BDH|11149347378293893024</stp>
        <tr r="I15" s="4"/>
      </tp>
      <tp t="s">
        <v>#N/A N/A</v>
        <stp/>
        <stp>BDH|14909687789285684991</stp>
        <tr r="E48" s="3"/>
      </tp>
      <tp t="s">
        <v>#N/A N/A</v>
        <stp/>
        <stp>BDH|12286058472093476064</stp>
        <tr r="H11" s="3"/>
        <tr r="H14" s="2"/>
      </tp>
      <tp t="s">
        <v>#N/A N/A</v>
        <stp/>
        <stp>BDH|15301562942475374732</stp>
        <tr r="I62" s="4"/>
      </tp>
      <tp t="s">
        <v>#N/A N/A</v>
        <stp/>
        <stp>BDH|15891614395828977421</stp>
        <tr r="L58" s="5"/>
      </tp>
      <tp t="s">
        <v>#N/A N/A</v>
        <stp/>
        <stp>BDH|12719502332281074327</stp>
        <tr r="C16" s="3"/>
      </tp>
      <tp t="s">
        <v>#N/A N/A</v>
        <stp/>
        <stp>BDH|14770478234090305512</stp>
        <tr r="H70" s="4"/>
      </tp>
      <tp t="s">
        <v>#N/A N/A</v>
        <stp/>
        <stp>BDH|14530096964625788199</stp>
        <tr r="H8" s="4"/>
      </tp>
      <tp t="s">
        <v>#N/A N/A</v>
        <stp/>
        <stp>BDH|10637170293037231961</stp>
        <tr r="C29" s="4"/>
      </tp>
      <tp t="s">
        <v>#N/A N/A</v>
        <stp/>
        <stp>BDH|11987479736497727797</stp>
        <tr r="J15" s="5"/>
      </tp>
      <tp t="s">
        <v>#N/A N/A</v>
        <stp/>
        <stp>BDH|18035601956138407545</stp>
        <tr r="E15" s="3"/>
      </tp>
      <tp t="s">
        <v>#N/A N/A</v>
        <stp/>
        <stp>BDH|10640341007385365005</stp>
        <tr r="D49" s="5"/>
      </tp>
      <tp t="s">
        <v>#N/A N/A</v>
        <stp/>
        <stp>BDH|13477328178664281559</stp>
        <tr r="I53" s="5"/>
      </tp>
      <tp t="s">
        <v>#N/A N/A</v>
        <stp/>
        <stp>BDH|10397408843465975306</stp>
        <tr r="H67" s="4"/>
      </tp>
      <tp t="s">
        <v>#N/A N/A</v>
        <stp/>
        <stp>BDH|10236818147493828943</stp>
        <tr r="D86" s="4"/>
      </tp>
      <tp t="s">
        <v>#N/A N/A</v>
        <stp/>
        <stp>BDH|10589893775008927184</stp>
        <tr r="C23" s="4"/>
      </tp>
      <tp t="s">
        <v>#N/A N/A</v>
        <stp/>
        <stp>BDH|17726397624145270507</stp>
        <tr r="D24" s="3"/>
      </tp>
      <tp t="s">
        <v>#N/A N/A</v>
        <stp/>
        <stp>BDH|10245512396998647280</stp>
        <tr r="E96" s="4"/>
      </tp>
      <tp t="s">
        <v>#N/A N/A</v>
        <stp/>
        <stp>BDH|14392824003249937316</stp>
        <tr r="L66" s="4"/>
      </tp>
      <tp t="s">
        <v>#N/A N/A</v>
        <stp/>
        <stp>BDH|16025440669375219758</stp>
        <tr r="J38" s="4"/>
      </tp>
      <tp t="s">
        <v>#N/A N/A</v>
        <stp/>
        <stp>BDH|16367287120090686077</stp>
        <tr r="I60" s="4"/>
      </tp>
      <tp t="s">
        <v>#N/A N/A</v>
        <stp/>
        <stp>BDH|16492583027811204634</stp>
        <tr r="K19" s="5"/>
        <tr r="I23" s="2"/>
      </tp>
      <tp t="s">
        <v>#N/A N/A</v>
        <stp/>
        <stp>BDH|13917243067304507555</stp>
        <tr r="D66" s="4"/>
      </tp>
      <tp t="s">
        <v>#N/A N/A</v>
        <stp/>
        <stp>BDH|10698186162312861394</stp>
        <tr r="G71" s="3"/>
      </tp>
      <tp t="s">
        <v>#N/A N/A</v>
        <stp/>
        <stp>BDH|13540282559965108782</stp>
        <tr r="G38" s="5"/>
      </tp>
      <tp t="s">
        <v>#N/A N/A</v>
        <stp/>
        <stp>BDH|18037949368974031511</stp>
        <tr r="L32" s="5"/>
      </tp>
      <tp t="s">
        <v>#N/A N/A</v>
        <stp/>
        <stp>BDH|10999666629217241599</stp>
        <tr r="J26" s="5"/>
      </tp>
      <tp t="s">
        <v>#N/A N/A</v>
        <stp/>
        <stp>BDH|16177226605592911023</stp>
        <tr r="D36" s="4"/>
      </tp>
      <tp t="s">
        <v>#N/A N/A</v>
        <stp/>
        <stp>BDH|17094580050377060642</stp>
        <tr r="J91" s="4"/>
      </tp>
      <tp t="s">
        <v>#N/A N/A</v>
        <stp/>
        <stp>BDH|10325965048132585943</stp>
        <tr r="G35" s="3"/>
      </tp>
      <tp t="s">
        <v>#N/A N/A</v>
        <stp/>
        <stp>BDH|13808129012576613321</stp>
        <tr r="C34" s="5"/>
      </tp>
      <tp t="s">
        <v>#N/A N/A</v>
        <stp/>
        <stp>BDH|17350425413904883059</stp>
        <tr r="F16" s="3"/>
      </tp>
      <tp t="s">
        <v>#N/A N/A</v>
        <stp/>
        <stp>BDH|15278789347585265516</stp>
        <tr r="L56" s="4"/>
      </tp>
      <tp t="s">
        <v>#N/A N/A</v>
        <stp/>
        <stp>BDH|14374787634823827595</stp>
        <tr r="D7" s="5"/>
      </tp>
      <tp t="s">
        <v>#N/A N/A</v>
        <stp/>
        <stp>BDH|11444858640759891273</stp>
        <tr r="D71" s="3"/>
      </tp>
      <tp t="s">
        <v>#N/A N/A</v>
        <stp/>
        <stp>BDH|12797724635430405154</stp>
        <tr r="H29" s="3"/>
      </tp>
      <tp t="s">
        <v>#N/A N/A</v>
        <stp/>
        <stp>BDH|15755766560337831481</stp>
        <tr r="K25" s="5"/>
      </tp>
      <tp t="s">
        <v>#N/A N/A</v>
        <stp/>
        <stp>BDH|13887706019095699766</stp>
        <tr r="D67" s="4"/>
      </tp>
      <tp t="s">
        <v>#N/A N/A</v>
        <stp/>
        <stp>BDH|11801700414194401495</stp>
        <tr r="F64" s="4"/>
      </tp>
      <tp t="s">
        <v>#N/A N/A</v>
        <stp/>
        <stp>BDH|11449309595995597945</stp>
        <tr r="K23" s="5"/>
      </tp>
      <tp t="s">
        <v>#N/A N/A</v>
        <stp/>
        <stp>BDH|10093450258905472398</stp>
        <tr r="E36" s="3"/>
      </tp>
      <tp t="s">
        <v>#N/A N/A</v>
        <stp/>
        <stp>BDH|12876600115722849059</stp>
        <tr r="D48" s="4"/>
      </tp>
      <tp t="s">
        <v>#N/A N/A</v>
        <stp/>
        <stp>BDH|11573416739526599781</stp>
        <tr r="F72" s="3"/>
      </tp>
      <tp t="s">
        <v>#N/A N/A</v>
        <stp/>
        <stp>BDH|10268689302809015885</stp>
        <tr r="C23" s="3"/>
      </tp>
      <tp t="s">
        <v>#N/A N/A</v>
        <stp/>
        <stp>BDH|16591566420873248512</stp>
        <tr r="D66" s="3"/>
      </tp>
      <tp t="s">
        <v>#N/A N/A</v>
        <stp/>
        <stp>BDH|18309926570579285800</stp>
        <tr r="G9" s="4"/>
      </tp>
      <tp t="s">
        <v>#N/A N/A</v>
        <stp/>
        <stp>BDH|12115563770896252165</stp>
        <tr r="G66" s="3"/>
      </tp>
      <tp t="s">
        <v>#N/A N/A</v>
        <stp/>
        <stp>BDH|14060671263065068678</stp>
        <tr r="H57" s="4"/>
      </tp>
      <tp t="s">
        <v>#N/A N/A</v>
        <stp/>
        <stp>BDH|13424123818963806757</stp>
        <tr r="I10" s="2"/>
      </tp>
      <tp t="s">
        <v>#N/A N/A</v>
        <stp/>
        <stp>BDH|12929041053907418794</stp>
        <tr r="H49" s="3"/>
      </tp>
      <tp t="s">
        <v>#N/A N/A</v>
        <stp/>
        <stp>BDH|11397601471796856196</stp>
        <tr r="I6" s="2"/>
      </tp>
      <tp t="s">
        <v>#N/A N/A</v>
        <stp/>
        <stp>BDH|13466236234297723271</stp>
        <tr r="G12" s="5"/>
      </tp>
      <tp t="s">
        <v>#N/A N/A</v>
        <stp/>
        <stp>BDH|12953293921472638741</stp>
        <tr r="F62" s="4"/>
      </tp>
      <tp t="s">
        <v>#N/A N/A</v>
        <stp/>
        <stp>BDH|13524152941703664246</stp>
        <tr r="F46" s="3"/>
        <tr r="F34" s="3"/>
      </tp>
      <tp t="s">
        <v>#N/A N/A</v>
        <stp/>
        <stp>BDH|16925452102075598092</stp>
        <tr r="F43" s="4"/>
      </tp>
      <tp t="s">
        <v>#N/A N/A</v>
        <stp/>
        <stp>BDH|12203321266902002241</stp>
        <tr r="L13" s="4"/>
      </tp>
      <tp t="s">
        <v>#N/A N/A</v>
        <stp/>
        <stp>BDH|12687175700947064336</stp>
        <tr r="J9" s="3"/>
      </tp>
      <tp t="s">
        <v>#N/A N/A</v>
        <stp/>
        <stp>BDH|10528421576226536210</stp>
        <tr r="G10" s="4"/>
      </tp>
      <tp t="s">
        <v>#N/A N/A</v>
        <stp/>
        <stp>BDH|10044641671871907798</stp>
        <tr r="J61" s="5"/>
      </tp>
      <tp t="s">
        <v>#N/A N/A</v>
        <stp/>
        <stp>BDH|10015674558803270799</stp>
        <tr r="C58" s="4"/>
      </tp>
      <tp t="s">
        <v>#N/A N/A</v>
        <stp/>
        <stp>BDH|12339303153087108457</stp>
        <tr r="D6" s="2"/>
      </tp>
      <tp t="s">
        <v>#N/A N/A</v>
        <stp/>
        <stp>BDH|17770560575746374431</stp>
        <tr r="J43" s="5"/>
      </tp>
      <tp t="s">
        <v>#N/A N/A</v>
        <stp/>
        <stp>BDH|17109541020397594070</stp>
        <tr r="C73" s="4"/>
      </tp>
      <tp t="s">
        <v>#N/A N/A</v>
        <stp/>
        <stp>BDH|14038662966951021278</stp>
        <tr r="D94" s="4"/>
      </tp>
      <tp t="s">
        <v>#N/A N/A</v>
        <stp/>
        <stp>BDH|10427623200074170504</stp>
        <tr r="K17" s="4"/>
      </tp>
      <tp t="s">
        <v>#N/A N/A</v>
        <stp/>
        <stp>BDH|17169968533182661841</stp>
        <tr r="C64" s="3"/>
      </tp>
      <tp t="s">
        <v>#N/A N/A</v>
        <stp/>
        <stp>BDH|16053090628842785109</stp>
        <tr r="J42" s="4"/>
      </tp>
      <tp t="s">
        <v>#N/A N/A</v>
        <stp/>
        <stp>BDH|12530066951986191659</stp>
        <tr r="J23" s="4"/>
      </tp>
      <tp t="s">
        <v>#N/A N/A</v>
        <stp/>
        <stp>BDH|14715765650094571523</stp>
        <tr r="E47" s="4"/>
      </tp>
      <tp t="s">
        <v>#N/A N/A</v>
        <stp/>
        <stp>BDH|10114556007035440714</stp>
        <tr r="G27" s="3"/>
      </tp>
      <tp t="s">
        <v>#N/A N/A</v>
        <stp/>
        <stp>BDH|16065063038106401438</stp>
        <tr r="E24" s="3"/>
      </tp>
      <tp t="s">
        <v>#N/A N/A</v>
        <stp/>
        <stp>BDH|11695609476944961315</stp>
        <tr r="D37" s="5"/>
      </tp>
      <tp t="s">
        <v>#N/A N/A</v>
        <stp/>
        <stp>BDH|11820392152336244699</stp>
        <tr r="H6" s="3"/>
        <tr r="H12" s="2"/>
      </tp>
      <tp t="s">
        <v>#N/A N/A</v>
        <stp/>
        <stp>BDH|12983364367335943597</stp>
        <tr r="F53" s="3"/>
      </tp>
      <tp t="s">
        <v>#N/A N/A</v>
        <stp/>
        <stp>BDH|12608393341474745610</stp>
        <tr r="H51" s="5"/>
      </tp>
      <tp t="s">
        <v>#N/A N/A</v>
        <stp/>
        <stp>BDH|15874119822277692656</stp>
        <tr r="K71" s="4"/>
      </tp>
      <tp t="s">
        <v>#N/A N/A</v>
        <stp/>
        <stp>BDH|14022918580952001092</stp>
        <tr r="I19" s="5"/>
        <tr r="G23" s="2"/>
      </tp>
      <tp t="s">
        <v>#N/A N/A</v>
        <stp/>
        <stp>BDH|17728616879126377744</stp>
        <tr r="K61" s="5"/>
      </tp>
      <tp t="s">
        <v>#N/A N/A</v>
        <stp/>
        <stp>BDH|16234294193473086926</stp>
        <tr r="G31" s="3"/>
      </tp>
      <tp t="s">
        <v>#N/A N/A</v>
        <stp/>
        <stp>BDH|14308400241610040383</stp>
        <tr r="F9" s="5"/>
      </tp>
      <tp t="s">
        <v>#N/A N/A</v>
        <stp/>
        <stp>BDH|14934174853700994793</stp>
        <tr r="C52" s="4"/>
      </tp>
      <tp t="s">
        <v>#N/A N/A</v>
        <stp/>
        <stp>BDH|15050642968891253333</stp>
        <tr r="H95" s="4"/>
      </tp>
      <tp t="s">
        <v>#N/A N/A</v>
        <stp/>
        <stp>BDH|11640027635465907059</stp>
        <tr r="C67" s="3"/>
      </tp>
      <tp t="s">
        <v>#N/A N/A</v>
        <stp/>
        <stp>BDH|16370073369664199317</stp>
        <tr r="J96" s="4"/>
      </tp>
      <tp t="s">
        <v>#N/A N/A</v>
        <stp/>
        <stp>BDH|11027055397536957965</stp>
        <tr r="J54" s="3"/>
      </tp>
      <tp t="s">
        <v>#N/A N/A</v>
        <stp/>
        <stp>BDH|12095289960773469210</stp>
        <tr r="L8" s="5"/>
      </tp>
      <tp t="s">
        <v>#N/A N/A</v>
        <stp/>
        <stp>BDH|10005584471114297168</stp>
        <tr r="L7" s="5"/>
      </tp>
      <tp t="s">
        <v>#N/A N/A</v>
        <stp/>
        <stp>BDH|15944400862811623111</stp>
        <tr r="C65" s="5"/>
      </tp>
      <tp t="s">
        <v>#N/A N/A</v>
        <stp/>
        <stp>BDH|16637698276454691437</stp>
        <tr r="I54" s="3"/>
      </tp>
      <tp t="s">
        <v>#N/A N/A</v>
        <stp/>
        <stp>BDH|16878941441319079520</stp>
        <tr r="J41" s="5"/>
      </tp>
      <tp t="s">
        <v>#N/A N/A</v>
        <stp/>
        <stp>BDH|12928864392152013627</stp>
        <tr r="H56" s="4"/>
      </tp>
      <tp t="s">
        <v>#N/A N/A</v>
        <stp/>
        <stp>BDH|16719866470386758891</stp>
        <tr r="C31" s="4"/>
      </tp>
      <tp t="s">
        <v>#N/A N/A</v>
        <stp/>
        <stp>BDH|11763357566724361786</stp>
        <tr r="F25" s="4"/>
      </tp>
      <tp t="s">
        <v>#N/A N/A</v>
        <stp/>
        <stp>BDH|13068526400525801450</stp>
        <tr r="D18" s="5"/>
      </tp>
      <tp t="s">
        <v>#N/A N/A</v>
        <stp/>
        <stp>BDH|16257057768960367726</stp>
        <tr r="F14" s="4"/>
      </tp>
      <tp t="s">
        <v>#N/A N/A</v>
        <stp/>
        <stp>BDH|15444056710514820481</stp>
        <tr r="J76" s="4"/>
      </tp>
      <tp t="s">
        <v>#N/A N/A</v>
        <stp/>
        <stp>BDH|14517664207384174252</stp>
        <tr r="K55" s="5"/>
      </tp>
      <tp t="s">
        <v>#N/A N/A</v>
        <stp/>
        <stp>BDH|13761246550075221513</stp>
        <tr r="C11" s="5"/>
      </tp>
      <tp t="s">
        <v>#N/A N/A</v>
        <stp/>
        <stp>BDH|11264621012430606245</stp>
        <tr r="H31" s="5"/>
      </tp>
      <tp t="s">
        <v>#N/A N/A</v>
        <stp/>
        <stp>BDH|10056600129481972103</stp>
        <tr r="I13" s="5"/>
      </tp>
      <tp t="s">
        <v>#N/A N/A</v>
        <stp/>
        <stp>BDH|17273420380496663961</stp>
        <tr r="D87" s="4"/>
      </tp>
      <tp t="s">
        <v>#N/A N/A</v>
        <stp/>
        <stp>BDH|15990094411016241600</stp>
        <tr r="I32" s="4"/>
      </tp>
      <tp t="s">
        <v>#N/A N/A</v>
        <stp/>
        <stp>BDH|17005784938341002634</stp>
        <tr r="I35" s="4"/>
      </tp>
      <tp t="s">
        <v>#N/A N/A</v>
        <stp/>
        <stp>BDH|17551773995158466506</stp>
        <tr r="H24" s="5"/>
      </tp>
      <tp t="s">
        <v>#N/A N/A</v>
        <stp/>
        <stp>BDH|11719271902970791767</stp>
        <tr r="H23" s="5"/>
      </tp>
      <tp t="s">
        <v>#N/A N/A</v>
        <stp/>
        <stp>BDH|11725644037203017370</stp>
        <tr r="D53" s="3"/>
      </tp>
      <tp t="s">
        <v>#N/A N/A</v>
        <stp/>
        <stp>BDH|13242424473190782464</stp>
        <tr r="D46" s="5"/>
      </tp>
      <tp t="s">
        <v>#N/A N/A</v>
        <stp/>
        <stp>BDH|16177324804887398663</stp>
        <tr r="J49" s="5"/>
      </tp>
      <tp t="s">
        <v>#N/A N/A</v>
        <stp/>
        <stp>BDH|13802739889940387838</stp>
        <tr r="L50" s="4"/>
      </tp>
      <tp t="s">
        <v>#N/A N/A</v>
        <stp/>
        <stp>BDH|17840364511823322294</stp>
        <tr r="L28" s="5"/>
      </tp>
      <tp t="s">
        <v>#N/A N/A</v>
        <stp/>
        <stp>BDH|17700404842581682265</stp>
        <tr r="F35" s="3"/>
      </tp>
      <tp t="s">
        <v>#N/A N/A</v>
        <stp/>
        <stp>BDH|17806441957462750092</stp>
        <tr r="G16" s="5"/>
      </tp>
      <tp t="s">
        <v>#N/A N/A</v>
        <stp/>
        <stp>BDH|16242075707844181663</stp>
        <tr r="F15" s="4"/>
      </tp>
      <tp t="s">
        <v>#N/A N/A</v>
        <stp/>
        <stp>BDH|12209455106597443505</stp>
        <tr r="J66" s="5"/>
      </tp>
      <tp t="s">
        <v>#N/A N/A</v>
        <stp/>
        <stp>BDH|13159547358125923216</stp>
        <tr r="C20" s="4"/>
      </tp>
      <tp t="s">
        <v>#N/A N/A</v>
        <stp/>
        <stp>BDH|14098020640560595435</stp>
        <tr r="I24" s="5"/>
      </tp>
      <tp t="s">
        <v>#N/A N/A</v>
        <stp/>
        <stp>BDH|14436016534752756127</stp>
        <tr r="L10" s="5"/>
      </tp>
      <tp t="s">
        <v>#N/A N/A</v>
        <stp/>
        <stp>BDH|17219653954626529622</stp>
        <tr r="C55" s="3"/>
      </tp>
      <tp t="s">
        <v>#N/A N/A</v>
        <stp/>
        <stp>BDH|17441406291106334811</stp>
        <tr r="I23" s="3"/>
      </tp>
      <tp t="s">
        <v>#N/A N/A</v>
        <stp/>
        <stp>BDH|15348405248648492994</stp>
        <tr r="C29" s="5"/>
      </tp>
      <tp t="s">
        <v>#N/A N/A</v>
        <stp/>
        <stp>BDH|11646659056475166326</stp>
        <tr r="C18" s="5"/>
      </tp>
      <tp t="s">
        <v>#N/A N/A</v>
        <stp/>
        <stp>BDH|18143777491116881494</stp>
        <tr r="D32" s="3"/>
      </tp>
      <tp t="s">
        <v>#N/A N/A</v>
        <stp/>
        <stp>BDH|13631389975614440795</stp>
        <tr r="G11" s="5"/>
      </tp>
      <tp t="s">
        <v>#N/A N/A</v>
        <stp/>
        <stp>BDH|15807038699421080949</stp>
        <tr r="J8" s="3"/>
      </tp>
      <tp t="s">
        <v>#N/A N/A</v>
        <stp/>
        <stp>BDH|13328615105036003716</stp>
        <tr r="C16" s="5"/>
      </tp>
      <tp t="s">
        <v>#N/A N/A</v>
        <stp/>
        <stp>BDH|14262351821287046600</stp>
        <tr r="D20" s="3"/>
      </tp>
      <tp t="s">
        <v>#N/A N/A</v>
        <stp/>
        <stp>BDH|17391565768366679623</stp>
        <tr r="D29" s="3"/>
      </tp>
      <tp t="s">
        <v>#N/A N/A</v>
        <stp/>
        <stp>BDH|10322619361001221583</stp>
        <tr r="F42" s="5"/>
      </tp>
      <tp t="s">
        <v>#N/A N/A</v>
        <stp/>
        <stp>BDH|13188738204734701489</stp>
        <tr r="H7" s="4"/>
      </tp>
      <tp t="s">
        <v>#N/A N/A</v>
        <stp/>
        <stp>BDH|15338796076514709523</stp>
        <tr r="L70" s="4"/>
      </tp>
      <tp t="s">
        <v>#N/A N/A</v>
        <stp/>
        <stp>BDH|15040651690959976759</stp>
        <tr r="L24" s="5"/>
      </tp>
      <tp t="s">
        <v>#N/A N/A</v>
        <stp/>
        <stp>BDH|16426019264957975312</stp>
        <tr r="E41" s="3"/>
      </tp>
      <tp t="s">
        <v>#N/A N/A</v>
        <stp/>
        <stp>BDH|13839468352072585405</stp>
        <tr r="H21" s="4"/>
      </tp>
      <tp t="s">
        <v>#N/A N/A</v>
        <stp/>
        <stp>BDH|14299398533256176601</stp>
        <tr r="D49" s="3"/>
      </tp>
      <tp t="s">
        <v>#N/A N/A</v>
        <stp/>
        <stp>BDH|14832619751573117013</stp>
        <tr r="C53" s="4"/>
      </tp>
      <tp t="s">
        <v>#N/A N/A</v>
        <stp/>
        <stp>BDH|14574587557087406763</stp>
        <tr r="J60" s="4"/>
      </tp>
      <tp t="s">
        <v>#N/A N/A</v>
        <stp/>
        <stp>BDH|10002030528511008733</stp>
        <tr r="D21" s="4"/>
      </tp>
      <tp t="s">
        <v>#N/A N/A</v>
        <stp/>
        <stp>BDH|14576765152224812617</stp>
        <tr r="F63" s="5"/>
      </tp>
      <tp t="s">
        <v>#N/A N/A</v>
        <stp/>
        <stp>BDH|13140680955787401339</stp>
        <tr r="D35" s="3"/>
      </tp>
      <tp t="s">
        <v>#N/A N/A</v>
        <stp/>
        <stp>BDH|12304852098582415511</stp>
        <tr r="I46" s="3"/>
        <tr r="I34" s="3"/>
      </tp>
      <tp t="s">
        <v>#N/A N/A</v>
        <stp/>
        <stp>BDH|11225204808744879391</stp>
        <tr r="G17" s="5"/>
      </tp>
      <tp t="s">
        <v>#N/A N/A</v>
        <stp/>
        <stp>BDH|16854610267717044552</stp>
        <tr r="I66" s="5"/>
      </tp>
      <tp t="s">
        <v>#N/A N/A</v>
        <stp/>
        <stp>BDH|15845469711697769326</stp>
        <tr r="H62" s="5"/>
      </tp>
      <tp t="s">
        <v>#N/A N/A</v>
        <stp/>
        <stp>BDH|12788675957153920644</stp>
        <tr r="C93" s="4"/>
      </tp>
      <tp t="s">
        <v>#N/A N/A</v>
        <stp/>
        <stp>BDH|14607298716270323302</stp>
        <tr r="L43" s="4"/>
      </tp>
      <tp t="s">
        <v>#N/A N/A</v>
        <stp/>
        <stp>BDH|17299161824567280789</stp>
        <tr r="D43" s="5"/>
      </tp>
      <tp t="s">
        <v>#N/A N/A</v>
        <stp/>
        <stp>BDH|13917060066818185920</stp>
        <tr r="G95" s="4"/>
      </tp>
      <tp t="s">
        <v>#N/A N/A</v>
        <stp/>
        <stp>BDH|12173399528467593088</stp>
        <tr r="D45" s="3"/>
      </tp>
      <tp t="s">
        <v>#N/A N/A</v>
        <stp/>
        <stp>BDH|15890063507037548619</stp>
        <tr r="E28" s="5"/>
      </tp>
      <tp t="s">
        <v>#N/A N/A</v>
        <stp/>
        <stp>BDH|12804632462566123051</stp>
        <tr r="H26" s="4"/>
      </tp>
      <tp t="s">
        <v>#N/A N/A</v>
        <stp/>
        <stp>BDH|15970864267839166655</stp>
        <tr r="F6" s="2"/>
      </tp>
      <tp t="s">
        <v>#N/A N/A</v>
        <stp/>
        <stp>BDH|13068200569170304368</stp>
        <tr r="H15" s="5"/>
      </tp>
      <tp t="s">
        <v>#N/A N/A</v>
        <stp/>
        <stp>BDH|14068121982041932857</stp>
        <tr r="H85" s="4"/>
      </tp>
      <tp t="s">
        <v>#N/A N/A</v>
        <stp/>
        <stp>BDH|14040534183274468982</stp>
        <tr r="L38" s="5"/>
      </tp>
      <tp t="s">
        <v>#N/A N/A</v>
        <stp/>
        <stp>BDH|16199428873744944554</stp>
        <tr r="I8" s="4"/>
      </tp>
      <tp t="s">
        <v>#N/A N/A</v>
        <stp/>
        <stp>BDH|16384643430774142395</stp>
        <tr r="K45" s="4"/>
      </tp>
      <tp t="s">
        <v>#N/A N/A</v>
        <stp/>
        <stp>BDH|17623635482968148599</stp>
        <tr r="H72" s="3"/>
      </tp>
      <tp t="s">
        <v>#N/A N/A</v>
        <stp/>
        <stp>BDH|16430591592766878883</stp>
        <tr r="C55" s="5"/>
      </tp>
      <tp t="s">
        <v>#N/A N/A</v>
        <stp/>
        <stp>BDH|11659676275282887622</stp>
        <tr r="E36" s="5"/>
      </tp>
      <tp t="s">
        <v>#N/A N/A</v>
        <stp/>
        <stp>BDH|12488688700288698843</stp>
        <tr r="L79" s="4"/>
      </tp>
      <tp t="s">
        <v>#N/A N/A</v>
        <stp/>
        <stp>BDH|14435357722475990446</stp>
        <tr r="K16" s="4"/>
      </tp>
      <tp t="s">
        <v>#N/A N/A</v>
        <stp/>
        <stp>BDH|16275473668906068637</stp>
        <tr r="F38" s="3"/>
      </tp>
      <tp t="s">
        <v>#N/A N/A</v>
        <stp/>
        <stp>BDH|14840538604340277539</stp>
        <tr r="C49" s="4"/>
      </tp>
      <tp t="s">
        <v>#N/A N/A</v>
        <stp/>
        <stp>BDH|18214451297303813262</stp>
        <tr r="C32" s="5"/>
      </tp>
      <tp t="s">
        <v>#N/A N/A</v>
        <stp/>
        <stp>BDH|12232381545347943681</stp>
        <tr r="K57" s="4"/>
      </tp>
      <tp t="s">
        <v>#N/A N/A</v>
        <stp/>
        <stp>BDH|11191238137490325577</stp>
        <tr r="F65" s="3"/>
      </tp>
      <tp t="s">
        <v>#N/A N/A</v>
        <stp/>
        <stp>BDH|12294298625427682098</stp>
        <tr r="I47" s="5"/>
      </tp>
      <tp t="s">
        <v>#N/A N/A</v>
        <stp/>
        <stp>BDH|12145135716100532719</stp>
        <tr r="D96" s="4"/>
      </tp>
      <tp t="s">
        <v>#N/A N/A</v>
        <stp/>
        <stp>BDH|12589673392129172115</stp>
        <tr r="K86" s="4"/>
      </tp>
      <tp t="s">
        <v>#N/A N/A</v>
        <stp/>
        <stp>BDH|16606330681300297869</stp>
        <tr r="F60" s="4"/>
      </tp>
      <tp t="s">
        <v>#N/A N/A</v>
        <stp/>
        <stp>BDH|12544564947066187063</stp>
        <tr r="F39" s="3"/>
      </tp>
      <tp t="s">
        <v>#N/A N/A</v>
        <stp/>
        <stp>BDH|12194952193861486602</stp>
        <tr r="G16" s="3"/>
      </tp>
      <tp t="s">
        <v>#N/A N/A</v>
        <stp/>
        <stp>BDH|10702938374253183827</stp>
        <tr r="D17" s="5"/>
      </tp>
      <tp t="s">
        <v>#N/A N/A</v>
        <stp/>
        <stp>BDH|12512581607883083188</stp>
        <tr r="F71" s="4"/>
      </tp>
      <tp t="s">
        <v>#N/A N/A</v>
        <stp/>
        <stp>BDH|15163923996363123366</stp>
        <tr r="H63" s="3"/>
      </tp>
      <tp t="s">
        <v>#N/A N/A</v>
        <stp/>
        <stp>BDH|17282016634911369060</stp>
        <tr r="J62" s="4"/>
      </tp>
      <tp t="s">
        <v>#N/A N/A</v>
        <stp/>
        <stp>BDH|17131184066844832159</stp>
        <tr r="H63" s="4"/>
      </tp>
      <tp t="s">
        <v>#N/A N/A</v>
        <stp/>
        <stp>BDH|15071755841507185402</stp>
        <tr r="I34" s="4"/>
      </tp>
      <tp t="s">
        <v>#N/A N/A</v>
        <stp/>
        <stp>BDH|12540249242728138966</stp>
        <tr r="J27" s="3"/>
      </tp>
      <tp t="s">
        <v>#N/A N/A</v>
        <stp/>
        <stp>BDH|14087708764955435544</stp>
        <tr r="K50" s="4"/>
      </tp>
      <tp t="s">
        <v>#N/A N/A</v>
        <stp/>
        <stp>BDH|18222032201774089943</stp>
        <tr r="D13" s="5"/>
      </tp>
      <tp t="s">
        <v>#N/A N/A</v>
        <stp/>
        <stp>BDH|14726213331300123027</stp>
        <tr r="I55" s="5"/>
      </tp>
      <tp t="s">
        <v>#N/A N/A</v>
        <stp/>
        <stp>BDH|17584159521398139946</stp>
        <tr r="F8" s="5"/>
      </tp>
      <tp t="s">
        <v>#N/A N/A</v>
        <stp/>
        <stp>BDH|14586428564803137050</stp>
        <tr r="K23" s="4"/>
      </tp>
      <tp t="s">
        <v>#N/A N/A</v>
        <stp/>
        <stp>BDH|11280656404514520613</stp>
        <tr r="H80" s="4"/>
      </tp>
      <tp t="s">
        <v>#N/A N/A</v>
        <stp/>
        <stp>BDH|17839655063105902708</stp>
        <tr r="C48" s="5"/>
      </tp>
      <tp t="s">
        <v>#N/A N/A</v>
        <stp/>
        <stp>BDH|15349553541793717270</stp>
        <tr r="G21" s="4"/>
      </tp>
      <tp t="s">
        <v>#N/A N/A</v>
        <stp/>
        <stp>BDH|15548340434080193026</stp>
        <tr r="K60" s="4"/>
      </tp>
      <tp t="s">
        <v>#N/A N/A</v>
        <stp/>
        <stp>BDH|17224258415259773836</stp>
        <tr r="E69" s="5"/>
      </tp>
      <tp t="s">
        <v>#N/A N/A</v>
        <stp/>
        <stp>BDH|17855626636850824721</stp>
        <tr r="H10" s="3"/>
      </tp>
      <tp t="s">
        <v>#N/A N/A</v>
        <stp/>
        <stp>BDH|16091139107384527672</stp>
        <tr r="F20" s="3"/>
      </tp>
      <tp t="s">
        <v>#N/A N/A</v>
        <stp/>
        <stp>BDH|10796273322855263066</stp>
        <tr r="L80" s="4"/>
      </tp>
      <tp t="s">
        <v>#N/A N/A</v>
        <stp/>
        <stp>BDH|17648750904043348626</stp>
        <tr r="H30" s="5"/>
      </tp>
      <tp t="s">
        <v>#N/A N/A</v>
        <stp/>
        <stp>BDH|11339093831317943041</stp>
        <tr r="D95" s="4"/>
      </tp>
      <tp t="s">
        <v>#N/A N/A</v>
        <stp/>
        <stp>BDH|15533199129521943259</stp>
        <tr r="E41" s="4"/>
      </tp>
      <tp t="s">
        <v>#N/A N/A</v>
        <stp/>
        <stp>BDH|14210268381643817849</stp>
        <tr r="H57" s="5"/>
      </tp>
      <tp t="s">
        <v>#N/A N/A</v>
        <stp/>
        <stp>BDH|17087478196698817716</stp>
        <tr r="D48" s="5"/>
      </tp>
      <tp t="s">
        <v>#N/A N/A</v>
        <stp/>
        <stp>BDH|16767818588785187674</stp>
        <tr r="D41" s="3"/>
      </tp>
      <tp t="s">
        <v>#N/A N/A</v>
        <stp/>
        <stp>BDH|11610814119775705817</stp>
        <tr r="F65" s="4"/>
      </tp>
      <tp t="s">
        <v>#N/A N/A</v>
        <stp/>
        <stp>BDH|10427378749104815690</stp>
        <tr r="I95" s="4"/>
      </tp>
      <tp t="s">
        <v>#N/A N/A</v>
        <stp/>
        <stp>BDH|17701642412403284684</stp>
        <tr r="K36" s="4"/>
      </tp>
      <tp t="s">
        <v>#N/A N/A</v>
        <stp/>
        <stp>BDH|14347270116890140281</stp>
        <tr r="J42" s="3"/>
      </tp>
      <tp t="s">
        <v>#N/A N/A</v>
        <stp/>
        <stp>BDH|13546383721630604717</stp>
        <tr r="H53" s="4"/>
      </tp>
      <tp t="s">
        <v>#N/A N/A</v>
        <stp/>
        <stp>BDH|10865237321912521750</stp>
        <tr r="K41" s="4"/>
      </tp>
      <tp t="s">
        <v>#N/A N/A</v>
        <stp/>
        <stp>BDH|10743463963623149493</stp>
        <tr r="E86" s="4"/>
      </tp>
      <tp t="s">
        <v>#N/A N/A</v>
        <stp/>
        <stp>BDH|16231372166173834517</stp>
        <tr r="I44" s="5"/>
      </tp>
      <tp t="s">
        <v>#N/A N/A</v>
        <stp/>
        <stp>BDH|18365466536483820968</stp>
        <tr r="E76" s="4"/>
      </tp>
      <tp t="s">
        <v>#N/A N/A</v>
        <stp/>
        <stp>BDH|16592129945411958766</stp>
        <tr r="E13" s="3"/>
      </tp>
      <tp t="s">
        <v>#N/A N/A</v>
        <stp/>
        <stp>BDH|10348825290916417294</stp>
        <tr r="C8" s="3"/>
      </tp>
      <tp t="s">
        <v>#N/A N/A</v>
        <stp/>
        <stp>BDH|16102561398869351601</stp>
        <tr r="C87" s="4"/>
      </tp>
      <tp t="s">
        <v>#N/A N/A</v>
        <stp/>
        <stp>BDH|10256157075801783291</stp>
        <tr r="L73" s="4"/>
      </tp>
      <tp t="s">
        <v>#N/A N/A</v>
        <stp/>
        <stp>BDH|10526115611567992230</stp>
        <tr r="I76" s="4"/>
      </tp>
      <tp t="s">
        <v>#N/A N/A</v>
        <stp/>
        <stp>BDH|12375128825705904121</stp>
        <tr r="L57" s="4"/>
      </tp>
      <tp t="s">
        <v>#N/A N/A</v>
        <stp/>
        <stp>BDH|12992038410613224577</stp>
        <tr r="K8" s="4"/>
      </tp>
      <tp t="s">
        <v>#N/A N/A</v>
        <stp/>
        <stp>BDH|14793488360143534056</stp>
        <tr r="F20" s="4"/>
      </tp>
      <tp t="s">
        <v>#N/A N/A</v>
        <stp/>
        <stp>BDH|11213491731553793030</stp>
        <tr r="L66" s="5"/>
      </tp>
      <tp t="s">
        <v>#N/A N/A</v>
        <stp/>
        <stp>BDH|14011468348705797475</stp>
        <tr r="G48" s="3"/>
      </tp>
    </main>
    <main first="bofaddin.rtdserver">
      <tp t="s">
        <v>#N/A N/A</v>
        <stp/>
        <stp>BDH|2012932727094258</stp>
        <tr r="J94" s="4"/>
      </tp>
      <tp t="s">
        <v>#N/A N/A</v>
        <stp/>
        <stp>BDH|2447884252364445706</stp>
        <tr r="I85" s="4"/>
      </tp>
      <tp t="s">
        <v>#N/A N/A</v>
        <stp/>
        <stp>BDH|1968623350028749665</stp>
        <tr r="D37" s="3"/>
      </tp>
      <tp t="s">
        <v>#N/A N/A</v>
        <stp/>
        <stp>BDH|4323220186060514299</stp>
        <tr r="F78" s="4"/>
      </tp>
      <tp t="s">
        <v>#N/A N/A</v>
        <stp/>
        <stp>BDH|5972022886389424828</stp>
        <tr r="E50" s="4"/>
      </tp>
      <tp t="s">
        <v>#N/A N/A</v>
        <stp/>
        <stp>BDH|6906936104407494415</stp>
        <tr r="L76" s="4"/>
      </tp>
      <tp t="s">
        <v>#N/A N/A</v>
        <stp/>
        <stp>BDH|5493354699617793470</stp>
        <tr r="G20" s="4"/>
      </tp>
      <tp t="s">
        <v>#N/A N/A</v>
        <stp/>
        <stp>BDH|8631597741885608008</stp>
        <tr r="G37" s="3"/>
      </tp>
      <tp t="s">
        <v>#N/A N/A</v>
        <stp/>
        <stp>BDH|6833761843761577805</stp>
        <tr r="L68" s="5"/>
      </tp>
      <tp t="s">
        <v>#N/A N/A</v>
        <stp/>
        <stp>BDH|2476975048453298014</stp>
        <tr r="G64" s="5"/>
        <tr r="E25" s="2"/>
      </tp>
      <tp t="s">
        <v>#N/A N/A</v>
        <stp/>
        <stp>BDH|1736695479045721996</stp>
        <tr r="H54" s="3"/>
      </tp>
      <tp t="s">
        <v>#N/A N/A</v>
        <stp/>
        <stp>BDH|6926198210929960373</stp>
        <tr r="L54" s="4"/>
      </tp>
      <tp t="s">
        <v>#N/A N/A</v>
        <stp/>
        <stp>BDH|8554151450222916278</stp>
        <tr r="C76" s="4"/>
      </tp>
      <tp t="s">
        <v>#N/A N/A</v>
        <stp/>
        <stp>BDH|3326920710810837769</stp>
        <tr r="I16" s="4"/>
      </tp>
      <tp t="s">
        <v>#N/A N/A</v>
        <stp/>
        <stp>BDH|2144996037184668066</stp>
        <tr r="F70" s="3"/>
      </tp>
      <tp t="s">
        <v>#N/A N/A</v>
        <stp/>
        <stp>BDH|8103047164970747299</stp>
        <tr r="F44" s="5"/>
      </tp>
      <tp t="s">
        <v>#N/A N/A</v>
        <stp/>
        <stp>BDH|8178542617606504680</stp>
        <tr r="H10" s="5"/>
      </tp>
      <tp t="s">
        <v>#N/A N/A</v>
        <stp/>
        <stp>BDH|2771767389205166461</stp>
        <tr r="E43" s="5"/>
      </tp>
      <tp t="s">
        <v>#N/A N/A</v>
        <stp/>
        <stp>BDH|3171193824909437575</stp>
        <tr r="L33" s="4"/>
      </tp>
      <tp t="s">
        <v>#N/A N/A</v>
        <stp/>
        <stp>BDH|8580137836327917162</stp>
        <tr r="I29" s="4"/>
      </tp>
      <tp t="s">
        <v>#N/A N/A</v>
        <stp/>
        <stp>BDH|3339323748931066960</stp>
        <tr r="J17" s="4"/>
      </tp>
      <tp t="s">
        <v>#N/A N/A</v>
        <stp/>
        <stp>BDH|8260356325111716495</stp>
        <tr r="I70" s="4"/>
      </tp>
      <tp t="s">
        <v>#N/A N/A</v>
        <stp/>
        <stp>BDH|5248752838999214418</stp>
        <tr r="D45" s="5"/>
      </tp>
      <tp t="s">
        <v>#N/A N/A</v>
        <stp/>
        <stp>BDH|5349692111147750914</stp>
        <tr r="L48" s="5"/>
      </tp>
      <tp t="s">
        <v>#N/A N/A</v>
        <stp/>
        <stp>BDH|2852951755681312369</stp>
        <tr r="C13" s="5"/>
      </tp>
      <tp t="s">
        <v>#N/A N/A</v>
        <stp/>
        <stp>BDH|7332232623682168900</stp>
        <tr r="D54" s="4"/>
      </tp>
      <tp t="s">
        <v>#N/A N/A</v>
        <stp/>
        <stp>BDH|8380070957151504048</stp>
        <tr r="C88" s="4"/>
      </tp>
      <tp t="s">
        <v>#N/A N/A</v>
        <stp/>
        <stp>BDH|9149702265346359257</stp>
        <tr r="K53" s="5"/>
      </tp>
      <tp t="s">
        <v>#N/A N/A</v>
        <stp/>
        <stp>BDH|6287107520758103113</stp>
        <tr r="K35" s="4"/>
      </tp>
      <tp t="s">
        <v>#N/A N/A</v>
        <stp/>
        <stp>BDH|4447508586777061200</stp>
        <tr r="F14" s="3"/>
      </tp>
      <tp t="s">
        <v>#N/A N/A</v>
        <stp/>
        <stp>BDH|4786955967086640116</stp>
        <tr r="K16" s="5"/>
      </tp>
      <tp t="s">
        <v>#N/A N/A</v>
        <stp/>
        <stp>BDH|4396460980796278257</stp>
        <tr r="G69" s="4"/>
      </tp>
      <tp t="s">
        <v>#N/A N/A</v>
        <stp/>
        <stp>BDH|9534397243134852643</stp>
        <tr r="E87" s="4"/>
      </tp>
      <tp t="s">
        <v>#N/A N/A</v>
        <stp/>
        <stp>BDH|8664109906205105028</stp>
        <tr r="F44" s="3"/>
        <tr r="F18" s="2"/>
      </tp>
      <tp t="s">
        <v>#N/A N/A</v>
        <stp/>
        <stp>BDH|3256015193505778345</stp>
        <tr r="I8" s="2"/>
      </tp>
      <tp t="s">
        <v>#N/A N/A</v>
        <stp/>
        <stp>BDH|2472803376311864098</stp>
        <tr r="J61" s="4"/>
      </tp>
      <tp t="s">
        <v>#N/A N/A</v>
        <stp/>
        <stp>BDH|3501962374796483739</stp>
        <tr r="I56" s="3"/>
        <tr r="I20" s="2"/>
      </tp>
      <tp t="s">
        <v>#N/A N/A</v>
        <stp/>
        <stp>BDH|9670080369755107667</stp>
        <tr r="D60" s="3"/>
        <tr r="D16" s="2"/>
      </tp>
      <tp t="s">
        <v>#N/A N/A</v>
        <stp/>
        <stp>BDH|8245240663548391863</stp>
        <tr r="I45" s="4"/>
      </tp>
      <tp t="s">
        <v>#N/A N/A</v>
        <stp/>
        <stp>BDH|1860377167798101087</stp>
        <tr r="J32" s="4"/>
      </tp>
      <tp t="s">
        <v>#N/A N/A</v>
        <stp/>
        <stp>BDH|7757343205509166160</stp>
        <tr r="K27" s="5"/>
      </tp>
      <tp t="s">
        <v>#N/A N/A</v>
        <stp/>
        <stp>BDH|9664277235095341168</stp>
        <tr r="H13" s="5"/>
      </tp>
      <tp t="s">
        <v>#N/A N/A</v>
        <stp/>
        <stp>BDH|5720137081028598812</stp>
        <tr r="I24" s="2"/>
      </tp>
      <tp t="s">
        <v>#N/A N/A</v>
        <stp/>
        <stp>BDH|7484244545724626959</stp>
        <tr r="G37" s="4"/>
      </tp>
      <tp t="s">
        <v>#N/A N/A</v>
        <stp/>
        <stp>BDH|7401838933397667749</stp>
        <tr r="I10" s="4"/>
      </tp>
      <tp t="s">
        <v>#N/A N/A</v>
        <stp/>
        <stp>BDH|3105169511487694863</stp>
        <tr r="I16" s="3"/>
      </tp>
      <tp t="s">
        <v>#N/A N/A</v>
        <stp/>
        <stp>BDH|5134858017213569307</stp>
        <tr r="J12" s="3"/>
      </tp>
      <tp t="s">
        <v>#N/A N/A</v>
        <stp/>
        <stp>BDH|8414207193868228730</stp>
        <tr r="J45" s="5"/>
      </tp>
      <tp t="s">
        <v>#N/A N/A</v>
        <stp/>
        <stp>BDH|4702216554668681730</stp>
        <tr r="E34" s="4"/>
      </tp>
      <tp t="s">
        <v>#N/A N/A</v>
        <stp/>
        <stp>BDH|7837912089719333349</stp>
        <tr r="L23" s="5"/>
      </tp>
      <tp t="s">
        <v>#N/A N/A</v>
        <stp/>
        <stp>BDH|8526475002331740125</stp>
        <tr r="I12" s="3"/>
      </tp>
      <tp t="s">
        <v>#N/A N/A</v>
        <stp/>
        <stp>BDH|2832298875422297930</stp>
        <tr r="L61" s="4"/>
      </tp>
      <tp t="s">
        <v>#N/A N/A</v>
        <stp/>
        <stp>BDH|8130631705842583079</stp>
        <tr r="E32" s="4"/>
      </tp>
      <tp t="s">
        <v>#N/A N/A</v>
        <stp/>
        <stp>BDH|6846880895219891285</stp>
        <tr r="E11" s="4"/>
      </tp>
      <tp t="s">
        <v>#N/A N/A</v>
        <stp/>
        <stp>BDH|21906091584225539</stp>
        <tr r="I36" s="5"/>
      </tp>
      <tp t="s">
        <v>#N/A N/A</v>
        <stp/>
        <stp>BDH|92479150135089587</stp>
        <tr r="F66" s="4"/>
      </tp>
      <tp t="s">
        <v>#N/A N/A</v>
        <stp/>
        <stp>BDH|9600798502860728300</stp>
        <tr r="H43" s="4"/>
      </tp>
      <tp t="s">
        <v>#N/A N/A</v>
        <stp/>
        <stp>BDH|9339168106771957400</stp>
        <tr r="G22" s="3"/>
      </tp>
      <tp t="s">
        <v>#N/A N/A</v>
        <stp/>
        <stp>BDH|1637350920314803918</stp>
        <tr r="C68" s="4"/>
      </tp>
      <tp t="s">
        <v>#N/A N/A</v>
        <stp/>
        <stp>BDH|9765860925887837961</stp>
        <tr r="L34" s="4"/>
      </tp>
      <tp t="s">
        <v>#N/A N/A</v>
        <stp/>
        <stp>BDH|7861419394195737202</stp>
        <tr r="E30" s="3"/>
      </tp>
      <tp t="s">
        <v>#N/A N/A</v>
        <stp/>
        <stp>BDH|9486393742660756339</stp>
        <tr r="K64" s="4"/>
      </tp>
      <tp t="s">
        <v>#N/A N/A</v>
        <stp/>
        <stp>BDH|8211716721286822611</stp>
        <tr r="D12" s="3"/>
      </tp>
      <tp t="s">
        <v>#N/A N/A</v>
        <stp/>
        <stp>BDH|6854599148999532370</stp>
        <tr r="I93" s="4"/>
      </tp>
      <tp t="s">
        <v>#N/A N/A</v>
        <stp/>
        <stp>BDH|4826618793560970680</stp>
        <tr r="E56" s="3"/>
        <tr r="E20" s="2"/>
      </tp>
      <tp t="s">
        <v>#N/A N/A</v>
        <stp/>
        <stp>BDH|8903243142046118558</stp>
        <tr r="C9" s="5"/>
      </tp>
      <tp t="s">
        <v>#N/A N/A</v>
        <stp/>
        <stp>BDH|4482692502687695811</stp>
        <tr r="C17" s="5"/>
      </tp>
      <tp t="s">
        <v>#N/A N/A</v>
        <stp/>
        <stp>BDH|8345431125991925244</stp>
        <tr r="I35" s="3"/>
      </tp>
      <tp t="s">
        <v>#N/A N/A</v>
        <stp/>
        <stp>BDH|6863563492963727431</stp>
        <tr r="J13" s="3"/>
      </tp>
      <tp t="s">
        <v>#N/A N/A</v>
        <stp/>
        <stp>BDH|8268117536423537493</stp>
        <tr r="D38" s="3"/>
      </tp>
      <tp t="s">
        <v>#N/A N/A</v>
        <stp/>
        <stp>BDH|8975314230335334027</stp>
        <tr r="J20" s="3"/>
      </tp>
      <tp t="s">
        <v>#N/A N/A</v>
        <stp/>
        <stp>BDH|6247745738719788607</stp>
        <tr r="J35" s="4"/>
      </tp>
      <tp t="s">
        <v>#N/A N/A</v>
        <stp/>
        <stp>BDH|9370650897593907863</stp>
        <tr r="H36" s="3"/>
      </tp>
      <tp t="s">
        <v>#N/A N/A</v>
        <stp/>
        <stp>BDH|3716850338493644623</stp>
        <tr r="K48" s="5"/>
      </tp>
      <tp t="s">
        <v>#N/A N/A</v>
        <stp/>
        <stp>BDH|4663969068097082162</stp>
        <tr r="D36" s="3"/>
      </tp>
      <tp t="s">
        <v>#N/A N/A</v>
        <stp/>
        <stp>BDH|2953855450721139332</stp>
        <tr r="G91" s="4"/>
      </tp>
      <tp t="s">
        <v>#N/A N/A</v>
        <stp/>
        <stp>BDH|1825206775430094930</stp>
        <tr r="D20" s="4"/>
      </tp>
      <tp t="s">
        <v>#N/A N/A</v>
        <stp/>
        <stp>BDH|7768885173685469069</stp>
        <tr r="H27" s="4"/>
      </tp>
      <tp t="s">
        <v>#N/A N/A</v>
        <stp/>
        <stp>BDH|6539011859007639940</stp>
        <tr r="G49" s="4"/>
      </tp>
      <tp t="s">
        <v>#N/A N/A</v>
        <stp/>
        <stp>BDH|9322977808578421571</stp>
        <tr r="J28" s="4"/>
      </tp>
      <tp t="s">
        <v>#N/A N/A</v>
        <stp/>
        <stp>BDH|2916121358688566394</stp>
        <tr r="K47" s="4"/>
      </tp>
      <tp t="s">
        <v>#N/A N/A</v>
        <stp/>
        <stp>BDH|2861557188520917204</stp>
        <tr r="D10" s="4"/>
      </tp>
      <tp t="s">
        <v>#N/A N/A</v>
        <stp/>
        <stp>BDH|8987341212832384509</stp>
        <tr r="C74" s="4"/>
      </tp>
      <tp t="s">
        <v>#N/A N/A</v>
        <stp/>
        <stp>BDH|3723735615898950043</stp>
        <tr r="C22" s="5"/>
      </tp>
      <tp t="s">
        <v>#N/A N/A</v>
        <stp/>
        <stp>BDH|3586606209531273927</stp>
        <tr r="I34" s="5"/>
      </tp>
      <tp t="s">
        <v>#N/A N/A</v>
        <stp/>
        <stp>BDH|8228075798289876599</stp>
        <tr r="E58" s="5"/>
      </tp>
      <tp t="s">
        <v>#N/A N/A</v>
        <stp/>
        <stp>BDH|4943486701995529893</stp>
        <tr r="E16" s="4"/>
      </tp>
      <tp t="s">
        <v>#N/A N/A</v>
        <stp/>
        <stp>BDH|3035138682965477298</stp>
        <tr r="H51" s="4"/>
      </tp>
      <tp t="s">
        <v>#N/A N/A</v>
        <stp/>
        <stp>BDH|4338807507938152995</stp>
        <tr r="H29" s="4"/>
      </tp>
      <tp t="s">
        <v>#N/A N/A</v>
        <stp/>
        <stp>BDH|3906037800497593929</stp>
        <tr r="C92" s="4"/>
      </tp>
      <tp t="s">
        <v>#N/A N/A</v>
        <stp/>
        <stp>BDH|2682634588940877186</stp>
        <tr r="C35" s="4"/>
      </tp>
      <tp t="s">
        <v>#N/A N/A</v>
        <stp/>
        <stp>BDH|1970017706029598563</stp>
        <tr r="L42" s="5"/>
      </tp>
      <tp t="s">
        <v>#N/A N/A</v>
        <stp/>
        <stp>BDH|5007987339450468274</stp>
        <tr r="D14" s="5"/>
      </tp>
      <tp t="s">
        <v>#N/A N/A</v>
        <stp/>
        <stp>BDH|6059627070743921997</stp>
        <tr r="D54" s="3"/>
      </tp>
      <tp t="s">
        <v>#N/A N/A</v>
        <stp/>
        <stp>BDH|5752558166132106970</stp>
        <tr r="J47" s="5"/>
      </tp>
      <tp t="s">
        <v>#N/A N/A</v>
        <stp/>
        <stp>BDH|8013477542822285745</stp>
        <tr r="G43" s="4"/>
      </tp>
      <tp t="s">
        <v>#N/A N/A</v>
        <stp/>
        <stp>BDH|3074054277679752067</stp>
        <tr r="D28" s="4"/>
      </tp>
      <tp t="s">
        <v>#N/A N/A</v>
        <stp/>
        <stp>BDH|6695866400214268715</stp>
        <tr r="E89" s="4"/>
      </tp>
      <tp t="s">
        <v>#N/A N/A</v>
        <stp/>
        <stp>BDH|4785014235699286315</stp>
        <tr r="H96" s="4"/>
      </tp>
      <tp t="s">
        <v>#N/A N/A</v>
        <stp/>
        <stp>BDH|9784567009766095787</stp>
        <tr r="I86" s="4"/>
      </tp>
      <tp t="s">
        <v>#N/A N/A</v>
        <stp/>
        <stp>BDH|9399672028299457985</stp>
        <tr r="E63" s="4"/>
      </tp>
      <tp t="s">
        <v>#N/A N/A</v>
        <stp/>
        <stp>BDH|5864838453555067085</stp>
        <tr r="J8" s="4"/>
      </tp>
      <tp t="s">
        <v>#N/A N/A</v>
        <stp/>
        <stp>BDH|2652416648576631981</stp>
        <tr r="F53" s="4"/>
      </tp>
      <tp t="s">
        <v>#N/A N/A</v>
        <stp/>
        <stp>BDH|5795504471893533928</stp>
        <tr r="E30" s="5"/>
      </tp>
      <tp t="s">
        <v>#N/A N/A</v>
        <stp/>
        <stp>BDH|3565062516038418779</stp>
        <tr r="C48" s="3"/>
      </tp>
      <tp t="s">
        <v>#N/A N/A</v>
        <stp/>
        <stp>BDH|6789124526099114142</stp>
        <tr r="F34" s="5"/>
      </tp>
      <tp t="s">
        <v>#N/A N/A</v>
        <stp/>
        <stp>BDH|7519802374894107179</stp>
        <tr r="H7" s="5"/>
      </tp>
      <tp t="s">
        <v>#N/A N/A</v>
        <stp/>
        <stp>BDH|2026613733469242375</stp>
        <tr r="H14" s="4"/>
      </tp>
      <tp t="s">
        <v>#N/A N/A</v>
        <stp/>
        <stp>BDH|4164346592991588256</stp>
        <tr r="I10" s="3"/>
      </tp>
      <tp t="s">
        <v>#N/A N/A</v>
        <stp/>
        <stp>BDH|1536883218820776559</stp>
        <tr r="G8" s="2"/>
      </tp>
      <tp t="s">
        <v>#N/A N/A</v>
        <stp/>
        <stp>BDH|9559171456025794579</stp>
        <tr r="J62" s="5"/>
      </tp>
      <tp t="s">
        <v>#N/A N/A</v>
        <stp/>
        <stp>BDH|2647281189623353600</stp>
        <tr r="I31" s="3"/>
      </tp>
      <tp t="s">
        <v>#N/A N/A</v>
        <stp/>
        <stp>BDH|1163151621759497652</stp>
        <tr r="E69" s="4"/>
      </tp>
      <tp t="s">
        <v>#N/A N/A</v>
        <stp/>
        <stp>BDH|9615157587929809499</stp>
        <tr r="E81" s="4"/>
      </tp>
      <tp t="s">
        <v>#N/A N/A</v>
        <stp/>
        <stp>BDH|7792476021057853829</stp>
        <tr r="K44" s="5"/>
      </tp>
      <tp t="s">
        <v>#N/A N/A</v>
        <stp/>
        <stp>BDH|2214770088045043663</stp>
        <tr r="G32" s="3"/>
      </tp>
      <tp t="s">
        <v>#N/A N/A</v>
        <stp/>
        <stp>BDH|3875671833190457803</stp>
        <tr r="H22" s="3"/>
      </tp>
      <tp t="s">
        <v>#N/A N/A</v>
        <stp/>
        <stp>BDH|9243287200736351318</stp>
        <tr r="G47" s="4"/>
      </tp>
      <tp t="s">
        <v>#N/A N/A</v>
        <stp/>
        <stp>BDH|8193183967629074862</stp>
        <tr r="K32" s="4"/>
      </tp>
      <tp t="s">
        <v>#N/A N/A</v>
        <stp/>
        <stp>BDH|3799834190798460484</stp>
        <tr r="J6" s="2"/>
      </tp>
      <tp t="s">
        <v>#N/A N/A</v>
        <stp/>
        <stp>BDH|5642095280000713308</stp>
        <tr r="H75" s="4"/>
      </tp>
      <tp t="s">
        <v>#N/A N/A</v>
        <stp/>
        <stp>BDH|9563310444613989312</stp>
        <tr r="I61" s="5"/>
      </tp>
      <tp t="s">
        <v>#N/A N/A</v>
        <stp/>
        <stp>BDH|2088608574924825944</stp>
        <tr r="G10" s="5"/>
      </tp>
      <tp t="s">
        <v>#N/A N/A</v>
        <stp/>
        <stp>BDH|2897132545180555931</stp>
        <tr r="K64" s="5"/>
        <tr r="I25" s="2"/>
      </tp>
      <tp t="s">
        <v>#N/A N/A</v>
        <stp/>
        <stp>BDH|9148887767670562922</stp>
        <tr r="C68" s="5"/>
      </tp>
      <tp t="s">
        <v>#N/A N/A</v>
        <stp/>
        <stp>BDH|5864535510346458967</stp>
        <tr r="L18" s="4"/>
      </tp>
      <tp t="s">
        <v>#N/A N/A</v>
        <stp/>
        <stp>BDH|9979334207810040446</stp>
        <tr r="F60" s="3"/>
        <tr r="F16" s="2"/>
      </tp>
      <tp t="s">
        <v>#N/A N/A</v>
        <stp/>
        <stp>BDH|9853522765796603271</stp>
        <tr r="C21" s="4"/>
      </tp>
      <tp t="s">
        <v>#N/A N/A</v>
        <stp/>
        <stp>BDH|8443383454488315853</stp>
        <tr r="D65" s="3"/>
      </tp>
      <tp t="s">
        <v>#N/A N/A</v>
        <stp/>
        <stp>BDH|5154067498894234636</stp>
        <tr r="C42" s="4"/>
      </tp>
      <tp t="s">
        <v>#N/A N/A</v>
        <stp/>
        <stp>BDH|4719682371832623967</stp>
        <tr r="E15" s="5"/>
      </tp>
      <tp t="s">
        <v>#N/A N/A</v>
        <stp/>
        <stp>BDH|8530714001197849620</stp>
        <tr r="G21" s="3"/>
      </tp>
      <tp t="s">
        <v>#N/A N/A</v>
        <stp/>
        <stp>BDH|9867954990441003624</stp>
        <tr r="L69" s="5"/>
      </tp>
      <tp t="s">
        <v>#N/A N/A</v>
        <stp/>
        <stp>BDH|5575411683096841108</stp>
        <tr r="F31" s="3"/>
      </tp>
      <tp t="s">
        <v>#N/A N/A</v>
        <stp/>
        <stp>BDH|8454269455130882134</stp>
        <tr r="G6" s="2"/>
      </tp>
      <tp t="s">
        <v>#N/A N/A</v>
        <stp/>
        <stp>BDH|3476997476167457432</stp>
        <tr r="G44" s="4"/>
      </tp>
      <tp t="s">
        <v>#N/A N/A</v>
        <stp/>
        <stp>BDH|1661233558019592143</stp>
        <tr r="C61" s="4"/>
      </tp>
      <tp t="s">
        <v>#N/A N/A</v>
        <stp/>
        <stp>BDH|1742593994301576220</stp>
        <tr r="K29" s="5"/>
      </tp>
      <tp t="s">
        <v>#N/A N/A</v>
        <stp/>
        <stp>BDH|2217458449598296411</stp>
        <tr r="K49" s="5"/>
      </tp>
      <tp t="s">
        <v>#N/A N/A</v>
        <stp/>
        <stp>BDH|9620977262808915077</stp>
        <tr r="E29" s="5"/>
      </tp>
      <tp t="s">
        <v>#N/A N/A</v>
        <stp/>
        <stp>BDH|7507923214234689582</stp>
        <tr r="F19" s="4"/>
      </tp>
      <tp t="s">
        <v>#N/A N/A</v>
        <stp/>
        <stp>BDH|9666809388337795049</stp>
        <tr r="I63" s="4"/>
      </tp>
      <tp t="s">
        <v>#N/A N/A</v>
        <stp/>
        <stp>BDH|3324884548060963186</stp>
        <tr r="C90" s="4"/>
      </tp>
      <tp t="s">
        <v>#N/A N/A</v>
        <stp/>
        <stp>BDH|5747635636639997795</stp>
        <tr r="I21" s="3"/>
      </tp>
      <tp t="s">
        <v>#N/A N/A</v>
        <stp/>
        <stp>BDH|2336821116834698123</stp>
        <tr r="J61" s="3"/>
      </tp>
      <tp t="s">
        <v>#N/A N/A</v>
        <stp/>
        <stp>BDH|9644458360872901796</stp>
        <tr r="F32" s="5"/>
      </tp>
      <tp t="s">
        <v>#N/A N/A</v>
        <stp/>
        <stp>BDH|4889888531062738354</stp>
        <tr r="H73" s="4"/>
      </tp>
      <tp t="s">
        <v>#N/A N/A</v>
        <stp/>
        <stp>BDH|3506434514768155008</stp>
        <tr r="E17" s="4"/>
      </tp>
      <tp t="s">
        <v>#N/A N/A</v>
        <stp/>
        <stp>BDH|4449520791750471634</stp>
        <tr r="G77" s="4"/>
      </tp>
      <tp t="s">
        <v>#N/A N/A</v>
        <stp/>
        <stp>BDH|2371265293194008364</stp>
        <tr r="F42" s="3"/>
      </tp>
      <tp t="s">
        <v>#N/A N/A</v>
        <stp/>
        <stp>BDH|3497813048425943442</stp>
        <tr r="H45" s="5"/>
      </tp>
      <tp t="s">
        <v>#N/A N/A</v>
        <stp/>
        <stp>BDH|2986209914039835658</stp>
        <tr r="K24" s="4"/>
      </tp>
      <tp t="s">
        <v>#N/A N/A</v>
        <stp/>
        <stp>BDH|4104495704898540696</stp>
        <tr r="J7" s="5"/>
      </tp>
      <tp t="s">
        <v>#N/A N/A</v>
        <stp/>
        <stp>BDH|9014809732758156420</stp>
        <tr r="H49" s="5"/>
      </tp>
      <tp t="s">
        <v>#N/A N/A</v>
        <stp/>
        <stp>BDH|7465305544749301756</stp>
        <tr r="E28" s="4"/>
      </tp>
      <tp t="s">
        <v>#N/A N/A</v>
        <stp/>
        <stp>BDH|2403331605697360874</stp>
        <tr r="E58" s="4"/>
      </tp>
      <tp t="s">
        <v>#N/A N/A</v>
        <stp/>
        <stp>BDH|9126604150087522321</stp>
        <tr r="L15" s="5"/>
      </tp>
      <tp t="s">
        <v>#N/A N/A</v>
        <stp/>
        <stp>BDH|4247108121261792823</stp>
        <tr r="I22" s="4"/>
      </tp>
      <tp t="s">
        <v>#N/A N/A</v>
        <stp/>
        <stp>BDH|7942888176463067511</stp>
        <tr r="I7" s="5"/>
      </tp>
      <tp t="s">
        <v>#N/A N/A</v>
        <stp/>
        <stp>BDH|5124343700500476867</stp>
        <tr r="C35" s="3"/>
      </tp>
      <tp t="s">
        <v>#N/A N/A</v>
        <stp/>
        <stp>BDH|8462952812958305676</stp>
        <tr r="F22" s="4"/>
      </tp>
      <tp t="s">
        <v>#N/A N/A</v>
        <stp/>
        <stp>BDH|7311808035573311123</stp>
        <tr r="G24" s="4"/>
      </tp>
      <tp t="s">
        <v>#N/A N/A</v>
        <stp/>
        <stp>BDH|6782160495036392632</stp>
        <tr r="J88" s="4"/>
      </tp>
      <tp t="s">
        <v>#N/A N/A</v>
        <stp/>
        <stp>BDH|3766202931888305419</stp>
        <tr r="L37" s="4"/>
      </tp>
      <tp t="s">
        <v>#N/A N/A</v>
        <stp/>
        <stp>BDH|2622782740239349693</stp>
        <tr r="D37" s="4"/>
      </tp>
      <tp t="s">
        <v>#N/A N/A</v>
        <stp/>
        <stp>BDH|1732358331367140863</stp>
        <tr r="K61" s="4"/>
      </tp>
      <tp t="s">
        <v>#N/A N/A</v>
        <stp/>
        <stp>BDH|1693629171426689872</stp>
        <tr r="C72" s="4"/>
      </tp>
      <tp t="s">
        <v>#N/A N/A</v>
        <stp/>
        <stp>BDH|2379300788585766292</stp>
        <tr r="F96" s="4"/>
      </tp>
      <tp t="s">
        <v>#N/A N/A</v>
        <stp/>
        <stp>BDH|4693516094261112774</stp>
        <tr r="H67" s="3"/>
      </tp>
      <tp t="s">
        <v>#N/A N/A</v>
        <stp/>
        <stp>BDH|6958928474716957034</stp>
        <tr r="C61" s="5"/>
      </tp>
      <tp t="s">
        <v>#N/A N/A</v>
        <stp/>
        <stp>BDH|99502902784847227</stp>
        <tr r="D55" s="3"/>
      </tp>
      <tp t="s">
        <v>#N/A N/A</v>
        <stp/>
        <stp>BDH|46586832240060527</stp>
        <tr r="G36" s="5"/>
      </tp>
      <tp t="s">
        <v>#N/A N/A</v>
        <stp/>
        <stp>BDH|5740667488700210410</stp>
        <tr r="C45" s="4"/>
      </tp>
      <tp t="s">
        <v>#N/A N/A</v>
        <stp/>
        <stp>BDH|6861242019413958963</stp>
        <tr r="J8" s="5"/>
      </tp>
      <tp t="s">
        <v>#N/A N/A</v>
        <stp/>
        <stp>BDH|4498490745322634941</stp>
        <tr r="J49" s="4"/>
      </tp>
      <tp t="s">
        <v>#N/A N/A</v>
        <stp/>
        <stp>BDH|9806218715344663107</stp>
        <tr r="C57" s="5"/>
      </tp>
      <tp t="s">
        <v>#N/A N/A</v>
        <stp/>
        <stp>BDH|7788630255428845332</stp>
        <tr r="E77" s="4"/>
      </tp>
      <tp t="s">
        <v>#N/A N/A</v>
        <stp/>
        <stp>BDH|5945053770158183572</stp>
        <tr r="F10" s="2"/>
      </tp>
      <tp t="s">
        <v>#N/A N/A</v>
        <stp/>
        <stp>BDH|9080463259076150142</stp>
        <tr r="F51" s="5"/>
      </tp>
      <tp t="s">
        <v>#N/A N/A</v>
        <stp/>
        <stp>BDH|8459155868433232319</stp>
        <tr r="G47" s="5"/>
      </tp>
      <tp t="s">
        <v>#N/A N/A</v>
        <stp/>
        <stp>BDH|8486988397180592746</stp>
        <tr r="G11" s="3"/>
        <tr r="G14" s="2"/>
      </tp>
      <tp t="s">
        <v>#N/A N/A</v>
        <stp/>
        <stp>BDH|8445689307322011302</stp>
        <tr r="H61" s="5"/>
      </tp>
      <tp t="s">
        <v>#N/A N/A</v>
        <stp/>
        <stp>BDH|8445587717705180610</stp>
        <tr r="C11" s="3"/>
        <tr r="C14" s="2"/>
      </tp>
      <tp t="s">
        <v>#N/A N/A</v>
        <stp/>
        <stp>BDH|1451894161475527528</stp>
        <tr r="F8" s="2"/>
      </tp>
      <tp t="s">
        <v>#N/A N/A</v>
        <stp/>
        <stp>BDH|9378720226072900163</stp>
        <tr r="H32" s="4"/>
      </tp>
      <tp t="s">
        <v>#N/A N/A</v>
        <stp/>
        <stp>BDH|5026591005206466900</stp>
        <tr r="J30" s="3"/>
      </tp>
      <tp t="s">
        <v>#N/A N/A</v>
        <stp/>
        <stp>BDH|7986732383061161605</stp>
        <tr r="G15" s="3"/>
      </tp>
      <tp t="s">
        <v>#N/A N/A</v>
        <stp/>
        <stp>BDH|5340903139249289907</stp>
        <tr r="J37" s="3"/>
      </tp>
      <tp t="s">
        <v>#N/A N/A</v>
        <stp/>
        <stp>BDH|5661349734683800963</stp>
        <tr r="G59" s="4"/>
      </tp>
      <tp t="s">
        <v>#N/A N/A</v>
        <stp/>
        <stp>BDH|1645993179863935370</stp>
        <tr r="F22" s="5"/>
      </tp>
      <tp t="s">
        <v>#N/A N/A</v>
        <stp/>
        <stp>BDH|1518959838565730168</stp>
        <tr r="I49" s="3"/>
      </tp>
      <tp t="s">
        <v>#N/A N/A</v>
        <stp/>
        <stp>BDH|9841859897987199022</stp>
        <tr r="D9" s="4"/>
      </tp>
      <tp t="s">
        <v>#N/A N/A</v>
        <stp/>
        <stp>BDH|3929671332141340816</stp>
        <tr r="C15" s="3"/>
      </tp>
      <tp t="s">
        <v>#N/A N/A</v>
        <stp/>
        <stp>BDH|2916305914618444774</stp>
        <tr r="I24" s="4"/>
      </tp>
      <tp t="s">
        <v>#N/A N/A</v>
        <stp/>
        <stp>BDH|4452831334422525286</stp>
        <tr r="I7" s="2"/>
      </tp>
      <tp t="s">
        <v>#N/A N/A</v>
        <stp/>
        <stp>BDH|2005758529228240008</stp>
        <tr r="K41" s="5"/>
      </tp>
      <tp t="s">
        <v>#N/A N/A</v>
        <stp/>
        <stp>BDH|4233976367193491786</stp>
        <tr r="I56" s="4"/>
      </tp>
      <tp t="s">
        <v>#N/A N/A</v>
        <stp/>
        <stp>BDH|1002124615688969620</stp>
        <tr r="J80" s="4"/>
      </tp>
      <tp t="s">
        <v>#N/A N/A</v>
        <stp/>
        <stp>BDH|9843664796049146050</stp>
        <tr r="K15" s="4"/>
      </tp>
      <tp t="s">
        <v>#N/A N/A</v>
        <stp/>
        <stp>BDH|6593497426318598739</stp>
        <tr r="D12" s="4"/>
      </tp>
      <tp t="s">
        <v>#N/A N/A</v>
        <stp/>
        <stp>BDH|6052236354178920630</stp>
        <tr r="C28" s="4"/>
      </tp>
      <tp t="s">
        <v>#N/A N/A</v>
        <stp/>
        <stp>BDH|9897817455619820299</stp>
        <tr r="H25" s="4"/>
      </tp>
      <tp t="s">
        <v>#N/A N/A</v>
        <stp/>
        <stp>BDH|1354675238422140902</stp>
        <tr r="D26" s="4"/>
      </tp>
      <tp t="s">
        <v>#N/A N/A</v>
        <stp/>
        <stp>BDH|1501678074037955828</stp>
        <tr r="E7" s="3"/>
      </tp>
      <tp t="s">
        <v>#N/A N/A</v>
        <stp/>
        <stp>BDH|9587959792535956390</stp>
        <tr r="I45" s="5"/>
      </tp>
      <tp t="s">
        <v>#N/A N/A</v>
        <stp/>
        <stp>BDH|8822665311488816856</stp>
        <tr r="H35" s="3"/>
      </tp>
      <tp t="s">
        <v>#N/A N/A</v>
        <stp/>
        <stp>BDH|3798976017853619731</stp>
        <tr r="D88" s="4"/>
      </tp>
      <tp t="s">
        <v>#N/A N/A</v>
        <stp/>
        <stp>BDH|8848309428521439764</stp>
        <tr r="F66" s="5"/>
      </tp>
      <tp t="s">
        <v>#N/A N/A</v>
        <stp/>
        <stp>BDH|9175949705209276619</stp>
        <tr r="E22" s="4"/>
      </tp>
      <tp t="s">
        <v>#N/A N/A</v>
        <stp/>
        <stp>BDH|2966467230432877844</stp>
        <tr r="H44" s="3"/>
        <tr r="H18" s="2"/>
      </tp>
      <tp t="s">
        <v>#N/A N/A</v>
        <stp/>
        <stp>BDH|2155757034301843885</stp>
        <tr r="I12" s="5"/>
      </tp>
      <tp t="s">
        <v>#N/A N/A</v>
        <stp/>
        <stp>BDH|5528101371225052947</stp>
        <tr r="H6" s="2"/>
      </tp>
      <tp t="s">
        <v>#N/A N/A</v>
        <stp/>
        <stp>BDH|5234520389187882018</stp>
        <tr r="H37" s="4"/>
      </tp>
      <tp t="s">
        <v>#N/A N/A</v>
        <stp/>
        <stp>BDH|4014588348853427946</stp>
        <tr r="G27" s="5"/>
      </tp>
      <tp t="s">
        <v>#N/A N/A</v>
        <stp/>
        <stp>BDH|9658166597669210751</stp>
        <tr r="D61" s="3"/>
      </tp>
      <tp t="s">
        <v>#N/A N/A</v>
        <stp/>
        <stp>BDH|2302079827089170625</stp>
        <tr r="E47" s="5"/>
      </tp>
      <tp t="s">
        <v>#N/A N/A</v>
        <stp/>
        <stp>BDH|9255069230316532311</stp>
        <tr r="I37" s="3"/>
      </tp>
      <tp t="s">
        <v>#N/A N/A</v>
        <stp/>
        <stp>BDH|7374779159929447380</stp>
        <tr r="G79" s="4"/>
      </tp>
      <tp t="s">
        <v>#N/A N/A</v>
        <stp/>
        <stp>BDH|7192839774354461339</stp>
        <tr r="D26" s="3"/>
      </tp>
      <tp t="s">
        <v>#N/A N/A</v>
        <stp/>
        <stp>BDH|7750552987614574119</stp>
        <tr r="D26" s="5"/>
      </tp>
      <tp t="s">
        <v>#N/A N/A</v>
        <stp/>
        <stp>BDH|9406844531618432532</stp>
        <tr r="J65" s="5"/>
      </tp>
      <tp t="s">
        <v>#N/A N/A</v>
        <stp/>
        <stp>BDH|2457011245561228849</stp>
        <tr r="H36" s="5"/>
      </tp>
      <tp t="s">
        <v>#N/A N/A</v>
        <stp/>
        <stp>BDH|2186264023138392506</stp>
        <tr r="E40" s="3"/>
      </tp>
      <tp t="s">
        <v>#N/A N/A</v>
        <stp/>
        <stp>BDH|8703765410608679906</stp>
        <tr r="J58" s="5"/>
      </tp>
      <tp t="s">
        <v>#N/A N/A</v>
        <stp/>
        <stp>BDH|4752013594987169579</stp>
        <tr r="J87" s="4"/>
      </tp>
      <tp t="s">
        <v>#N/A N/A</v>
        <stp/>
        <stp>BDH|3364423457809070428</stp>
        <tr r="F45" s="4"/>
      </tp>
      <tp t="s">
        <v>#N/A N/A</v>
        <stp/>
        <stp>BDH|8304462459423830501</stp>
        <tr r="L50" s="5"/>
      </tp>
      <tp t="s">
        <v>#N/A N/A</v>
        <stp/>
        <stp>BDH|1638385030076369899</stp>
        <tr r="K74" s="4"/>
      </tp>
      <tp t="s">
        <v>#N/A N/A</v>
        <stp/>
        <stp>BDH|4364369683010609045</stp>
        <tr r="C44" s="4"/>
      </tp>
      <tp t="s">
        <v>#N/A N/A</v>
        <stp/>
        <stp>BDH|4498653591706168256</stp>
        <tr r="D33" s="4"/>
      </tp>
      <tp t="s">
        <v>#N/A N/A</v>
        <stp/>
        <stp>BDH|4998365684765812574</stp>
        <tr r="K12" s="4"/>
      </tp>
      <tp t="s">
        <v>#N/A N/A</v>
        <stp/>
        <stp>BDH|9321601877370707761</stp>
        <tr r="I77" s="4"/>
      </tp>
      <tp t="s">
        <v>#N/A N/A</v>
        <stp/>
        <stp>BDH|6013816313474788402</stp>
        <tr r="H11" s="5"/>
      </tp>
      <tp t="s">
        <v>#N/A N/A</v>
        <stp/>
        <stp>BDH|3388311192536046053</stp>
        <tr r="I42" s="4"/>
      </tp>
      <tp t="s">
        <v>#N/A N/A</v>
        <stp/>
        <stp>BDH|8139577332827664674</stp>
        <tr r="J48" s="4"/>
      </tp>
      <tp t="s">
        <v>#N/A N/A</v>
        <stp/>
        <stp>BDH|50315096391032909</stp>
        <tr r="D31" s="5"/>
      </tp>
      <tp t="s">
        <v>#N/A N/A</v>
        <stp/>
        <stp>BDH|7852173056199327200</stp>
        <tr r="L68" s="4"/>
      </tp>
      <tp t="s">
        <v>#N/A N/A</v>
        <stp/>
        <stp>BDH|6409424692217636489</stp>
        <tr r="G92" s="4"/>
      </tp>
      <tp t="s">
        <v>#N/A N/A</v>
        <stp/>
        <stp>BDH|3434628598642207663</stp>
        <tr r="F53" s="5"/>
      </tp>
      <tp t="s">
        <v>#N/A N/A</v>
        <stp/>
        <stp>BDH|8321497524990774635</stp>
        <tr r="J18" s="4"/>
      </tp>
      <tp t="s">
        <v>#N/A N/A</v>
        <stp/>
        <stp>BDH|9676137523792488097</stp>
        <tr r="F55" s="4"/>
      </tp>
      <tp t="s">
        <v>#N/A N/A</v>
        <stp/>
        <stp>BDH|5817868404511570440</stp>
        <tr r="L43" s="5"/>
      </tp>
      <tp t="s">
        <v>#N/A N/A</v>
        <stp/>
        <stp>BDH|9494719467440874019</stp>
        <tr r="F47" s="4"/>
      </tp>
      <tp t="s">
        <v>#N/A N/A</v>
        <stp/>
        <stp>BDH|2883552078828967078</stp>
        <tr r="F40" s="3"/>
      </tp>
      <tp t="s">
        <v>#N/A N/A</v>
        <stp/>
        <stp>BDH|4943220007216636824</stp>
        <tr r="H42" s="5"/>
      </tp>
      <tp t="s">
        <v>#N/A N/A</v>
        <stp/>
        <stp>BDH|4053285957342730901</stp>
        <tr r="I64" s="3"/>
      </tp>
      <tp t="s">
        <v>#N/A N/A</v>
        <stp/>
        <stp>BDH|1551687985922233524</stp>
        <tr r="H27" s="5"/>
      </tp>
      <tp t="s">
        <v>#N/A N/A</v>
        <stp/>
        <stp>BDH|7019652296787893733</stp>
        <tr r="G7" s="2"/>
      </tp>
      <tp t="s">
        <v>#N/A N/A</v>
        <stp/>
        <stp>BDH|4982005295990102542</stp>
        <tr r="C18" s="4"/>
      </tp>
      <tp t="s">
        <v>#N/A N/A</v>
        <stp/>
        <stp>BDH|1711992659344840169</stp>
        <tr r="K91" s="4"/>
      </tp>
      <tp t="s">
        <v>#N/A N/A</v>
        <stp/>
        <stp>BDH|2224260204678193082</stp>
        <tr r="E94" s="4"/>
      </tp>
      <tp t="s">
        <v>#N/A N/A</v>
        <stp/>
        <stp>BDH|5868265567308559123</stp>
        <tr r="H16" s="3"/>
      </tp>
      <tp t="s">
        <v>#N/A N/A</v>
        <stp/>
        <stp>BDH|7462934258561096218</stp>
        <tr r="F79" s="4"/>
      </tp>
      <tp t="s">
        <v>#N/A N/A</v>
        <stp/>
        <stp>BDH|4255471985520612089</stp>
        <tr r="E54" s="3"/>
      </tp>
      <tp t="s">
        <v>#N/A N/A</v>
        <stp/>
        <stp>BDH|5717915456181997075</stp>
        <tr r="K52" s="4"/>
      </tp>
      <tp t="s">
        <v>#N/A N/A</v>
        <stp/>
        <stp>BDH|8185929867346809935</stp>
        <tr r="F9" s="3"/>
      </tp>
      <tp t="s">
        <v>#N/A N/A</v>
        <stp/>
        <stp>BDH|7393680660539198659</stp>
        <tr r="I27" s="4"/>
      </tp>
      <tp t="s">
        <v>#N/A N/A</v>
        <stp/>
        <stp>BDH|2799563884711080696</stp>
        <tr r="C80" s="4"/>
      </tp>
      <tp t="s">
        <v>#N/A N/A</v>
        <stp/>
        <stp>BDH|9855514391124457900</stp>
        <tr r="I26" s="4"/>
      </tp>
      <tp t="s">
        <v>#N/A N/A</v>
        <stp/>
        <stp>BDH|9033375468751017534</stp>
        <tr r="D64" s="3"/>
      </tp>
      <tp t="s">
        <v>#N/A N/A</v>
        <stp/>
        <stp>BDH|3704130285605463797</stp>
        <tr r="H47" s="4"/>
      </tp>
      <tp t="s">
        <v>#N/A N/A</v>
        <stp/>
        <stp>BDH|9782344594538267396</stp>
        <tr r="I49" s="5"/>
      </tp>
      <tp t="s">
        <v>#N/A N/A</v>
        <stp/>
        <stp>BDH|1597364622669931146</stp>
        <tr r="C44" s="5"/>
      </tp>
      <tp t="s">
        <v>#N/A N/A</v>
        <stp/>
        <stp>BDH|7967168983176864099</stp>
        <tr r="D15" s="4"/>
      </tp>
      <tp t="s">
        <v>#N/A N/A</v>
        <stp/>
        <stp>BDH|8642759022523883642</stp>
        <tr r="J57" s="4"/>
      </tp>
      <tp t="s">
        <v>#N/A N/A</v>
        <stp/>
        <stp>BDH|2729628610565933816</stp>
        <tr r="H91" s="4"/>
      </tp>
      <tp t="s">
        <v>#N/A N/A</v>
        <stp/>
        <stp>BDH|3730854892259937349</stp>
        <tr r="H13" s="2"/>
      </tp>
      <tp t="s">
        <v>#N/A N/A</v>
        <stp/>
        <stp>BDH|8020345532472447206</stp>
        <tr r="I59" s="4"/>
      </tp>
      <tp t="s">
        <v>#N/A N/A</v>
        <stp/>
        <stp>BDH|3659127070075545834</stp>
        <tr r="E19" s="5"/>
        <tr r="C23" s="2"/>
      </tp>
      <tp t="s">
        <v>#N/A N/A</v>
        <stp/>
        <stp>BDH|4317979853058257879</stp>
        <tr r="E71" s="4"/>
      </tp>
      <tp t="s">
        <v>#N/A N/A</v>
        <stp/>
        <stp>BDH|6406525700482567913</stp>
        <tr r="D59" s="4"/>
      </tp>
      <tp t="s">
        <v>#N/A N/A</v>
        <stp/>
        <stp>BDH|3462029906798262307</stp>
        <tr r="J69" s="4"/>
      </tp>
      <tp t="s">
        <v>#N/A N/A</v>
        <stp/>
        <stp>BDH|2850387999168250883</stp>
        <tr r="D89" s="4"/>
      </tp>
      <tp t="s">
        <v>#N/A N/A</v>
        <stp/>
        <stp>BDH|3787025802958128350</stp>
        <tr r="G86" s="4"/>
      </tp>
      <tp t="s">
        <v>#N/A N/A</v>
        <stp/>
        <stp>BDH|7077685257485440989</stp>
        <tr r="D49" s="4"/>
      </tp>
      <tp t="s">
        <v>#N/A N/A</v>
        <stp/>
        <stp>BDH|9680589909884564013</stp>
        <tr r="E55" s="5"/>
      </tp>
      <tp t="s">
        <v>#N/A N/A</v>
        <stp/>
        <stp>BDH|6018715003210417965</stp>
        <tr r="F28" s="3"/>
      </tp>
      <tp t="s">
        <v>#N/A N/A</v>
        <stp/>
        <stp>BDH|9347615054006066460</stp>
        <tr r="J13" s="4"/>
      </tp>
      <tp t="s">
        <v>#N/A N/A</v>
        <stp/>
        <stp>BDH|4168575606551982895</stp>
        <tr r="L87" s="4"/>
      </tp>
      <tp t="s">
        <v>#N/A N/A</v>
        <stp/>
        <stp>BDH|4044621095154313748</stp>
        <tr r="E31" s="3"/>
      </tp>
      <tp t="s">
        <v>#N/A N/A</v>
        <stp/>
        <stp>BDH|5845644622421698880</stp>
        <tr r="L8" s="4"/>
      </tp>
      <tp t="s">
        <v>#N/A N/A</v>
        <stp/>
        <stp>BDH|5218874924535996298</stp>
        <tr r="C29" s="3"/>
      </tp>
      <tp t="s">
        <v>#N/A N/A</v>
        <stp/>
        <stp>BDH|4696801513636386377</stp>
        <tr r="G65" s="4"/>
      </tp>
      <tp t="s">
        <v>#N/A N/A</v>
        <stp/>
        <stp>BDH|7611266922417141822</stp>
        <tr r="G30" s="4"/>
      </tp>
      <tp t="s">
        <v>#N/A N/A</v>
        <stp/>
        <stp>BDH|9518759849900828206</stp>
        <tr r="F24" s="3"/>
      </tp>
      <tp t="s">
        <v>#N/A N/A</v>
        <stp/>
        <stp>BDH|6762119684462499576</stp>
        <tr r="C13" s="4"/>
      </tp>
      <tp t="s">
        <v>#N/A N/A</v>
        <stp/>
        <stp>BDH|7298935973196771742</stp>
        <tr r="F32" s="3"/>
      </tp>
      <tp t="s">
        <v>#N/A N/A</v>
        <stp/>
        <stp>BDH|6995088411027680873</stp>
        <tr r="K75" s="4"/>
      </tp>
      <tp t="s">
        <v>#N/A N/A</v>
        <stp/>
        <stp>BDH|4991832649514408461</stp>
        <tr r="I43" s="4"/>
      </tp>
      <tp t="s">
        <v>#N/A N/A</v>
        <stp/>
        <stp>BDH|7254853013505351316</stp>
        <tr r="H38" s="4"/>
      </tp>
      <tp t="s">
        <v>#N/A N/A</v>
        <stp/>
        <stp>BDH|8278100709309900846</stp>
        <tr r="I55" s="4"/>
      </tp>
      <tp t="s">
        <v>#N/A N/A</v>
        <stp/>
        <stp>BDH|3269988578823114653</stp>
        <tr r="G38" s="4"/>
      </tp>
      <tp t="s">
        <v>#N/A N/A</v>
        <stp/>
        <stp>BDH|8289247723988141832</stp>
        <tr r="G17" s="3"/>
      </tp>
      <tp t="s">
        <v>#N/A N/A</v>
        <stp/>
        <stp>BDH|3758536387661211764</stp>
        <tr r="D63" s="4"/>
      </tp>
      <tp t="s">
        <v>#N/A N/A</v>
        <stp/>
        <stp>BDH|7620843829735513094</stp>
        <tr r="C64" s="4"/>
      </tp>
      <tp t="s">
        <v>#N/A N/A</v>
        <stp/>
        <stp>BDH|4058349010899227712</stp>
        <tr r="L92" s="4"/>
      </tp>
      <tp t="s">
        <v>#N/A N/A</v>
        <stp/>
        <stp>BDH|5152927730235384271</stp>
        <tr r="I23" s="5"/>
      </tp>
      <tp t="s">
        <v>#N/A N/A</v>
        <stp/>
        <stp>BDH|6054445756438580702</stp>
        <tr r="I33" s="4"/>
      </tp>
      <tp t="s">
        <v>#N/A N/A</v>
        <stp/>
        <stp>BDH|1558644944258134301</stp>
        <tr r="G19" s="4"/>
      </tp>
      <tp t="s">
        <v>#N/A N/A</v>
        <stp/>
        <stp>BDH|6292148235758179462</stp>
        <tr r="H66" s="4"/>
      </tp>
      <tp t="s">
        <v>#N/A N/A</v>
        <stp/>
        <stp>BDH|4259446596490417101</stp>
        <tr r="J16" s="4"/>
      </tp>
      <tp t="s">
        <v>#N/A N/A</v>
        <stp/>
        <stp>BDH|6038157335308371460</stp>
        <tr r="K78" s="4"/>
      </tp>
      <tp t="s">
        <v>#N/A N/A</v>
        <stp/>
        <stp>BDH|5482285608049399627</stp>
        <tr r="C33" s="3"/>
      </tp>
      <tp t="s">
        <v>#N/A N/A</v>
        <stp/>
        <stp>BDH|1188592999320540518</stp>
        <tr r="E8" s="4"/>
      </tp>
      <tp t="s">
        <v>#N/A N/A</v>
        <stp/>
        <stp>BDH|4559157886114269110</stp>
        <tr r="K8" s="5"/>
      </tp>
      <tp t="s">
        <v>#N/A N/A</v>
        <stp/>
        <stp>BDH|3838104927969961131</stp>
        <tr r="J35" s="5"/>
      </tp>
      <tp t="s">
        <v>#N/A N/A</v>
        <stp/>
        <stp>BDH|1317078746515444832</stp>
        <tr r="L64" s="4"/>
      </tp>
      <tp t="s">
        <v>#N/A N/A</v>
        <stp/>
        <stp>BDH|61713801353780128</stp>
        <tr r="J39" s="3"/>
      </tp>
      <tp t="s">
        <v>#N/A N/A</v>
        <stp/>
        <stp>BDH|5127287743208207222</stp>
        <tr r="G31" s="5"/>
      </tp>
      <tp t="s">
        <v>#N/A N/A</v>
        <stp/>
        <stp>BDH|1832264960468123455</stp>
        <tr r="D13" s="4"/>
      </tp>
      <tp t="s">
        <v>#N/A N/A</v>
        <stp/>
        <stp>BDH|1846474988593805753</stp>
        <tr r="J69" s="3"/>
      </tp>
      <tp t="s">
        <v>#N/A N/A</v>
        <stp/>
        <stp>BDH|1586753103409814612</stp>
        <tr r="C24" s="3"/>
      </tp>
      <tp t="s">
        <v>#N/A N/A</v>
        <stp/>
        <stp>BDH|1578099996127228621</stp>
        <tr r="G34" s="5"/>
      </tp>
      <tp t="s">
        <v>#N/A N/A</v>
        <stp/>
        <stp>BDH|3828102097271074344</stp>
        <tr r="E49" s="4"/>
      </tp>
      <tp t="s">
        <v>#N/A N/A</v>
        <stp/>
        <stp>BDH|6644094193351432735</stp>
        <tr r="K30" s="5"/>
      </tp>
      <tp t="s">
        <v>#N/A N/A</v>
        <stp/>
        <stp>BDH|2832844754641731745</stp>
        <tr r="L30" s="4"/>
      </tp>
      <tp t="s">
        <v>#N/A N/A</v>
        <stp/>
        <stp>BDH|9568548675545964761</stp>
        <tr r="E32" s="5"/>
      </tp>
      <tp t="s">
        <v>#N/A N/A</v>
        <stp/>
        <stp>BDH|9400749127715914050</stp>
        <tr r="G53" s="4"/>
      </tp>
      <tp t="s">
        <v>#N/A N/A</v>
        <stp/>
        <stp>BDH|4470986710833286671</stp>
        <tr r="I30" s="5"/>
      </tp>
      <tp t="s">
        <v>#N/A N/A</v>
        <stp/>
        <stp>BDH|6239695506520682928</stp>
        <tr r="E32" s="3"/>
      </tp>
      <tp t="s">
        <v>#N/A N/A</v>
        <stp/>
        <stp>BDH|9743711479151324127</stp>
        <tr r="K24" s="5"/>
      </tp>
      <tp t="s">
        <v>#N/A N/A</v>
        <stp/>
        <stp>BDH|2822031162554546925</stp>
        <tr r="I75" s="4"/>
      </tp>
      <tp t="s">
        <v>#N/A N/A</v>
        <stp/>
        <stp>BDH|8996004426572967183</stp>
        <tr r="H9" s="5"/>
      </tp>
      <tp t="s">
        <v>#N/A N/A</v>
        <stp/>
        <stp>BDH|4470857902340608591</stp>
        <tr r="I24" s="3"/>
      </tp>
      <tp t="s">
        <v>#N/A N/A</v>
        <stp/>
        <stp>BDH|6755050382763493489</stp>
        <tr r="H53" s="5"/>
      </tp>
      <tp t="s">
        <v>#N/A N/A</v>
        <stp/>
        <stp>BDH|6739389470773671858</stp>
        <tr r="E16" s="5"/>
      </tp>
      <tp t="s">
        <v>#N/A N/A</v>
        <stp/>
        <stp>BDH|2621948128447232748</stp>
        <tr r="F23" s="5"/>
      </tp>
      <tp t="s">
        <v>#N/A N/A</v>
        <stp/>
        <stp>BDH|1161319482213722095</stp>
        <tr r="H12" s="5"/>
      </tp>
      <tp t="s">
        <v>#N/A N/A</v>
        <stp/>
        <stp>BDH|4889731666404343838</stp>
        <tr r="F12" s="5"/>
      </tp>
      <tp t="s">
        <v>#N/A N/A</v>
        <stp/>
        <stp>BDH|6215395983935205174</stp>
        <tr r="L88" s="4"/>
      </tp>
      <tp t="s">
        <v>#N/A N/A</v>
        <stp/>
        <stp>BDH|9884100223740770314</stp>
        <tr r="C61" s="3"/>
      </tp>
      <tp t="s">
        <v>#N/A N/A</v>
        <stp/>
        <stp>BDH|3504682481452926677</stp>
        <tr r="C8" s="5"/>
      </tp>
      <tp t="s">
        <v>#N/A N/A</v>
        <stp/>
        <stp>BDH|1655314791776571415</stp>
        <tr r="E18" s="5"/>
      </tp>
      <tp t="s">
        <v>#N/A N/A</v>
        <stp/>
        <stp>BDH|6837341928139165772</stp>
        <tr r="I69" s="4"/>
      </tp>
      <tp t="s">
        <v>#N/A N/A</v>
        <stp/>
        <stp>BDH|1738490390483920641</stp>
        <tr r="E55" s="3"/>
      </tp>
      <tp t="s">
        <v>#N/A N/A</v>
        <stp/>
        <stp>BDH|4500706786940042201</stp>
        <tr r="J23" s="5"/>
      </tp>
      <tp t="s">
        <v>#N/A N/A</v>
        <stp/>
        <stp>BDH|8444148843523647767</stp>
        <tr r="K54" s="4"/>
      </tp>
      <tp t="s">
        <v>#N/A N/A</v>
        <stp/>
        <stp>BDH|6646620401189026068</stp>
        <tr r="D60" s="4"/>
      </tp>
      <tp t="s">
        <v>#N/A N/A</v>
        <stp/>
        <stp>BDH|9124815742204558870</stp>
        <tr r="J44" s="5"/>
      </tp>
      <tp t="s">
        <v>#N/A N/A</v>
        <stp/>
        <stp>BDH|7035138526778609539</stp>
        <tr r="C13" s="2"/>
      </tp>
      <tp t="s">
        <v>#N/A N/A</v>
        <stp/>
        <stp>BDH|5053403767087378952</stp>
        <tr r="C55" s="4"/>
      </tp>
      <tp t="s">
        <v>#N/A N/A</v>
        <stp/>
        <stp>BDH|9383097607197549798</stp>
        <tr r="H59" s="4"/>
      </tp>
      <tp t="s">
        <v>#N/A N/A</v>
        <stp/>
        <stp>BDH|8377435441736997798</stp>
        <tr r="E92" s="4"/>
      </tp>
      <tp t="s">
        <v>#N/A N/A</v>
        <stp/>
        <stp>BDH|8797916125002549875</stp>
        <tr r="E31" s="5"/>
      </tp>
      <tp t="s">
        <v>#N/A N/A</v>
        <stp/>
        <stp>BDH|2611627291706193225</stp>
        <tr r="E13" s="2"/>
      </tp>
      <tp t="s">
        <v>#N/A N/A</v>
        <stp/>
        <stp>BDH|2621549223864083877</stp>
        <tr r="L59" s="4"/>
      </tp>
      <tp t="s">
        <v>#N/A N/A</v>
        <stp/>
        <stp>BDH|4380779450409682641</stp>
        <tr r="G60" s="3"/>
        <tr r="G16" s="2"/>
      </tp>
      <tp t="s">
        <v>#N/A N/A</v>
        <stp/>
        <stp>BDH|6894457924048989174</stp>
        <tr r="K72" s="4"/>
      </tp>
      <tp t="s">
        <v>#N/A N/A</v>
        <stp/>
        <stp>BDH|9704388587772748989</stp>
        <tr r="I51" s="3"/>
      </tp>
      <tp t="s">
        <v>#N/A N/A</v>
        <stp/>
        <stp>BDH|9232604729477828370</stp>
        <tr r="C78" s="4"/>
      </tp>
      <tp t="s">
        <v>#N/A N/A</v>
        <stp/>
        <stp>BDH|7588759355814090810</stp>
        <tr r="G75" s="4"/>
      </tp>
      <tp t="s">
        <v>#N/A N/A</v>
        <stp/>
        <stp>BDH|9686744344140327316</stp>
        <tr r="H49" s="4"/>
      </tp>
      <tp t="s">
        <v>#N/A N/A</v>
        <stp/>
        <stp>BDH|9926698656946113538</stp>
        <tr r="E72" s="3"/>
      </tp>
      <tp t="s">
        <v>#N/A N/A</v>
        <stp/>
        <stp>BDH|6190902004405473354</stp>
        <tr r="F45" s="5"/>
      </tp>
      <tp t="s">
        <v>#N/A N/A</v>
        <stp/>
        <stp>BDH|5026466882884047419</stp>
        <tr r="G9" s="5"/>
      </tp>
      <tp t="s">
        <v>#N/A N/A</v>
        <stp/>
        <stp>BDH|6395528578834491980</stp>
        <tr r="K92" s="4"/>
      </tp>
      <tp t="s">
        <v>#N/A N/A</v>
        <stp/>
        <stp>BDH|1201897338170554334</stp>
        <tr r="J66" s="4"/>
      </tp>
      <tp t="s">
        <v>#N/A N/A</v>
        <stp/>
        <stp>BDH|38358161044976543</stp>
        <tr r="D6" s="3"/>
        <tr r="D12" s="2"/>
      </tp>
      <tp t="s">
        <v>#N/A N/A</v>
        <stp/>
        <stp>BDH|3269583105115768929</stp>
        <tr r="J49" s="3"/>
      </tp>
      <tp t="s">
        <v>#N/A N/A</v>
        <stp/>
        <stp>BDH|8289480512735132231</stp>
        <tr r="G67" s="5"/>
      </tp>
      <tp t="s">
        <v>#N/A N/A</v>
        <stp/>
        <stp>BDH|8066534010040081696</stp>
        <tr r="H65" s="3"/>
      </tp>
      <tp t="s">
        <v>#N/A N/A</v>
        <stp/>
        <stp>BDH|3835479083626758309</stp>
        <tr r="F73" s="4"/>
      </tp>
      <tp t="s">
        <v>#N/A N/A</v>
        <stp/>
        <stp>BDH|3909993124047550596</stp>
        <tr r="E51" s="4"/>
      </tp>
      <tp t="s">
        <v>#N/A N/A</v>
        <stp/>
        <stp>BDH|7089891753538464869</stp>
        <tr r="H38" s="5"/>
      </tp>
      <tp t="s">
        <v>#N/A N/A</v>
        <stp/>
        <stp>BDH|9924314244144370068</stp>
        <tr r="F14" s="5"/>
      </tp>
      <tp t="s">
        <v>#N/A N/A</v>
        <stp/>
        <stp>BDH|4875828195347572849</stp>
        <tr r="D46" s="4"/>
      </tp>
      <tp t="s">
        <v>#N/A N/A</v>
        <stp/>
        <stp>BDH|4294732998519797903</stp>
        <tr r="H44" s="5"/>
      </tp>
      <tp t="s">
        <v>#N/A N/A</v>
        <stp/>
        <stp>BDH|5669481784467403407</stp>
        <tr r="D8" s="3"/>
      </tp>
      <tp t="s">
        <v>#N/A N/A</v>
        <stp/>
        <stp>BDH|7053943289204016823</stp>
        <tr r="D64" s="4"/>
      </tp>
      <tp t="s">
        <v>#N/A N/A</v>
        <stp/>
        <stp>BDH|5868828787208418766</stp>
        <tr r="C63" s="4"/>
      </tp>
      <tp t="s">
        <v>#N/A N/A</v>
        <stp/>
        <stp>BDH|1988135239698876140</stp>
        <tr r="J14" s="5"/>
      </tp>
      <tp t="s">
        <v>#N/A N/A</v>
        <stp/>
        <stp>BDH|4274844570458095990</stp>
        <tr r="H40" s="3"/>
      </tp>
      <tp t="s">
        <v>#N/A N/A</v>
        <stp/>
        <stp>BDH|8970055446236535031</stp>
        <tr r="G25" s="4"/>
      </tp>
      <tp t="s">
        <v>#N/A N/A</v>
        <stp/>
        <stp>BDH|5123304760633966940</stp>
        <tr r="F11" s="4"/>
      </tp>
      <tp t="s">
        <v>#N/A N/A</v>
        <stp/>
        <stp>BDH|5429939488139604757</stp>
        <tr r="D44" s="3"/>
        <tr r="D18" s="2"/>
      </tp>
      <tp t="s">
        <v>#N/A N/A</v>
        <stp/>
        <stp>BDH|9176684035311883784</stp>
        <tr r="G49" s="5"/>
      </tp>
      <tp t="s">
        <v>#N/A N/A</v>
        <stp/>
        <stp>BDH|1297894974542615655</stp>
        <tr r="C37" s="3"/>
      </tp>
      <tp t="s">
        <v>#N/A N/A</v>
        <stp/>
        <stp>BDH|7811106290436296379</stp>
        <tr r="H34" s="5"/>
      </tp>
      <tp t="s">
        <v>#N/A N/A</v>
        <stp/>
        <stp>BDH|8791795002295813095</stp>
        <tr r="C50" s="4"/>
      </tp>
      <tp t="s">
        <v>#N/A N/A</v>
        <stp/>
        <stp>BDH|8401853169048096456</stp>
        <tr r="J22" s="5"/>
      </tp>
      <tp t="s">
        <v>#N/A N/A</v>
        <stp/>
        <stp>BDH|5194529690722715163</stp>
        <tr r="E41" s="5"/>
      </tp>
      <tp t="s">
        <v>#N/A N/A</v>
        <stp/>
        <stp>BDH|8068251071313719412</stp>
        <tr r="F28" s="4"/>
      </tp>
      <tp t="s">
        <v>#N/A N/A</v>
        <stp/>
        <stp>BDH|8389684897594922973</stp>
        <tr r="C14" s="3"/>
      </tp>
      <tp t="s">
        <v>#N/A N/A</v>
        <stp/>
        <stp>BDH|6846145950111735998</stp>
        <tr r="D16" s="4"/>
      </tp>
      <tp t="s">
        <v>#N/A N/A</v>
        <stp/>
        <stp>BDH|9984992984775431725</stp>
        <tr r="E69" s="3"/>
      </tp>
      <tp t="s">
        <v>#N/A N/A</v>
        <stp/>
        <stp>BDH|6297627193104375739</stp>
        <tr r="G68" s="3"/>
      </tp>
      <tp t="s">
        <v>#N/A N/A</v>
        <stp/>
        <stp>BDH|6758808217397302201</stp>
        <tr r="G66" s="5"/>
      </tp>
      <tp t="s">
        <v>#N/A N/A</v>
        <stp/>
        <stp>BDH|3494609051049402314</stp>
        <tr r="C68" s="3"/>
      </tp>
      <tp t="s">
        <v>#N/A N/A</v>
        <stp/>
        <stp>BDH|5980165719767443828</stp>
        <tr r="J45" s="4"/>
      </tp>
      <tp t="s">
        <v>#N/A N/A</v>
        <stp/>
        <stp>BDH|7515891508803159657</stp>
        <tr r="E64" s="3"/>
      </tp>
      <tp t="s">
        <v>#N/A N/A</v>
        <stp/>
        <stp>BDH|6113881888079285537</stp>
        <tr r="G78" s="4"/>
      </tp>
      <tp t="s">
        <v>#N/A N/A</v>
        <stp/>
        <stp>BDH|8879645341373519390</stp>
        <tr r="F63" s="4"/>
      </tp>
      <tp t="s">
        <v>#N/A N/A</v>
        <stp/>
        <stp>BDH|7261970972440668307</stp>
        <tr r="L55" s="4"/>
      </tp>
      <tp t="s">
        <v>#N/A N/A</v>
        <stp/>
        <stp>BDH|7721677536049367146</stp>
        <tr r="L47" s="4"/>
      </tp>
      <tp t="s">
        <v>#N/A N/A</v>
        <stp/>
        <stp>BDH|7980683857247052978</stp>
        <tr r="K18" s="5"/>
      </tp>
      <tp t="s">
        <v>#N/A N/A</v>
        <stp/>
        <stp>BDH|9564277963184976391</stp>
        <tr r="L47" s="5"/>
      </tp>
      <tp t="s">
        <v>#N/A N/A</v>
        <stp/>
        <stp>BDH|2419237578744865961</stp>
        <tr r="H56" s="3"/>
        <tr r="H20" s="2"/>
      </tp>
      <tp t="s">
        <v>#N/A N/A</v>
        <stp/>
        <stp>BDH|9549806765064605974</stp>
        <tr r="F80" s="4"/>
      </tp>
      <tp t="s">
        <v>#N/A N/A</v>
        <stp/>
        <stp>BDH|5771701971177771806</stp>
        <tr r="J52" s="4"/>
      </tp>
      <tp t="s">
        <v>#N/A N/A</v>
        <stp/>
        <stp>BDH|7967995491068786575</stp>
        <tr r="F7" s="5"/>
      </tp>
      <tp t="s">
        <v>#N/A N/A</v>
        <stp/>
        <stp>BDH|6025431490356391766</stp>
        <tr r="K26" s="4"/>
      </tp>
      <tp t="s">
        <v>#N/A N/A</v>
        <stp/>
        <stp>BDH|6300149901744997998</stp>
        <tr r="J71" s="4"/>
      </tp>
      <tp t="s">
        <v>#N/A N/A</v>
        <stp/>
        <stp>BDH|2857957601357293686</stp>
        <tr r="F27" s="4"/>
      </tp>
      <tp t="s">
        <v>#N/A N/A</v>
        <stp/>
        <stp>BDH|7148297366421800809</stp>
        <tr r="L91" s="4"/>
      </tp>
      <tp t="s">
        <v>#N/A N/A</v>
        <stp/>
        <stp>BDH|3391332583951760334</stp>
        <tr r="I13" s="3"/>
      </tp>
      <tp t="s">
        <v>#N/A N/A</v>
        <stp/>
        <stp>BDH|8893258819740372103</stp>
        <tr r="L49" s="5"/>
      </tp>
      <tp t="s">
        <v>#N/A N/A</v>
        <stp/>
        <stp>BDH|4400073410298624721</stp>
        <tr r="H42" s="4"/>
      </tp>
      <tp t="s">
        <v>#N/A N/A</v>
        <stp/>
        <stp>BDH|6411715013969988380</stp>
        <tr r="L78" s="4"/>
      </tp>
      <tp t="s">
        <v>#N/A N/A</v>
        <stp/>
        <stp>BDH|8349708835481043710</stp>
        <tr r="F86" s="4"/>
      </tp>
      <tp t="s">
        <v>#N/A N/A</v>
        <stp/>
        <stp>BDH|7041882868012474106</stp>
        <tr r="L26" s="5"/>
      </tp>
      <tp t="s">
        <v>#N/A N/A</v>
        <stp/>
        <stp>BDH|1747946334412067336</stp>
        <tr r="H62" s="4"/>
      </tp>
      <tp t="s">
        <v>#N/A N/A</v>
        <stp/>
        <stp>BDH|6297596108521032875</stp>
        <tr r="H11" s="4"/>
      </tp>
      <tp t="s">
        <v>#N/A N/A</v>
        <stp/>
        <stp>BDH|9418432972097170714</stp>
        <tr r="L52" s="4"/>
      </tp>
      <tp t="s">
        <v>#N/A N/A</v>
        <stp/>
        <stp>BDH|8976967551198848637</stp>
        <tr r="C79" s="4"/>
      </tp>
      <tp t="s">
        <v>#N/A N/A</v>
        <stp/>
        <stp>BDH|6268812112204665127</stp>
        <tr r="E6" s="3"/>
        <tr r="E12" s="2"/>
      </tp>
      <tp t="s">
        <v>#N/A N/A</v>
        <stp/>
        <stp>BDH|8317801288784786699</stp>
        <tr r="G57" s="5"/>
      </tp>
      <tp t="s">
        <v>#N/A N/A</v>
        <stp/>
        <stp>BDH|9629247813844209467</stp>
        <tr r="I22" s="5"/>
      </tp>
      <tp t="s">
        <v>#N/A N/A</v>
        <stp/>
        <stp>BDH|5917728882223810340</stp>
        <tr r="G96" s="4"/>
      </tp>
      <tp t="s">
        <v>#N/A N/A</v>
        <stp/>
        <stp>BDH|92627628837704435</stp>
        <tr r="F19" s="3"/>
      </tp>
      <tp t="s">
        <v>#N/A N/A</v>
        <stp/>
        <stp>BDH|2918850486421339831</stp>
        <tr r="D67" s="3"/>
      </tp>
      <tp t="s">
        <v>#N/A N/A</v>
        <stp/>
        <stp>BDH|3331446746329835125</stp>
        <tr r="D22" s="4"/>
      </tp>
      <tp t="s">
        <v>#N/A N/A</v>
        <stp/>
        <stp>BDH|8906351649650729496</stp>
        <tr r="G70" s="3"/>
      </tp>
      <tp t="s">
        <v>#N/A N/A</v>
        <stp/>
        <stp>BDH|5874743722883349860</stp>
        <tr r="C85" s="4"/>
      </tp>
      <tp t="s">
        <v>#N/A N/A</v>
        <stp/>
        <stp>BDH|1421598787733135404</stp>
        <tr r="C8" s="4"/>
      </tp>
      <tp t="s">
        <v>#N/A N/A</v>
        <stp/>
        <stp>BDH|9143606968992719057</stp>
        <tr r="K14" s="5"/>
      </tp>
      <tp t="s">
        <v>#N/A N/A</v>
        <stp/>
        <stp>BDH|9024230713548818900</stp>
        <tr r="G49" s="3"/>
      </tp>
      <tp t="s">
        <v>#N/A N/A</v>
        <stp/>
        <stp>BDH|8094239020882973135</stp>
        <tr r="I7" s="3"/>
      </tp>
      <tp t="s">
        <v>#N/A N/A</v>
        <stp/>
        <stp>BDH|5282094595875856283</stp>
        <tr r="F19" s="5"/>
        <tr r="D23" s="2"/>
      </tp>
      <tp t="s">
        <v>#N/A N/A</v>
        <stp/>
        <stp>BDH|6928978843903363303</stp>
        <tr r="J41" s="4"/>
      </tp>
      <tp t="s">
        <v>#N/A N/A</v>
        <stp/>
        <stp>BDH|9125269325777855540</stp>
        <tr r="K85" s="4"/>
      </tp>
      <tp t="s">
        <v>#N/A N/A</v>
        <stp/>
        <stp>BDH|6817149950431232805</stp>
        <tr r="J7" s="4"/>
      </tp>
      <tp t="s">
        <v>#N/A N/A</v>
        <stp/>
        <stp>BDH|7841408294669541870</stp>
        <tr r="I9" s="3"/>
      </tp>
      <tp t="s">
        <v>#N/A N/A</v>
        <stp/>
        <stp>BDH|4516653084544340582</stp>
        <tr r="I61" s="3"/>
      </tp>
      <tp t="s">
        <v>#N/A N/A</v>
        <stp/>
        <stp>BDH|6338921718087493222</stp>
        <tr r="G19" s="5"/>
        <tr r="E23" s="2"/>
      </tp>
      <tp t="s">
        <v>#N/A N/A</v>
        <stp/>
        <stp>BDH|9389742214416428285</stp>
        <tr r="G28" s="3"/>
      </tp>
      <tp t="s">
        <v>#N/A N/A</v>
        <stp/>
        <stp>BDH|2487387428639338184</stp>
        <tr r="F38" s="4"/>
      </tp>
      <tp t="s">
        <v>#N/A N/A</v>
        <stp/>
        <stp>BDH|1276721939716519804</stp>
        <tr r="K31" s="4"/>
      </tp>
      <tp t="s">
        <v>#N/A N/A</v>
        <stp/>
        <stp>BDH|4307041826898593593</stp>
        <tr r="C69" s="3"/>
      </tp>
      <tp t="s">
        <v>#N/A N/A</v>
        <stp/>
        <stp>BDH|2150573781526307291</stp>
        <tr r="J53" s="3"/>
      </tp>
      <tp t="s">
        <v>#N/A N/A</v>
        <stp/>
        <stp>BDH|2290734791023409499</stp>
        <tr r="E50" s="5"/>
      </tp>
      <tp t="s">
        <v>#N/A N/A</v>
        <stp/>
        <stp>BDH|6720193726107493916</stp>
        <tr r="K7" s="4"/>
      </tp>
      <tp t="s">
        <v>#N/A N/A</v>
        <stp/>
        <stp>BDH|4243142805876758868</stp>
        <tr r="C20" s="3"/>
      </tp>
      <tp t="s">
        <v>#N/A N/A</v>
        <stp/>
        <stp>BDH|9291914236471620919</stp>
        <tr r="I25" s="4"/>
      </tp>
      <tp t="s">
        <v>#N/A N/A</v>
        <stp/>
        <stp>BDH|1441268773967569866</stp>
        <tr r="G15" s="5"/>
      </tp>
      <tp t="s">
        <v>#N/A N/A</v>
        <stp/>
        <stp>BDH|9683709566784601742</stp>
        <tr r="L81" s="4"/>
      </tp>
      <tp t="s">
        <v>#N/A N/A</v>
        <stp/>
        <stp>BDH|2147075058104580894</stp>
        <tr r="E67" s="5"/>
      </tp>
      <tp t="s">
        <v>#N/A N/A</v>
        <stp/>
        <stp>BDH|8727657141092736374</stp>
        <tr r="H28" s="5"/>
      </tp>
      <tp t="s">
        <v>#N/A N/A</v>
        <stp/>
        <stp>BDH|5968994025934461124</stp>
        <tr r="G42" s="3"/>
      </tp>
      <tp t="s">
        <v>#N/A N/A</v>
        <stp/>
        <stp>BDH|5426928901634149357</stp>
        <tr r="F26" s="4"/>
      </tp>
      <tp t="s">
        <v>#N/A N/A</v>
        <stp/>
        <stp>BDH|3285618683900987693</stp>
        <tr r="G55" s="5"/>
      </tp>
      <tp t="s">
        <v>#N/A N/A</v>
        <stp/>
        <stp>BDH|2571906421806327479</stp>
        <tr r="L44" s="5"/>
      </tp>
      <tp t="s">
        <v>#N/A N/A</v>
        <stp/>
        <stp>BDH|7794843064455228759</stp>
        <tr r="F24" s="2"/>
      </tp>
      <tp t="s">
        <v>#N/A N/A</v>
        <stp/>
        <stp>BDH|5472974900297454073</stp>
        <tr r="I17" s="4"/>
      </tp>
      <tp t="s">
        <v>#N/A N/A</v>
        <stp/>
        <stp>BDH|7106822099068857537</stp>
        <tr r="J68" s="3"/>
      </tp>
      <tp t="s">
        <v>#N/A N/A</v>
        <stp/>
        <stp>BDH|1975111559149159718</stp>
        <tr r="I18" s="3"/>
      </tp>
      <tp t="s">
        <v>#N/A N/A</v>
        <stp/>
        <stp>BDH|7696646193201027202</stp>
        <tr r="L90" s="4"/>
      </tp>
      <tp t="s">
        <v>#N/A N/A</v>
        <stp/>
        <stp>BDH|6183041339137428994</stp>
        <tr r="D16" s="3"/>
      </tp>
      <tp t="s">
        <v>#N/A N/A</v>
        <stp/>
        <stp>BDH|5071008304337262909</stp>
        <tr r="C59" s="4"/>
      </tp>
      <tp t="s">
        <v>#N/A N/A</v>
        <stp/>
        <stp>BDH|2656261590550226247</stp>
        <tr r="I88" s="4"/>
      </tp>
      <tp t="s">
        <v>#N/A N/A</v>
        <stp/>
        <stp>BDH|8213731063650723232</stp>
        <tr r="G26" s="4"/>
      </tp>
      <tp t="s">
        <v>#N/A N/A</v>
        <stp/>
        <stp>BDH|7752215635935761826</stp>
        <tr r="L72" s="4"/>
      </tp>
      <tp t="s">
        <v>#N/A N/A</v>
        <stp/>
        <stp>BDH|5405358846131900885</stp>
        <tr r="H22" s="4"/>
      </tp>
      <tp t="s">
        <v>#N/A N/A</v>
        <stp/>
        <stp>BDH|8501496436453831750</stp>
        <tr r="J6" s="3"/>
        <tr r="J12" s="2"/>
      </tp>
      <tp t="s">
        <v>#N/A N/A</v>
        <stp/>
        <stp>BDH|9641486778026392729</stp>
        <tr r="C46" s="3"/>
        <tr r="C34" s="3"/>
      </tp>
      <tp t="s">
        <v>#N/A N/A</v>
        <stp/>
        <stp>BDH|6184320514466667968</stp>
        <tr r="G56" s="4"/>
      </tp>
      <tp t="s">
        <v>#N/A N/A</v>
        <stp/>
        <stp>BDH|9466535540483634062</stp>
        <tr r="G24" s="2"/>
      </tp>
      <tp t="s">
        <v>#N/A N/A</v>
        <stp/>
        <stp>BDH|5677271262122671829</stp>
        <tr r="D92" s="4"/>
      </tp>
      <tp t="s">
        <v>#N/A N/A</v>
        <stp/>
        <stp>BDH|1693109186774687713</stp>
        <tr r="G40" s="3"/>
      </tp>
      <tp t="s">
        <v>#N/A N/A</v>
        <stp/>
        <stp>BDH|8928198533473476205</stp>
        <tr r="K90" s="4"/>
      </tp>
      <tp t="s">
        <v>#N/A N/A</v>
        <stp/>
        <stp>BDH|5633914348230937326</stp>
        <tr r="D30" s="3"/>
      </tp>
      <tp t="s">
        <v>#N/A N/A</v>
        <stp/>
        <stp>BDH|3964955108764803584</stp>
        <tr r="D43" s="4"/>
      </tp>
      <tp t="s">
        <v>#N/A N/A</v>
        <stp/>
        <stp>BDH|2569353223848063078</stp>
        <tr r="C71" s="3"/>
      </tp>
      <tp t="s">
        <v>#N/A N/A</v>
        <stp/>
        <stp>BDH|6955049706259905460</stp>
        <tr r="H14" s="3"/>
      </tp>
      <tp t="s">
        <v>#N/A N/A</v>
        <stp/>
        <stp>BDH|1082872671161200418</stp>
        <tr r="F9" s="2"/>
      </tp>
      <tp t="s">
        <v>#N/A N/A</v>
        <stp/>
        <stp>BDH|8068034890043034963</stp>
        <tr r="D18" s="4"/>
      </tp>
      <tp t="s">
        <v>#N/A N/A</v>
        <stp/>
        <stp>BDH|2664216402252701977</stp>
        <tr r="J14" s="4"/>
      </tp>
      <tp t="s">
        <v>#N/A N/A</v>
        <stp/>
        <stp>BDH|1947309446644251983</stp>
        <tr r="D61" s="5"/>
      </tp>
      <tp t="s">
        <v>#N/A N/A</v>
        <stp/>
        <stp>BDH|43513740423620489</stp>
        <tr r="C42" s="3"/>
      </tp>
      <tp t="s">
        <v>#N/A N/A</v>
        <stp/>
        <stp>BDH|6657324324307361493</stp>
        <tr r="C27" s="4"/>
      </tp>
      <tp t="s">
        <v>#N/A N/A</v>
        <stp/>
        <stp>BDH|8285373690686812071</stp>
        <tr r="H48" s="4"/>
      </tp>
      <tp t="s">
        <v>#N/A N/A</v>
        <stp/>
        <stp>BDH|6584921797871352381</stp>
        <tr r="L86" s="4"/>
      </tp>
      <tp t="s">
        <v>#N/A N/A</v>
        <stp/>
        <stp>BDH|9729712792606979565</stp>
        <tr r="G94" s="4"/>
      </tp>
      <tp t="s">
        <v>#N/A N/A</v>
        <stp/>
        <stp>BDH|1089355675953890236</stp>
        <tr r="H35" s="5"/>
      </tp>
      <tp t="s">
        <v>#N/A N/A</v>
        <stp/>
        <stp>BDH|2042279094729954415</stp>
        <tr r="K11" s="4"/>
      </tp>
      <tp t="s">
        <v>#N/A N/A</v>
        <stp/>
        <stp>BDH|9885441625068270303</stp>
        <tr r="F13" s="2"/>
      </tp>
      <tp t="s">
        <v>#N/A N/A</v>
        <stp/>
        <stp>BDH|6088581014682420433</stp>
        <tr r="I63" s="5"/>
      </tp>
      <tp t="s">
        <v>#N/A N/A</v>
        <stp/>
        <stp>BDH|2959436297253108849</stp>
        <tr r="F72" s="4"/>
      </tp>
      <tp t="s">
        <v>#N/A N/A</v>
        <stp/>
        <stp>BDH|1828900086546461236</stp>
        <tr r="F8" s="3"/>
      </tp>
      <tp t="s">
        <v>#N/A N/A</v>
        <stp/>
        <stp>BDH|4124359925254902513</stp>
        <tr r="G71" s="4"/>
      </tp>
      <tp t="s">
        <v>#N/A N/A</v>
        <stp/>
        <stp>BDH|4878038722997433536</stp>
        <tr r="G23" s="4"/>
      </tp>
      <tp t="s">
        <v>#N/A N/A</v>
        <stp/>
        <stp>BDH|7108341253857826204</stp>
        <tr r="H90" s="4"/>
      </tp>
      <tp t="s">
        <v>#N/A N/A</v>
        <stp/>
        <stp>BDH|3440286073257673564</stp>
        <tr r="C26" s="4"/>
      </tp>
      <tp t="s">
        <v>#N/A N/A</v>
        <stp/>
        <stp>BDH|6750396443586018323</stp>
        <tr r="E25" s="5"/>
      </tp>
      <tp t="s">
        <v>#N/A N/A</v>
        <stp/>
        <stp>BDH|3885187674366324784</stp>
        <tr r="K68" s="4"/>
      </tp>
      <tp t="s">
        <v>#N/A N/A</v>
        <stp/>
        <stp>BDH|3184015716431973703</stp>
        <tr r="K42" s="5"/>
      </tp>
      <tp t="s">
        <v>#N/A N/A</v>
        <stp/>
        <stp>BDH|9987147787575165143</stp>
        <tr r="E29" s="4"/>
      </tp>
      <tp t="s">
        <v>#N/A N/A</v>
        <stp/>
        <stp>BDH|5205894295322099210</stp>
        <tr r="H18" s="3"/>
      </tp>
      <tp t="s">
        <v>#N/A N/A</v>
        <stp/>
        <stp>BDH|3179330343724415499</stp>
        <tr r="L25" s="5"/>
      </tp>
      <tp t="s">
        <v>#N/A N/A</v>
        <stp/>
        <stp>BDH|6273762497849637593</stp>
        <tr r="D41" s="5"/>
      </tp>
      <tp t="s">
        <v>#N/A N/A</v>
        <stp/>
        <stp>BDH|8255168699701519555</stp>
        <tr r="I61" s="4"/>
      </tp>
      <tp t="s">
        <v>#N/A N/A</v>
        <stp/>
        <stp>BDH|5556546384978526428</stp>
        <tr r="D50" s="3"/>
      </tp>
      <tp t="s">
        <v>#N/A N/A</v>
        <stp/>
        <stp>BDH|5325125562183932580</stp>
        <tr r="D33" s="3"/>
      </tp>
      <tp t="s">
        <v>#N/A N/A</v>
        <stp/>
        <stp>BDH|5125073741525126042</stp>
        <tr r="J64" s="4"/>
      </tp>
      <tp t="s">
        <v>#N/A N/A</v>
        <stp/>
        <stp>BDH|4145757873496788626</stp>
        <tr r="I36" s="3"/>
      </tp>
      <tp t="s">
        <v>#N/A N/A</v>
        <stp/>
        <stp>BDH|7878102171956908321</stp>
        <tr r="F90" s="4"/>
      </tp>
      <tp t="s">
        <v>#N/A N/A</v>
        <stp/>
        <stp>BDH|2538409302290241270</stp>
        <tr r="K34" s="5"/>
      </tp>
      <tp t="s">
        <v>#N/A N/A</v>
        <stp/>
        <stp>BDH|4773935994601421175</stp>
        <tr r="I25" s="3"/>
      </tp>
      <tp t="s">
        <v>#N/A N/A</v>
        <stp/>
        <stp>BDH|6296169802380261372</stp>
        <tr r="G23" s="5"/>
      </tp>
      <tp t="s">
        <v>#N/A N/A</v>
        <stp/>
        <stp>BDH|6182664566674063626</stp>
        <tr r="G54" s="4"/>
      </tp>
      <tp t="s">
        <v>#N/A N/A</v>
        <stp/>
        <stp>BDH|1914781950520627776</stp>
        <tr r="H52" s="4"/>
      </tp>
      <tp t="s">
        <v>#N/A N/A</v>
        <stp/>
        <stp>BDH|5265350127104774477</stp>
        <tr r="J68" s="4"/>
      </tp>
      <tp t="s">
        <v>#N/A N/A</v>
        <stp/>
        <stp>BDH|7958533173550020199</stp>
        <tr r="E33" s="5"/>
      </tp>
      <tp t="s">
        <v>#N/A N/A</v>
        <stp/>
        <stp>BDH|4375368791612347876</stp>
        <tr r="F50" s="4"/>
      </tp>
      <tp t="s">
        <v>#N/A N/A</v>
        <stp/>
        <stp>BDH|8419306491621219760</stp>
        <tr r="K38" s="4"/>
      </tp>
      <tp t="s">
        <v>#N/A N/A</v>
        <stp/>
        <stp>BDH|4681571008921144496</stp>
        <tr r="C66" s="5"/>
      </tp>
      <tp t="s">
        <v>#N/A N/A</v>
        <stp/>
        <stp>BDH|9336947024891447760</stp>
        <tr r="D19" s="4"/>
      </tp>
      <tp t="s">
        <v>#N/A N/A</v>
        <stp/>
        <stp>BDH|1880125982408072493</stp>
        <tr r="E8" s="2"/>
      </tp>
      <tp t="s">
        <v>#N/A N/A</v>
        <stp/>
        <stp>BDH|8881574096041050186</stp>
        <tr r="K65" s="5"/>
      </tp>
      <tp t="s">
        <v>#N/A N/A</v>
        <stp/>
        <stp>BDH|6833437059664459705</stp>
        <tr r="K96" s="4"/>
      </tp>
      <tp t="s">
        <v>#N/A N/A</v>
        <stp/>
        <stp>BDH|8798466211519585034</stp>
        <tr r="D35" s="5"/>
      </tp>
      <tp t="s">
        <v>#N/A N/A</v>
        <stp/>
        <stp>BDH|1500171408636986256</stp>
        <tr r="D55" s="4"/>
      </tp>
      <tp t="s">
        <v>#N/A N/A</v>
        <stp/>
        <stp>BDH|8377366815526715818</stp>
        <tr r="J34" s="5"/>
      </tp>
      <tp t="s">
        <v>#N/A N/A</v>
        <stp/>
        <stp>BDH|1728107126673099576</stp>
        <tr r="F10" s="5"/>
      </tp>
      <tp t="s">
        <v>#N/A N/A</v>
        <stp/>
        <stp>BDH|7647439614296293059</stp>
        <tr r="J20" s="4"/>
      </tp>
      <tp t="s">
        <v>#N/A N/A</v>
        <stp/>
        <stp>BDH|2841624826581837328</stp>
        <tr r="L34" s="5"/>
      </tp>
      <tp t="s">
        <v>#N/A N/A</v>
        <stp/>
        <stp>BDH|2802387206932773777</stp>
        <tr r="J18" s="5"/>
      </tp>
      <tp t="s">
        <v>#N/A N/A</v>
        <stp/>
        <stp>BDH|7146340817759305866</stp>
        <tr r="G60" s="4"/>
      </tp>
      <tp t="s">
        <v>#N/A N/A</v>
        <stp/>
        <stp>BDH|7432202725463713010</stp>
        <tr r="D73" s="4"/>
      </tp>
      <tp t="s">
        <v>#N/A N/A</v>
        <stp/>
        <stp>BDH|9887512356845079882</stp>
        <tr r="G68" s="5"/>
      </tp>
      <tp t="s">
        <v>#N/A N/A</v>
        <stp/>
        <stp>BDH|8773955384579799458</stp>
        <tr r="H71" s="4"/>
      </tp>
      <tp t="s">
        <v>#N/A N/A</v>
        <stp/>
        <stp>BDH|8942016232366904978</stp>
        <tr r="H17" s="5"/>
      </tp>
      <tp t="s">
        <v>#N/A N/A</v>
        <stp/>
        <stp>BDH|1631466014184455448</stp>
        <tr r="L31" s="4"/>
      </tp>
      <tp t="s">
        <v>#N/A N/A</v>
        <stp/>
        <stp>BDH|3307143260633618358</stp>
        <tr r="D7" s="3"/>
      </tp>
      <tp t="s">
        <v>#N/A N/A</v>
        <stp/>
        <stp>BDH|2641459302667122547</stp>
        <tr r="I9" s="5"/>
      </tp>
      <tp t="s">
        <v>#N/A N/A</v>
        <stp/>
        <stp>BDH|6362924198731976356</stp>
        <tr r="D18" s="3"/>
      </tp>
      <tp t="s">
        <v>#N/A N/A</v>
        <stp/>
        <stp>BDH|6225967884802112148</stp>
        <tr r="F63" s="3"/>
      </tp>
      <tp t="s">
        <v>#N/A N/A</v>
        <stp/>
        <stp>BDH|2044024333622636722</stp>
        <tr r="K18" s="4"/>
      </tp>
      <tp t="s">
        <v>#N/A N/A</v>
        <stp/>
        <stp>BDH|6401207206559316945</stp>
        <tr r="C36" s="3"/>
      </tp>
      <tp t="s">
        <v>#N/A N/A</v>
        <stp/>
        <stp>BDH|2785922185811786623</stp>
        <tr r="E62" s="4"/>
      </tp>
      <tp t="s">
        <v>#N/A N/A</v>
        <stp/>
        <stp>BDH|1429177441916621616</stp>
        <tr r="E42" s="3"/>
      </tp>
      <tp t="s">
        <v>#N/A N/A</v>
        <stp/>
        <stp>BDH|6244974042858152730</stp>
        <tr r="K81" s="4"/>
      </tp>
      <tp t="s">
        <v>#N/A N/A</v>
        <stp/>
        <stp>BDH|6084968095387747519</stp>
        <tr r="I36" s="4"/>
      </tp>
      <tp t="s">
        <v>#N/A N/A</v>
        <stp/>
        <stp>BDH|98817301672030316</stp>
        <tr r="I11" s="5"/>
      </tp>
      <tp t="s">
        <v>#N/A N/A</v>
        <stp/>
        <stp>BDH|6775784506395278115</stp>
        <tr r="C19" s="3"/>
      </tp>
      <tp t="s">
        <v>#N/A N/A</v>
        <stp/>
        <stp>BDH|5797084976834465363</stp>
        <tr r="F43" s="5"/>
      </tp>
      <tp t="s">
        <v>#N/A N/A</v>
        <stp/>
        <stp>BDH|7717004549451634735</stp>
        <tr r="H68" s="5"/>
      </tp>
      <tp t="s">
        <v>#N/A N/A</v>
        <stp/>
        <stp>BDH|3137450588372451839</stp>
        <tr r="G88" s="4"/>
      </tp>
      <tp t="s">
        <v>#N/A N/A</v>
        <stp/>
        <stp>BDH|1142263660486632688</stp>
        <tr r="J32" s="3"/>
      </tp>
      <tp t="s">
        <v>#N/A N/A</v>
        <stp/>
        <stp>BDH|3252613145951606594</stp>
        <tr r="F45" s="3"/>
      </tp>
      <tp t="s">
        <v>#N/A N/A</v>
        <stp/>
        <stp>BDH|7076088211346924591</stp>
        <tr r="H13" s="3"/>
      </tp>
      <tp t="s">
        <v>#N/A N/A</v>
        <stp/>
        <stp>BDH|8880841382404392935</stp>
        <tr r="J44" s="4"/>
      </tp>
      <tp t="s">
        <v>#N/A N/A</v>
        <stp/>
        <stp>BDH|2265641756155838164</stp>
        <tr r="K33" s="5"/>
      </tp>
      <tp t="s">
        <v>#N/A N/A</v>
        <stp/>
        <stp>BDH|3370285676476749545</stp>
        <tr r="G61" s="4"/>
      </tp>
      <tp t="s">
        <v>#N/A N/A</v>
        <stp/>
        <stp>BDH|4856276707723779014</stp>
        <tr r="E20" s="3"/>
      </tp>
      <tp t="s">
        <v>#N/A N/A</v>
        <stp/>
        <stp>BDH|1735218900142920413</stp>
        <tr r="I46" s="5"/>
      </tp>
      <tp t="s">
        <v>#N/A N/A</v>
        <stp/>
        <stp>BDH|3797441887019823327</stp>
        <tr r="K15" s="5"/>
      </tp>
      <tp t="s">
        <v>#N/A N/A</v>
        <stp/>
        <stp>BDH|3713064114132318594</stp>
        <tr r="K51" s="5"/>
      </tp>
      <tp t="s">
        <v>#N/A N/A</v>
        <stp/>
        <stp>BDH|5046241110744805735</stp>
        <tr r="C12" s="3"/>
      </tp>
      <tp t="s">
        <v>#N/A N/A</v>
        <stp/>
        <stp>BDH|3223495314564526758</stp>
        <tr r="F95" s="4"/>
      </tp>
      <tp t="s">
        <v>#N/A N/A</v>
        <stp/>
        <stp>BDH|2839224225075390236</stp>
        <tr r="H64" s="3"/>
      </tp>
      <tp t="s">
        <v>#N/A N/A</v>
        <stp/>
        <stp>BDH|9240199139646675889</stp>
        <tr r="E27" s="3"/>
      </tp>
      <tp t="s">
        <v>#N/A N/A</v>
        <stp/>
        <stp>BDH|8709788002992041813</stp>
        <tr r="H66" s="5"/>
      </tp>
      <tp t="s">
        <v>#N/A N/A</v>
        <stp/>
        <stp>BDH|6226353035955848665</stp>
        <tr r="G26" s="3"/>
      </tp>
      <tp t="s">
        <v>#N/A N/A</v>
        <stp/>
        <stp>BDH|1675726038660327028</stp>
        <tr r="G34" s="4"/>
      </tp>
      <tp t="s">
        <v>#N/A N/A</v>
        <stp/>
        <stp>BDH|2782835646539603296</stp>
        <tr r="D76" s="4"/>
      </tp>
      <tp t="s">
        <v>#N/A N/A</v>
        <stp/>
        <stp>BDH|5967578540292899340</stp>
        <tr r="D68" s="3"/>
      </tp>
      <tp t="s">
        <v>#N/A N/A</v>
        <stp/>
        <stp>BDH|7563392819742407236</stp>
        <tr r="D85" s="4"/>
      </tp>
      <tp t="s">
        <v>#N/A N/A</v>
        <stp/>
        <stp>BDH|5898533616746645292</stp>
        <tr r="H50" s="4"/>
      </tp>
      <tp t="s">
        <v>#N/A N/A</v>
        <stp/>
        <stp>BDH|8261747291413463019</stp>
        <tr r="L49" s="4"/>
      </tp>
      <tp t="s">
        <v>#N/A N/A</v>
        <stp/>
        <stp>BDH|2008856232655385965</stp>
        <tr r="G18" s="4"/>
      </tp>
      <tp t="s">
        <v>#N/A N/A</v>
        <stp/>
        <stp>BDH|6406455794718245646</stp>
        <tr r="F56" s="4"/>
      </tp>
      <tp t="s">
        <v>#N/A N/A</v>
        <stp/>
        <stp>BDH|9273233277490515908</stp>
        <tr r="K57" s="5"/>
      </tp>
      <tp t="s">
        <v>#N/A N/A</v>
        <stp/>
        <stp>BDH|9834528449934664968</stp>
        <tr r="L16" s="5"/>
      </tp>
      <tp t="s">
        <v>#N/A N/A</v>
        <stp/>
        <stp>BDH|4339765497138742752</stp>
        <tr r="C7" s="2"/>
      </tp>
      <tp t="s">
        <v>#N/A N/A</v>
        <stp/>
        <stp>BDH|7204517231341432567</stp>
        <tr r="I72" s="4"/>
      </tp>
      <tp t="s">
        <v>#N/A N/A</v>
        <stp/>
        <stp>BDH|7111754991148614436</stp>
        <tr r="I16" s="5"/>
      </tp>
      <tp t="s">
        <v>#N/A N/A</v>
        <stp/>
        <stp>BDH|6966376488331339959</stp>
        <tr r="J21" s="3"/>
      </tp>
      <tp t="s">
        <v>#N/A N/A</v>
        <stp/>
        <stp>BDH|3662021534072792775</stp>
        <tr r="L65" s="5"/>
      </tp>
      <tp t="s">
        <v>#N/A N/A</v>
        <stp/>
        <stp>BDH|7281083254856604189</stp>
        <tr r="K56" s="4"/>
      </tp>
      <tp t="s">
        <v>#N/A N/A</v>
        <stp/>
        <stp>BDH|1467074543065954587</stp>
        <tr r="D15" s="5"/>
      </tp>
      <tp t="s">
        <v>#N/A N/A</v>
        <stp/>
        <stp>BDH|7733995534421202998</stp>
        <tr r="J37" s="4"/>
      </tp>
      <tp t="s">
        <v>#N/A N/A</v>
        <stp/>
        <stp>BDH|6088732831177249015</stp>
        <tr r="C96" s="4"/>
      </tp>
      <tp t="s">
        <v>#N/A N/A</v>
        <stp/>
        <stp>BDH|1444023496704287937</stp>
        <tr r="J70" s="3"/>
      </tp>
      <tp t="s">
        <v>#N/A N/A</v>
        <stp/>
        <stp>BDH|6426559575700508103</stp>
        <tr r="H15" s="4"/>
      </tp>
      <tp t="s">
        <v>#N/A N/A</v>
        <stp/>
        <stp>BDH|7209394258743646736</stp>
        <tr r="D7" s="4"/>
      </tp>
      <tp t="s">
        <v>#N/A N/A</v>
        <stp/>
        <stp>BDH|9840365279718058012</stp>
        <tr r="E11" s="3"/>
        <tr r="E14" s="2"/>
      </tp>
      <tp t="s">
        <v>#N/A N/A</v>
        <stp/>
        <stp>BDH|1837747358866493065</stp>
        <tr r="I64" s="4"/>
      </tp>
      <tp t="s">
        <v>#N/A N/A</v>
        <stp/>
        <stp>BDH|7986916939589479137</stp>
        <tr r="H25" s="3"/>
      </tp>
      <tp t="s">
        <v>#N/A N/A</v>
        <stp/>
        <stp>BDH|2102219382739043445</stp>
        <tr r="G42" s="4"/>
      </tp>
      <tp t="s">
        <v>#N/A N/A</v>
        <stp/>
        <stp>BDH|5974696316393085404</stp>
        <tr r="D31" s="3"/>
      </tp>
      <tp t="s">
        <v>#N/A N/A</v>
        <stp/>
        <stp>BDH|2544950755772037920</stp>
        <tr r="C25" s="5"/>
      </tp>
      <tp t="s">
        <v>#N/A N/A</v>
        <stp/>
        <stp>BDH|3315594288123458811</stp>
        <tr r="H8" s="3"/>
      </tp>
      <tp t="s">
        <v>#N/A N/A</v>
        <stp/>
        <stp>BDH|5143443276025343671</stp>
        <tr r="L26" s="4"/>
      </tp>
      <tp t="s">
        <v>#N/A N/A</v>
        <stp/>
        <stp>BDH|6200884339269206163</stp>
        <tr r="E39" s="3"/>
      </tp>
      <tp t="s">
        <v>#N/A N/A</v>
        <stp/>
        <stp>BDH|3223040841103627167</stp>
        <tr r="G32" s="5"/>
      </tp>
      <tp t="s">
        <v>#N/A N/A</v>
        <stp/>
        <stp>BDH|5636819013940792941</stp>
        <tr r="H68" s="4"/>
      </tp>
      <tp t="s">
        <v>#N/A N/A</v>
        <stp/>
        <stp>BDH|5384585949290508105</stp>
        <tr r="I46" s="4"/>
      </tp>
      <tp t="s">
        <v>#N/A N/A</v>
        <stp/>
        <stp>BDH|5615011882539063129</stp>
        <tr r="G68" s="4"/>
      </tp>
      <tp t="s">
        <v>#N/A N/A</v>
        <stp/>
        <stp>BDH|7808411253927908447</stp>
        <tr r="H27" s="3"/>
      </tp>
      <tp t="s">
        <v>#N/A N/A</v>
        <stp/>
        <stp>BDH|5556245248470974643</stp>
        <tr r="D36" s="5"/>
      </tp>
      <tp t="s">
        <v>#N/A N/A</v>
        <stp/>
        <stp>BDH|5060009215646785766</stp>
        <tr r="G69" s="3"/>
      </tp>
      <tp t="s">
        <v>#N/A N/A</v>
        <stp/>
        <stp>BDH|4403306641037891194</stp>
        <tr r="K33" s="4"/>
      </tp>
      <tp t="s">
        <v>#N/A N/A</v>
        <stp/>
        <stp>BDH|9562956195358750474</stp>
        <tr r="F18" s="4"/>
      </tp>
      <tp t="s">
        <v>#N/A N/A</v>
        <stp/>
        <stp>BDH|4141525561266343443</stp>
        <tr r="C53" s="5"/>
      </tp>
      <tp t="s">
        <v>#N/A N/A</v>
        <stp/>
        <stp>BDH|5084871045938659412</stp>
        <tr r="J19" s="5"/>
        <tr r="H23" s="2"/>
      </tp>
      <tp t="s">
        <v>#N/A N/A</v>
        <stp/>
        <stp>BDH|6641789908231094531</stp>
        <tr r="J10" s="3"/>
      </tp>
      <tp t="s">
        <v>#N/A N/A</v>
        <stp/>
        <stp>BDH|6755330025560239264</stp>
        <tr r="K63" s="4"/>
      </tp>
      <tp t="s">
        <v>#N/A N/A</v>
        <stp/>
        <stp>BDH|1343452419663364164</stp>
        <tr r="C36" s="5"/>
      </tp>
      <tp t="s">
        <v>#N/A N/A</v>
        <stp/>
        <stp>BDH|6799991103249222051</stp>
        <tr r="H41" s="4"/>
      </tp>
      <tp t="s">
        <v>#N/A N/A</v>
        <stp/>
        <stp>BDH|1035256311810643481</stp>
        <tr r="C91" s="4"/>
      </tp>
      <tp t="s">
        <v>#N/A N/A</v>
        <stp/>
        <stp>BDH|3685963964463883968</stp>
        <tr r="L93" s="4"/>
      </tp>
      <tp t="s">
        <v>#N/A N/A</v>
        <stp/>
        <stp>BDH|3258299355945293778</stp>
        <tr r="J95" s="4"/>
      </tp>
      <tp t="s">
        <v>#N/A N/A</v>
        <stp/>
        <stp>BDH|7422949993630891102</stp>
        <tr r="G76" s="4"/>
      </tp>
      <tp t="s">
        <v>#N/A N/A</v>
        <stp/>
        <stp>BDH|6309382226833106272</stp>
        <tr r="F94" s="4"/>
      </tp>
      <tp t="s">
        <v>#N/A N/A</v>
        <stp/>
        <stp>BDH|1040492748952913531</stp>
        <tr r="I67" s="5"/>
      </tp>
      <tp t="s">
        <v>#N/A N/A</v>
        <stp/>
        <stp>BDH|1183686602701505079</stp>
        <tr r="J12" s="4"/>
      </tp>
      <tp t="s">
        <v>#N/A N/A</v>
        <stp/>
        <stp>BDH|3759539914643015294</stp>
        <tr r="G46" s="4"/>
      </tp>
      <tp t="s">
        <v>#N/A N/A</v>
        <stp/>
        <stp>BDH|2177625438276487766</stp>
        <tr r="G63" s="4"/>
      </tp>
      <tp t="s">
        <v>#N/A N/A</v>
        <stp/>
        <stp>BDH|4622381186180523931</stp>
        <tr r="F33" s="3"/>
      </tp>
      <tp t="s">
        <v>#N/A N/A</v>
        <stp/>
        <stp>BDH|6930797449824717703</stp>
        <tr r="I39" s="3"/>
      </tp>
      <tp t="s">
        <v>#N/A N/A</v>
        <stp/>
        <stp>BDH|3504001947063932243</stp>
        <tr r="I71" s="4"/>
      </tp>
      <tp t="s">
        <v>#N/A N/A</v>
        <stp/>
        <stp>BDH|7888966402840309836</stp>
        <tr r="E17" s="3"/>
      </tp>
      <tp t="s">
        <v>#N/A N/A</v>
        <stp/>
        <stp>BDH|3805315729220984444</stp>
        <tr r="G11" s="4"/>
      </tp>
      <tp t="s">
        <v>#N/A N/A</v>
        <stp/>
        <stp>BDH|5739022875545503189</stp>
        <tr r="I19" s="3"/>
      </tp>
      <tp t="s">
        <v>#N/A N/A</v>
        <stp/>
        <stp>BDH|9802874520886718352</stp>
        <tr r="F36" s="4"/>
      </tp>
      <tp t="s">
        <v>#N/A N/A</v>
        <stp/>
        <stp>BDH|8470521285403682079</stp>
        <tr r="G18" s="3"/>
      </tp>
      <tp t="s">
        <v>#N/A N/A</v>
        <stp/>
        <stp>BDH|2341234944880428223</stp>
        <tr r="I10" s="5"/>
      </tp>
      <tp t="s">
        <v>#N/A N/A</v>
        <stp/>
        <stp>BDH|6087347623327032654</stp>
        <tr r="K63" s="5"/>
      </tp>
      <tp t="s">
        <v>#N/A N/A</v>
        <stp/>
        <stp>BDH|4731353440830704575</stp>
        <tr r="E53" s="4"/>
      </tp>
      <tp t="s">
        <v>#N/A N/A</v>
        <stp/>
        <stp>BDH|5397806163169763448</stp>
        <tr r="L45" s="5"/>
      </tp>
      <tp t="s">
        <v>#N/A N/A</v>
        <stp/>
        <stp>BDH|8175156980390292750</stp>
        <tr r="F50" s="3"/>
      </tp>
      <tp t="s">
        <v>#N/A N/A</v>
        <stp/>
        <stp>BDH|5942273669140142759</stp>
        <tr r="H46" s="4"/>
      </tp>
      <tp t="s">
        <v>#N/A N/A</v>
        <stp/>
        <stp>BDH|1698032759560626292</stp>
        <tr r="K10" s="5"/>
      </tp>
      <tp t="s">
        <v>#N/A N/A</v>
        <stp/>
        <stp>BDH|2910904307245735899</stp>
        <tr r="G22" s="4"/>
      </tp>
      <tp t="s">
        <v>#N/A N/A</v>
        <stp/>
        <stp>BDH|6936287747024235255</stp>
        <tr r="I30" s="3"/>
      </tp>
      <tp t="s">
        <v>#N/A N/A</v>
        <stp/>
        <stp>BDH|2335776216845095731</stp>
        <tr r="J47" s="4"/>
      </tp>
      <tp t="s">
        <v>#N/A N/A</v>
        <stp/>
        <stp>BDH|7496446236173163564</stp>
        <tr r="E24" s="5"/>
      </tp>
      <tp t="s">
        <v>#N/A N/A</v>
        <stp/>
        <stp>BDH|5693218787519076064</stp>
        <tr r="J19" s="4"/>
      </tp>
      <tp t="s">
        <v>#N/A N/A</v>
        <stp/>
        <stp>BDH|5101627336594561263</stp>
        <tr r="H55" s="3"/>
      </tp>
      <tp t="s">
        <v>#N/A N/A</v>
        <stp/>
        <stp>BDH|6077324513073247151</stp>
        <tr r="G44" s="3"/>
        <tr r="G18" s="2"/>
      </tp>
      <tp t="s">
        <v>#N/A N/A</v>
        <stp/>
        <stp>BDH|7284529896754123912</stp>
        <tr r="D63" s="5"/>
      </tp>
      <tp t="s">
        <v>#N/A N/A</v>
        <stp/>
        <stp>BDH|8260168129774319983</stp>
        <tr r="G10" s="3"/>
      </tp>
      <tp t="s">
        <v>#N/A N/A</v>
        <stp/>
        <stp>BDH|4278155201693735064</stp>
        <tr r="F50" s="5"/>
      </tp>
      <tp t="s">
        <v>#N/A N/A</v>
        <stp/>
        <stp>BDH|1745681800320178194</stp>
        <tr r="K12" s="5"/>
      </tp>
      <tp t="s">
        <v>#N/A N/A</v>
        <stp/>
        <stp>BDH|4283552869617002698</stp>
        <tr r="D57" s="5"/>
      </tp>
      <tp t="s">
        <v>#N/A N/A</v>
        <stp/>
        <stp>BDH|5918818379478616405</stp>
        <tr r="D47" s="5"/>
      </tp>
      <tp t="s">
        <v>#N/A N/A</v>
        <stp/>
        <stp>BDH|5489673041540745120</stp>
        <tr r="G30" s="3"/>
      </tp>
      <tp t="s">
        <v>#N/A N/A</v>
        <stp/>
        <stp>BDH|1545578441364576215</stp>
        <tr r="C50" s="5"/>
      </tp>
      <tp t="s">
        <v>#N/A N/A</v>
        <stp/>
        <stp>BDH|1370145007991078770</stp>
        <tr r="E78" s="4"/>
      </tp>
      <tp t="s">
        <v>#N/A N/A</v>
        <stp/>
        <stp>BDH|7936307613230981340</stp>
        <tr r="J53" s="4"/>
      </tp>
      <tp t="s">
        <v>#N/A N/A</v>
        <stp/>
        <stp>BDH|1496463175963627755</stp>
        <tr r="G9" s="3"/>
      </tp>
      <tp t="s">
        <v>#N/A N/A</v>
        <stp/>
        <stp>BDH|2563474710008169970</stp>
        <tr r="E43" s="4"/>
      </tp>
      <tp t="s">
        <v>#N/A N/A</v>
        <stp/>
        <stp>BDH|9496236194084030072</stp>
        <tr r="G33" s="3"/>
      </tp>
      <tp t="s">
        <v>#N/A N/A</v>
        <stp/>
        <stp>BDH|6272973440134802987</stp>
        <tr r="G58" s="4"/>
      </tp>
      <tp t="s">
        <v>#N/A N/A</v>
        <stp/>
        <stp>BDH|3033712851604272372</stp>
        <tr r="I25" s="5"/>
      </tp>
      <tp t="s">
        <v>#N/A N/A</v>
        <stp/>
        <stp>BDH|6857303969571494400</stp>
        <tr r="J65" s="4"/>
      </tp>
      <tp t="s">
        <v>#N/A N/A</v>
        <stp/>
        <stp>BDH|8311543684183179184</stp>
        <tr r="H24" s="4"/>
      </tp>
      <tp t="s">
        <v>#N/A N/A</v>
        <stp/>
        <stp>BDH|6245991564756257873</stp>
        <tr r="K13" s="4"/>
      </tp>
      <tp t="s">
        <v>#N/A N/A</v>
        <stp/>
        <stp>BDH|4863739844061557107</stp>
        <tr r="D17" s="3"/>
      </tp>
      <tp t="s">
        <v>#N/A N/A</v>
        <stp/>
        <stp>BDH|3625599104838270938</stp>
        <tr r="E27" s="5"/>
      </tp>
      <tp t="s">
        <v>#N/A N/A</v>
        <stp/>
        <stp>BDH|4871985280150857229</stp>
        <tr r="F68" s="5"/>
      </tp>
      <tp t="s">
        <v>#N/A N/A</v>
        <stp/>
        <stp>BDH|1711674216956469785</stp>
        <tr r="I8" s="3"/>
      </tp>
      <tp t="s">
        <v>#N/A N/A</v>
        <stp/>
        <stp>BDH|1751393370744759620</stp>
        <tr r="K67" s="5"/>
      </tp>
      <tp t="s">
        <v>#N/A N/A</v>
        <stp/>
        <stp>BDH|5184266602255634587</stp>
        <tr r="K43" s="4"/>
      </tp>
      <tp t="s">
        <v>#N/A N/A</v>
        <stp/>
        <stp>BDH|9770800513266989165</stp>
        <tr r="J33" s="4"/>
      </tp>
      <tp t="s">
        <v>#N/A N/A</v>
        <stp/>
        <stp>BDH|2933003141716305709</stp>
        <tr r="L75" s="4"/>
      </tp>
      <tp t="s">
        <v>#N/A N/A</v>
        <stp/>
        <stp>BDH|2904573783060028853</stp>
        <tr r="F69" s="4"/>
      </tp>
      <tp t="s">
        <v>#N/A N/A</v>
        <stp/>
        <stp>BDH|9953924596686682838</stp>
        <tr r="E70" s="3"/>
      </tp>
      <tp t="s">
        <v>#N/A N/A</v>
        <stp/>
        <stp>BDH|7465675737957908251</stp>
        <tr r="H9" s="3"/>
      </tp>
      <tp t="s">
        <v>#N/A N/A</v>
        <stp/>
        <stp>BDH|9167912468612892386</stp>
        <tr r="J60" s="3"/>
        <tr r="J16" s="2"/>
      </tp>
      <tp t="s">
        <v>#N/A N/A</v>
        <stp/>
        <stp>BDH|7786488175045671657</stp>
        <tr r="J56" s="3"/>
        <tr r="J20" s="2"/>
      </tp>
      <tp t="s">
        <v>#N/A N/A</v>
        <stp/>
        <stp>BDH|3181558718099359967</stp>
        <tr r="D38" s="4"/>
      </tp>
      <tp t="s">
        <v>#N/A N/A</v>
        <stp/>
        <stp>BDH|4883306578083141488</stp>
        <tr r="I7" s="4"/>
      </tp>
      <tp t="s">
        <v>#N/A N/A</v>
        <stp/>
        <stp>BDH|5177896133750298909</stp>
        <tr r="E71" s="3"/>
      </tp>
      <tp t="s">
        <v>#N/A N/A</v>
        <stp/>
        <stp>BDH|2311551028540254221</stp>
        <tr r="E11" s="5"/>
      </tp>
      <tp t="s">
        <v>#N/A N/A</v>
        <stp/>
        <stp>BDH|9739031273760862913</stp>
        <tr r="E12" s="5"/>
      </tp>
      <tp t="s">
        <v>#N/A N/A</v>
        <stp/>
        <stp>BDH|4134780956674893595</stp>
        <tr r="K29" s="4"/>
      </tp>
      <tp t="s">
        <v>#N/A N/A</v>
        <stp/>
        <stp>BDH|6758924996297902648</stp>
        <tr r="I90" s="4"/>
      </tp>
      <tp t="s">
        <v>#N/A N/A</v>
        <stp/>
        <stp>BDH|4780879068515330845</stp>
        <tr r="D58" s="4"/>
      </tp>
      <tp t="s">
        <v>#N/A N/A</v>
        <stp/>
        <stp>BDH|6734092612335460576</stp>
        <tr r="I65" s="5"/>
      </tp>
      <tp t="s">
        <v>#N/A N/A</v>
        <stp/>
        <stp>BDH|5926533222336683310</stp>
        <tr r="I52" s="4"/>
      </tp>
      <tp t="s">
        <v>#N/A N/A</v>
        <stp/>
        <stp>BDH|2800428405800191115</stp>
        <tr r="C43" s="5"/>
      </tp>
      <tp t="s">
        <v>#N/A N/A</v>
        <stp/>
        <stp>BDH|4334717309221702505</stp>
        <tr r="F18" s="5"/>
      </tp>
      <tp t="s">
        <v>#N/A N/A</v>
        <stp/>
        <stp>BDH|5647431226931603599</stp>
        <tr r="L77" s="4"/>
      </tp>
      <tp t="s">
        <v>#N/A N/A</v>
        <stp/>
        <stp>BDH|5807763002657843285</stp>
        <tr r="D44" s="4"/>
      </tp>
      <tp t="s">
        <v>#N/A N/A</v>
        <stp/>
        <stp>BDH|1546267239236399151</stp>
        <tr r="J38" s="3"/>
      </tp>
      <tp t="s">
        <v>#N/A N/A</v>
        <stp/>
        <stp>BDH|6239464338147794172</stp>
        <tr r="G51" s="4"/>
      </tp>
      <tp t="s">
        <v>#N/A N/A</v>
        <stp/>
        <stp>BDH|4679955631689371034</stp>
        <tr r="C95" s="4"/>
      </tp>
      <tp t="s">
        <v>#N/A N/A</v>
        <stp/>
        <stp>BDH|6281322260172756654</stp>
        <tr r="C31" s="3"/>
      </tp>
      <tp t="s">
        <v>#N/A N/A</v>
        <stp/>
        <stp>BDH|5708600463696200457</stp>
        <tr r="J28" s="5"/>
      </tp>
      <tp t="s">
        <v>#N/A N/A</v>
        <stp/>
        <stp>BDH|3860041133017973050</stp>
        <tr r="E79" s="4"/>
      </tp>
      <tp t="s">
        <v>#N/A N/A</v>
        <stp/>
        <stp>BDH|8696226140078445138</stp>
        <tr r="F51" s="3"/>
      </tp>
      <tp t="s">
        <v>#N/A N/A</v>
        <stp/>
        <stp>BDH|8282811350507997596</stp>
        <tr r="C49" s="5"/>
      </tp>
      <tp t="s">
        <v>#N/A N/A</v>
        <stp/>
        <stp>BDH|4688707390719421418</stp>
        <tr r="G39" s="3"/>
      </tp>
      <tp t="s">
        <v>#N/A N/A</v>
        <stp/>
        <stp>BDH|5002705343434014505</stp>
        <tr r="C15" s="4"/>
      </tp>
      <tp t="s">
        <v>#N/A N/A</v>
        <stp/>
        <stp>BDH|3903432608971989186</stp>
        <tr r="J31" s="4"/>
      </tp>
      <tp t="s">
        <v>#N/A N/A</v>
        <stp/>
        <stp>BDH|6228174534862537170</stp>
        <tr r="G8" s="4"/>
      </tp>
      <tp t="s">
        <v>#N/A N/A</v>
        <stp/>
        <stp>BDH|9774979544743624017</stp>
        <tr r="D28" s="3"/>
      </tp>
      <tp t="s">
        <v>#N/A N/A</v>
        <stp/>
        <stp>BDH|2820463309430137166</stp>
        <tr r="F35" s="5"/>
      </tp>
      <tp t="s">
        <v>#N/A N/A</v>
        <stp/>
        <stp>BDH|7341005113890114116</stp>
        <tr r="I12" s="4"/>
      </tp>
      <tp t="s">
        <v>#N/A N/A</v>
        <stp/>
        <stp>BDH|5355943640299742615</stp>
        <tr r="H65" s="5"/>
      </tp>
      <tp t="s">
        <v>#N/A N/A</v>
        <stp/>
        <stp>BDH|3714077527204158277</stp>
        <tr r="L58" s="4"/>
      </tp>
      <tp t="s">
        <v>#N/A N/A</v>
        <stp/>
        <stp>BDH|1701569714140188259</stp>
        <tr r="I54" s="4"/>
      </tp>
      <tp t="s">
        <v>#N/A N/A</v>
        <stp/>
        <stp>BDH|7862601627245714199</stp>
        <tr r="H69" s="4"/>
      </tp>
      <tp t="s">
        <v>#N/A N/A</v>
        <stp/>
        <stp>BDH|2038264680468458744</stp>
        <tr r="C33" s="5"/>
      </tp>
      <tp t="s">
        <v>#N/A N/A</v>
        <stp/>
        <stp>BDH|8320994048140621220</stp>
        <tr r="L19" s="5"/>
        <tr r="J23" s="2"/>
      </tp>
      <tp t="s">
        <v>#N/A N/A</v>
        <stp/>
        <stp>BDH|7184977122912475966</stp>
        <tr r="F64" s="5"/>
        <tr r="D25" s="2"/>
      </tp>
      <tp t="s">
        <v>#N/A N/A</v>
        <stp/>
        <stp>BDH|6605834683734846581</stp>
        <tr r="J15" s="3"/>
      </tp>
      <tp t="s">
        <v>#N/A N/A</v>
        <stp/>
        <stp>BDH|6157229717062412065</stp>
        <tr r="E80" s="4"/>
      </tp>
      <tp t="s">
        <v>#N/A N/A</v>
        <stp/>
        <stp>BDH|5677466472423282265</stp>
        <tr r="J55" s="5"/>
      </tp>
      <tp t="s">
        <v>#N/A N/A</v>
        <stp/>
        <stp>BDH|2425888959438163023</stp>
        <tr r="I51" s="4"/>
      </tp>
      <tp t="s">
        <v>#N/A N/A</v>
        <stp/>
        <stp>BDH|5208309808118824945</stp>
        <tr r="D22" s="3"/>
      </tp>
      <tp t="s">
        <v>#N/A N/A</v>
        <stp/>
        <stp>BDH|4045119850204024373</stp>
        <tr r="I48" s="3"/>
      </tp>
      <tp t="s">
        <v>#N/A N/A</v>
        <stp/>
        <stp>BDH|9254920902615287265</stp>
        <tr r="G62" s="3"/>
      </tp>
      <tp t="s">
        <v>#N/A N/A</v>
        <stp/>
        <stp>BDH|8499050875489286116</stp>
        <tr r="D22" s="5"/>
      </tp>
      <tp t="s">
        <v>#N/A N/A</v>
        <stp/>
        <stp>BDH|8959119793590946758</stp>
        <tr r="F71" s="3"/>
      </tp>
      <tp t="s">
        <v>#N/A N/A</v>
        <stp/>
        <stp>BDH|6026574764550664223</stp>
        <tr r="J40" s="3"/>
      </tp>
      <tp t="s">
        <v>#N/A N/A</v>
        <stp/>
        <stp>BDH|2860917199761674420</stp>
        <tr r="J10" s="5"/>
      </tp>
      <tp t="s">
        <v>#N/A N/A</v>
        <stp/>
        <stp>BDH|2587469162642105544</stp>
        <tr r="G67" s="3"/>
      </tp>
      <tp t="s">
        <v>#N/A N/A</v>
        <stp/>
        <stp>BDH|5160756999895959909</stp>
        <tr r="D42" s="3"/>
      </tp>
      <tp t="s">
        <v>#N/A N/A</v>
        <stp/>
        <stp>BDH|6640552908043685799</stp>
        <tr r="L11" s="4"/>
      </tp>
      <tp t="s">
        <v>#N/A N/A</v>
        <stp/>
        <stp>BDH|4605625388985123898</stp>
        <tr r="H25" s="5"/>
      </tp>
      <tp t="s">
        <v>#N/A N/A</v>
        <stp/>
        <stp>BDH|1751820501457224929</stp>
        <tr r="H86" s="4"/>
      </tp>
      <tp t="s">
        <v>#N/A N/A</v>
        <stp/>
        <stp>BDH|4909500919344783337</stp>
        <tr r="C19" s="4"/>
      </tp>
      <tp t="s">
        <v>#N/A N/A</v>
        <stp/>
        <stp>BDH|7292546701817661240</stp>
        <tr r="D55" s="5"/>
      </tp>
      <tp t="s">
        <v>#N/A N/A</v>
        <stp/>
        <stp>BDH|4876695321863095456</stp>
        <tr r="K66" s="4"/>
      </tp>
      <tp t="s">
        <v>#N/A N/A</v>
        <stp/>
        <stp>BDH|4381204178846769096</stp>
        <tr r="L14" s="4"/>
      </tp>
      <tp t="s">
        <v>#N/A N/A</v>
        <stp/>
        <stp>BDH|7989355317495855764</stp>
        <tr r="C7" s="3"/>
      </tp>
      <tp t="s">
        <v>#N/A N/A</v>
        <stp/>
        <stp>BDH|1072532013732604039</stp>
        <tr r="E46" s="3"/>
        <tr r="E34" s="3"/>
      </tp>
      <tp t="s">
        <v>#N/A N/A</v>
        <stp/>
        <stp>BDH|6427609951430625262</stp>
        <tr r="K14" s="4"/>
      </tp>
      <tp t="s">
        <v>#N/A N/A</v>
        <stp/>
        <stp>BDH|4480023368515260769</stp>
        <tr r="D41" s="4"/>
      </tp>
      <tp t="s">
        <v>#N/A N/A</v>
        <stp/>
        <stp>BDH|4245446034770902318</stp>
        <tr r="E22" s="3"/>
      </tp>
      <tp t="s">
        <v>#N/A N/A</v>
        <stp/>
        <stp>BDH|7297337092469959403</stp>
        <tr r="J50" s="3"/>
      </tp>
      <tp t="s">
        <v>#N/A N/A</v>
        <stp/>
        <stp>BDH|4778117352406806671</stp>
        <tr r="K37" s="4"/>
      </tp>
      <tp t="s">
        <v>#N/A N/A</v>
        <stp/>
        <stp>BDH|7822406208352878135</stp>
        <tr r="K38" s="5"/>
      </tp>
      <tp t="s">
        <v>#N/A N/A</v>
        <stp/>
        <stp>BDH|7132227791579115584</stp>
        <tr r="D62" s="5"/>
      </tp>
      <tp t="s">
        <v>#N/A N/A</v>
        <stp/>
        <stp>BDH|8214997126090046364</stp>
        <tr r="J51" s="5"/>
      </tp>
      <tp t="s">
        <v>#N/A N/A</v>
        <stp/>
        <stp>BDH|2753736919921615502</stp>
        <tr r="F35" s="4"/>
      </tp>
      <tp t="s">
        <v>#N/A N/A</v>
        <stp/>
        <stp>BDH|6096319629555289215</stp>
        <tr r="I68" s="3"/>
      </tp>
      <tp t="s">
        <v>#N/A N/A</v>
        <stp/>
        <stp>BDH|7438933688354380275</stp>
        <tr r="E30" s="4"/>
      </tp>
      <tp t="s">
        <v>#N/A N/A</v>
        <stp/>
        <stp>BDH|6106351662187766492</stp>
        <tr r="L36" s="4"/>
      </tp>
      <tp t="s">
        <v>#N/A N/A</v>
        <stp/>
        <stp>BDH|5226075324374108382</stp>
        <tr r="H19" s="4"/>
      </tp>
      <tp t="s">
        <v>#N/A N/A</v>
        <stp/>
        <stp>BDH|1457416607603276688</stp>
        <tr r="F15" s="5"/>
      </tp>
      <tp t="s">
        <v>#N/A N/A</v>
        <stp/>
        <stp>BDH|5525789514650767367</stp>
        <tr r="D91" s="4"/>
      </tp>
      <tp t="s">
        <v>#N/A N/A</v>
        <stp/>
        <stp>BDH|8056527885276638382</stp>
        <tr r="I96" s="4"/>
      </tp>
      <tp t="s">
        <v>#N/A N/A</v>
        <stp/>
        <stp>BDH|5803358817134637359</stp>
        <tr r="I67" s="4"/>
      </tp>
      <tp t="s">
        <v>#N/A N/A</v>
        <stp/>
        <stp>BDH|3282393457310318562</stp>
        <tr r="C36" s="4"/>
      </tp>
      <tp t="s">
        <v>#N/A N/A</v>
        <stp/>
        <stp>BDH|9958744100416627854</stp>
        <tr r="K9" s="5"/>
      </tp>
      <tp t="s">
        <v>#N/A N/A</v>
        <stp/>
        <stp>BDH|2441401834825772098</stp>
        <tr r="J13" s="5"/>
      </tp>
      <tp t="s">
        <v>#N/A N/A</v>
        <stp/>
        <stp>BDH|2160279678367076004</stp>
        <tr r="G30" s="5"/>
      </tp>
      <tp t="s">
        <v>#N/A N/A</v>
        <stp/>
        <stp>BDH|4785343720703517699</stp>
        <tr r="H7" s="3"/>
      </tp>
      <tp t="s">
        <v>#N/A N/A</v>
        <stp/>
        <stp>BDH|9023189543064377876</stp>
        <tr r="G44" s="5"/>
      </tp>
      <tp t="s">
        <v>#N/A N/A</v>
        <stp/>
        <stp>BDH|4169680178096818346</stp>
        <tr r="I66" s="4"/>
      </tp>
      <tp t="s">
        <v>#N/A N/A</v>
        <stp/>
        <stp>BDH|5274694226132851385</stp>
        <tr r="F67" s="3"/>
      </tp>
      <tp t="s">
        <v>#N/A N/A</v>
        <stp/>
        <stp>BDH|9615953127570150285</stp>
        <tr r="F11" s="3"/>
        <tr r="F14" s="2"/>
      </tp>
      <tp t="s">
        <v>#N/A N/A</v>
        <stp/>
        <stp>BDH|6809572635283345349</stp>
        <tr r="F54" s="3"/>
      </tp>
      <tp t="s">
        <v>#N/A N/A</v>
        <stp/>
        <stp>BDH|2227347309938435995</stp>
        <tr r="H19" s="3"/>
      </tp>
      <tp t="s">
        <v>#N/A N/A</v>
        <stp/>
        <stp>BDH|3169890984991971274</stp>
        <tr r="I44" s="4"/>
      </tp>
      <tp t="s">
        <v>#N/A N/A</v>
        <stp/>
        <stp>BDH|9658044135708482206</stp>
        <tr r="H29" s="5"/>
      </tp>
      <tp t="s">
        <v>#N/A N/A</v>
        <stp/>
        <stp>BDH|8211173655608156410</stp>
        <tr r="I48" s="5"/>
      </tp>
      <tp t="s">
        <v>#N/A N/A</v>
        <stp/>
        <stp>BDH|7852457716010977224</stp>
        <tr r="J77" s="4"/>
      </tp>
      <tp t="s">
        <v>#N/A N/A</v>
        <stp/>
        <stp>BDH|4364437800794601463</stp>
        <tr r="G46" s="5"/>
      </tp>
      <tp t="s">
        <v>#N/A N/A</v>
        <stp/>
        <stp>BDH|4625688737740922108</stp>
        <tr r="E26" s="5"/>
      </tp>
      <tp t="s">
        <v>#N/A N/A</v>
        <stp/>
        <stp>BDH|5401148822544222209</stp>
        <tr r="H68" s="3"/>
      </tp>
      <tp t="s">
        <v>#N/A N/A</v>
        <stp/>
        <stp>BDH|7261219711371757555</stp>
        <tr r="H17" s="4"/>
      </tp>
      <tp t="s">
        <v>#N/A N/A</v>
        <stp/>
        <stp>BDH|6908568568704483123</stp>
        <tr r="H8" s="2"/>
      </tp>
      <tp t="s">
        <v>#N/A N/A</v>
        <stp/>
        <stp>BDH|1193621845164576729</stp>
        <tr r="D39" s="3"/>
      </tp>
      <tp t="s">
        <v>#N/A N/A</v>
        <stp/>
        <stp>BDH|3738445040423298003</stp>
        <tr r="L51" s="4"/>
      </tp>
      <tp t="s">
        <v>#N/A N/A</v>
        <stp/>
        <stp>BDH|7158403557000622662</stp>
        <tr r="H10" s="2"/>
      </tp>
      <tp t="s">
        <v>#N/A N/A</v>
        <stp/>
        <stp>BDH|8235411791396651322</stp>
        <tr r="H35" s="4"/>
      </tp>
      <tp t="s">
        <v>#N/A N/A</v>
        <stp/>
        <stp>BDH|5501240713486232069</stp>
        <tr r="H18" s="4"/>
      </tp>
      <tp t="s">
        <v>#N/A N/A</v>
        <stp/>
        <stp>BDH|4709211053851196233</stp>
        <tr r="D77" s="4"/>
      </tp>
      <tp t="s">
        <v>#N/A N/A</v>
        <stp/>
        <stp>BDH|5389260321620513567</stp>
        <tr r="C9" s="2"/>
      </tp>
      <tp t="s">
        <v>#N/A N/A</v>
        <stp/>
        <stp>BDH|5671339900690019618</stp>
        <tr r="I17" s="3"/>
      </tp>
      <tp t="s">
        <v>#N/A N/A</v>
        <stp/>
        <stp>BDH|6111502762505535027</stp>
        <tr r="F92" s="4"/>
      </tp>
      <tp t="s">
        <v>#N/A N/A</v>
        <stp/>
        <stp>BDH|2617103563505917082</stp>
        <tr r="F61" s="3"/>
      </tp>
      <tp t="s">
        <v>#N/A N/A</v>
        <stp/>
        <stp>BDH|4796517997061589901</stp>
        <tr r="F13" s="5"/>
      </tp>
      <tp t="s">
        <v>#N/A N/A</v>
        <stp/>
        <stp>BDH|7599526445542653407</stp>
        <tr r="F23" s="3"/>
      </tp>
      <tp t="s">
        <v>#N/A N/A</v>
        <stp/>
        <stp>BDH|8375928403049048865</stp>
        <tr r="C41" s="3"/>
      </tp>
      <tp t="s">
        <v>#N/A N/A</v>
        <stp/>
        <stp>BDH|2036187097623263982</stp>
        <tr r="J12" s="5"/>
      </tp>
      <tp t="s">
        <v>#N/A N/A</v>
        <stp/>
        <stp>BDH|3053522842612746023</stp>
        <tr r="L35" s="4"/>
      </tp>
      <tp t="s">
        <v>#N/A N/A</v>
        <stp/>
        <stp>BDH|7939625622431807244</stp>
        <tr r="F67" s="4"/>
      </tp>
      <tp t="s">
        <v>#N/A N/A</v>
        <stp/>
        <stp>BDH|7460171910972227544</stp>
        <tr r="H33" s="5"/>
      </tp>
      <tp t="s">
        <v>#N/A N/A</v>
        <stp/>
        <stp>BDH|6726376252936749604</stp>
        <tr r="I35" s="5"/>
      </tp>
      <tp t="s">
        <v>#N/A N/A</v>
        <stp/>
        <stp>BDH|83876815824827063</stp>
        <tr r="C86" s="4"/>
      </tp>
      <tp t="s">
        <v>#N/A N/A</v>
        <stp/>
        <stp>BDH|5283376903303887445</stp>
        <tr r="F46" s="5"/>
      </tp>
      <tp t="s">
        <v>#N/A N/A</v>
        <stp/>
        <stp>BDH|3342448504193141589</stp>
        <tr r="L71" s="4"/>
      </tp>
      <tp t="s">
        <v>#N/A N/A</v>
        <stp/>
        <stp>BDH|9834850144173487775</stp>
        <tr r="E13" s="4"/>
      </tp>
      <tp t="s">
        <v>#N/A N/A</v>
        <stp/>
        <stp>BDH|7190353977765813713</stp>
        <tr r="E22" s="5"/>
      </tp>
      <tp t="s">
        <v>#N/A N/A</v>
        <stp/>
        <stp>BDH|5477108910775648196</stp>
        <tr r="I26" s="5"/>
      </tp>
      <tp t="s">
        <v>#N/A N/A</v>
        <stp/>
        <stp>BDH|2164244519016616629</stp>
        <tr r="I69" s="3"/>
      </tp>
      <tp t="s">
        <v>#N/A N/A</v>
        <stp/>
        <stp>BDH|4872057275423321125</stp>
        <tr r="L46" s="4"/>
      </tp>
      <tp t="s">
        <v>#N/A N/A</v>
        <stp/>
        <stp>BDH|7489090847796394401</stp>
        <tr r="H24" s="3"/>
      </tp>
      <tp t="s">
        <v>#N/A N/A</v>
        <stp/>
        <stp>BDH|1561244589333005919</stp>
        <tr r="J30" s="5"/>
      </tp>
      <tp t="s">
        <v>#N/A N/A</v>
        <stp/>
        <stp>BDH|5366998793840423448</stp>
        <tr r="E93" s="4"/>
      </tp>
      <tp t="s">
        <v>#N/A N/A</v>
        <stp/>
        <stp>BDH|4906094911980811402</stp>
        <tr r="L9" s="5"/>
      </tp>
      <tp t="s">
        <v>#N/A N/A</v>
        <stp/>
        <stp>BDH|3460778822384793385</stp>
        <tr r="J23" s="3"/>
      </tp>
      <tp t="s">
        <v>#N/A N/A</v>
        <stp/>
        <stp>BDH|6940190719234233357</stp>
        <tr r="D57" s="4"/>
      </tp>
      <tp t="s">
        <v>#N/A N/A</v>
        <stp/>
        <stp>BDH|7023761174866834054</stp>
        <tr r="C64" s="5"/>
      </tp>
      <tp t="s">
        <v>#N/A N/A</v>
        <stp/>
        <stp>BDH|1669837115859655090</stp>
        <tr r="I13" s="2"/>
      </tp>
      <tp t="s">
        <v>#N/A N/A</v>
        <stp/>
        <stp>BDH|7765084852783244033</stp>
        <tr r="L28" s="4"/>
      </tp>
      <tp t="s">
        <v>#N/A N/A</v>
        <stp/>
        <stp>BDH|2684000452392893400</stp>
        <tr r="F93" s="4"/>
      </tp>
      <tp t="s">
        <v>#N/A N/A</v>
        <stp/>
        <stp>BDH|9003722674509371194</stp>
        <tr r="F67" s="5"/>
      </tp>
      <tp t="s">
        <v>#N/A N/A</v>
        <stp/>
        <stp>BDH|6955091267065262483</stp>
        <tr r="E59" s="4"/>
      </tp>
      <tp t="s">
        <v>#N/A N/A</v>
        <stp/>
        <stp>BDH|1181327829359064879</stp>
        <tr r="I87" s="4"/>
      </tp>
      <tp t="s">
        <v>#N/A N/A</v>
        <stp/>
        <stp>BDH|3237342505938945976</stp>
        <tr r="C22" s="3"/>
      </tp>
      <tp t="s">
        <v>#N/A N/A</v>
        <stp/>
        <stp>BDH|2467669096478365459</stp>
        <tr r="D51" s="5"/>
      </tp>
      <tp t="s">
        <v>#N/A N/A</v>
        <stp/>
        <stp>BDH|7016326216805722111</stp>
        <tr r="C54" s="3"/>
      </tp>
      <tp t="s">
        <v>#N/A N/A</v>
        <stp/>
        <stp>BDH|7578613966705279336</stp>
        <tr r="F10" s="4"/>
      </tp>
      <tp t="s">
        <v>#N/A N/A</v>
        <stp/>
        <stp>BDH|9530914655237276333</stp>
        <tr r="L60" s="4"/>
      </tp>
      <tp t="s">
        <v>#N/A N/A</v>
        <stp/>
        <stp>BDH|5612656223518166814</stp>
        <tr r="H43" s="5"/>
      </tp>
      <tp t="s">
        <v>#N/A N/A</v>
        <stp/>
        <stp>BDH|5139687674115523082</stp>
        <tr r="K50" s="5"/>
      </tp>
      <tp t="s">
        <v>#N/A N/A</v>
        <stp/>
        <stp>BDH|4049730912974837797</stp>
        <tr r="I66" s="3"/>
      </tp>
      <tp t="s">
        <v>#N/A N/A</v>
        <stp/>
        <stp>BDH|7889005470008824902</stp>
        <tr r="F76" s="4"/>
      </tp>
      <tp t="s">
        <v>#N/A N/A</v>
        <stp/>
        <stp>BDH|2861184409470968214</stp>
        <tr r="G69" s="5"/>
      </tp>
      <tp t="s">
        <v>#N/A N/A</v>
        <stp/>
        <stp>BDH|5064274256916844586</stp>
        <tr r="E57" s="4"/>
      </tp>
      <tp t="s">
        <v>#N/A N/A</v>
        <stp/>
        <stp>BDH|2496242175465437306</stp>
        <tr r="G36" s="3"/>
      </tp>
      <tp t="s">
        <v>#N/A N/A</v>
        <stp/>
        <stp>BDH|2486925036811683870</stp>
        <tr r="I51" s="5"/>
      </tp>
      <tp t="s">
        <v>#N/A N/A</v>
        <stp/>
        <stp>BDH|2159125410227379461</stp>
        <tr r="C24" s="2"/>
      </tp>
      <tp t="s">
        <v>#N/A N/A</v>
        <stp/>
        <stp>BDH|2555649582084084958</stp>
        <tr r="K66" s="5"/>
      </tp>
      <tp t="s">
        <v>#N/A N/A</v>
        <stp/>
        <stp>BDH|2937371350341966407</stp>
        <tr r="K36" s="5"/>
      </tp>
      <tp t="s">
        <v>#N/A N/A</v>
        <stp/>
        <stp>BDH|7542414391263316823</stp>
        <tr r="D68" s="4"/>
      </tp>
      <tp t="s">
        <v>#N/A N/A</v>
        <stp/>
        <stp>BDH|5303391642147512493</stp>
        <tr r="G19" s="3"/>
      </tp>
      <tp t="s">
        <v>#N/A N/A</v>
        <stp/>
        <stp>BDH|2113109304484539647</stp>
        <tr r="F16" s="5"/>
      </tp>
      <tp t="s">
        <v>#N/A N/A</v>
        <stp/>
        <stp>BDH|6605069021635062053</stp>
        <tr r="C35" s="5"/>
      </tp>
      <tp t="s">
        <v>#N/A N/A</v>
        <stp/>
        <stp>BDH|3148488764923130391</stp>
        <tr r="H9" s="4"/>
      </tp>
      <tp t="s">
        <v>#N/A N/A</v>
        <stp/>
        <stp>BDH|3809131276346102294</stp>
        <tr r="H53" s="3"/>
      </tp>
      <tp t="s">
        <v>#N/A N/A</v>
        <stp/>
        <stp>BDH|4374539823713215140</stp>
        <tr r="F15" s="3"/>
      </tp>
      <tp t="s">
        <v>#N/A N/A</v>
        <stp/>
        <stp>BDH|7521047370328103958</stp>
        <tr r="L12" s="4"/>
      </tp>
      <tp t="s">
        <v>#N/A N/A</v>
        <stp/>
        <stp>BDH|5891735075532284563</stp>
        <tr r="L29" s="4"/>
      </tp>
      <tp t="s">
        <v>#N/A N/A</v>
        <stp/>
        <stp>BDH|7462344206437479185</stp>
        <tr r="F29" s="3"/>
      </tp>
      <tp t="s">
        <v>#N/A N/A</v>
        <stp/>
        <stp>BDH|5444400431238930862</stp>
        <tr r="I50" s="4"/>
      </tp>
      <tp t="s">
        <v>#N/A N/A</v>
        <stp/>
        <stp>BDH|6403951697513511785</stp>
        <tr r="H55" s="5"/>
      </tp>
      <tp t="s">
        <v>#N/A N/A</v>
        <stp/>
        <stp>BDH|9139665791667461392</stp>
        <tr r="J63" s="5"/>
      </tp>
      <tp t="s">
        <v>#N/A N/A</v>
        <stp/>
        <stp>BDH|3274653733612754681</stp>
        <tr r="G10" s="2"/>
      </tp>
      <tp t="s">
        <v>#N/A N/A</v>
        <stp/>
        <stp>BDH|4486267288649609571</stp>
        <tr r="I38" s="5"/>
      </tp>
      <tp t="s">
        <v>#N/A N/A</v>
        <stp/>
        <stp>BDH|1596752470933987021</stp>
        <tr r="H79" s="4"/>
      </tp>
      <tp t="s">
        <v>#N/A N/A</v>
        <stp/>
        <stp>BDH|3845729936695019071</stp>
        <tr r="F44" s="4"/>
      </tp>
      <tp t="s">
        <v>#N/A N/A</v>
        <stp/>
        <stp>BDH|5407566057644820350</stp>
        <tr r="L41" s="4"/>
      </tp>
      <tp t="s">
        <v>#N/A N/A</v>
        <stp/>
        <stp>BDH|2979055134482855186</stp>
        <tr r="F37" s="3"/>
      </tp>
      <tp t="s">
        <v>#N/A N/A</v>
        <stp/>
        <stp>BDH|7541651803623851031</stp>
        <tr r="K70" s="4"/>
      </tp>
      <tp t="s">
        <v>#N/A N/A</v>
        <stp/>
        <stp>BDH|4380698361925568369</stp>
        <tr r="C11" s="4"/>
      </tp>
      <tp t="s">
        <v>#N/A N/A</v>
        <stp/>
        <stp>BDH|9991433254313601907</stp>
        <tr r="G29" s="5"/>
      </tp>
      <tp t="s">
        <v>#N/A N/A</v>
        <stp/>
        <stp>BDH|3036536759349763841</stp>
        <tr r="J78" s="4"/>
      </tp>
      <tp t="s">
        <v>#N/A N/A</v>
        <stp/>
        <stp>BDH|2118097802636444671</stp>
        <tr r="E24" s="4"/>
      </tp>
      <tp t="s">
        <v>#N/A N/A</v>
        <stp/>
        <stp>BDH|8818795290081824577</stp>
        <tr r="I28" s="3"/>
      </tp>
      <tp t="s">
        <v>#N/A N/A</v>
        <stp/>
        <stp>BDH|1769385974296216175</stp>
        <tr r="L89" s="4"/>
      </tp>
      <tp t="s">
        <v>#N/A N/A</v>
        <stp/>
        <stp>BDH|2549414970962320193</stp>
        <tr r="H18" s="5"/>
      </tp>
      <tp t="s">
        <v>#N/A N/A</v>
        <stp/>
        <stp>BDH|6994295762815807549</stp>
        <tr r="K49" s="4"/>
      </tp>
      <tp t="s">
        <v>#N/A N/A</v>
        <stp/>
        <stp>BDH|5297218614602839618</stp>
        <tr r="D15" s="3"/>
      </tp>
      <tp t="s">
        <v>#N/A N/A</v>
        <stp/>
        <stp>BDH|3214167773703163497</stp>
        <tr r="G53" s="5"/>
      </tp>
      <tp t="s">
        <v>#N/A N/A</v>
        <stp/>
        <stp>BDH|5351707112547755694</stp>
        <tr r="H71" s="3"/>
      </tp>
      <tp t="s">
        <v>#N/A N/A</v>
        <stp/>
        <stp>BDH|2409135275213998546</stp>
        <tr r="L51" s="5"/>
      </tp>
      <tp t="s">
        <v>#N/A N/A</v>
        <stp/>
        <stp>BDH|4881238921557176171</stp>
        <tr r="G65" s="3"/>
      </tp>
      <tp t="s">
        <v>#N/A N/A</v>
        <stp/>
        <stp>BDH|3067587000906750230</stp>
        <tr r="J19" s="3"/>
      </tp>
      <tp t="s">
        <v>#N/A N/A</v>
        <stp/>
        <stp>BDH|5343477408947209427</stp>
        <tr r="G41" s="5"/>
      </tp>
      <tp t="s">
        <v>#N/A N/A</v>
        <stp/>
        <stp>BDH|6648304927354440184</stp>
        <tr r="J63" s="3"/>
      </tp>
      <tp t="s">
        <v>#N/A N/A</v>
        <stp/>
        <stp>BDH|2674822259378360537</stp>
        <tr r="L63" s="5"/>
      </tp>
      <tp t="s">
        <v>#N/A N/A</v>
        <stp/>
        <stp>BDH|2958279904387004574</stp>
        <tr r="G22" s="5"/>
      </tp>
      <tp t="s">
        <v>#N/A N/A</v>
        <stp/>
        <stp>BDH|1446739378377989441</stp>
        <tr r="D21" s="3"/>
      </tp>
      <tp t="s">
        <v>#N/A N/A</v>
        <stp/>
        <stp>BDH|6807230454667878459</stp>
        <tr r="E53" s="3"/>
      </tp>
      <tp t="s">
        <v>#N/A N/A</v>
        <stp/>
        <stp>BDH|7316289052093305180</stp>
        <tr r="D33" s="5"/>
      </tp>
      <tp t="s">
        <v>#N/A N/A</v>
        <stp/>
        <stp>BDH|3443318049491615784</stp>
        <tr r="I13" s="4"/>
      </tp>
      <tp t="s">
        <v>#N/A N/A</v>
        <stp/>
        <stp>BDH|2296537311931707547</stp>
        <tr r="E61" s="4"/>
      </tp>
      <tp t="s">
        <v>#N/A N/A</v>
        <stp/>
        <stp>BDH|3335460665304571760</stp>
        <tr r="H88" s="4"/>
      </tp>
      <tp t="s">
        <v>#N/A N/A</v>
        <stp/>
        <stp>BDH|2400020155421052409</stp>
        <tr r="H16" s="5"/>
      </tp>
      <tp t="s">
        <v>#N/A N/A</v>
        <stp/>
        <stp>BDH|8510408614168620746</stp>
        <tr r="E48" s="5"/>
      </tp>
      <tp t="s">
        <v>#N/A N/A</v>
        <stp/>
        <stp>BDH|1761409766904677570</stp>
        <tr r="K9" s="4"/>
      </tp>
      <tp t="s">
        <v>#N/A N/A</v>
        <stp/>
        <stp>BDH|3557037533433120144</stp>
        <tr r="D78" s="4"/>
      </tp>
      <tp t="s">
        <v>#N/A N/A</v>
        <stp/>
        <stp>BDH|2049012667252444420</stp>
        <tr r="I6" s="3"/>
        <tr r="I12" s="2"/>
      </tp>
      <tp t="s">
        <v>#N/A N/A</v>
        <stp/>
        <stp>BDH|4761484506764077697</stp>
        <tr r="L22" s="5"/>
      </tp>
      <tp t="s">
        <v>#N/A N/A</v>
        <stp/>
        <stp>BDH|1745431211812078456</stp>
        <tr r="H28" s="4"/>
      </tp>
      <tp t="s">
        <v>#N/A N/A</v>
        <stp/>
        <stp>BDH|6379285320693279780</stp>
        <tr r="G56" s="3"/>
        <tr r="G20" s="2"/>
      </tp>
      <tp t="s">
        <v>#N/A N/A</v>
        <stp/>
        <stp>BDH|3524476274433226150</stp>
        <tr r="F28" s="5"/>
      </tp>
      <tp t="s">
        <v>#N/A N/A</v>
        <stp/>
        <stp>BDH|8644581897185974316</stp>
        <tr r="F85" s="4"/>
      </tp>
      <tp t="s">
        <v>#N/A N/A</v>
        <stp/>
        <stp>BDH|4790509005556322501</stp>
        <tr r="I50" s="3"/>
      </tp>
      <tp t="s">
        <v>#N/A N/A</v>
        <stp/>
        <stp>BDH|3092582348312509243</stp>
        <tr r="J46" s="3"/>
        <tr r="J34" s="3"/>
      </tp>
      <tp t="s">
        <v>#N/A N/A</v>
        <stp/>
        <stp>BDH|2483516293879719574</stp>
        <tr r="C14" s="5"/>
      </tp>
      <tp t="s">
        <v>#N/A N/A</v>
        <stp/>
        <stp>BDH|5893901708778398659</stp>
        <tr r="D65" s="5"/>
      </tp>
      <tp t="s">
        <v>#N/A N/A</v>
        <stp/>
        <stp>BDH|4940442317516465595</stp>
        <tr r="K35" s="5"/>
      </tp>
      <tp t="s">
        <v>#N/A N/A</v>
        <stp/>
        <stp>BDH|2657296315373947040</stp>
        <tr r="G18" s="5"/>
      </tp>
      <tp t="s">
        <v>#N/A N/A</v>
        <stp/>
        <stp>BDH|7221060530185031336</stp>
        <tr r="D25" s="5"/>
      </tp>
      <tp t="s">
        <v>#N/A N/A</v>
        <stp/>
        <stp>BDH|3449600876170760011</stp>
        <tr r="H58" s="4"/>
      </tp>
      <tp t="s">
        <v>#N/A N/A</v>
        <stp/>
        <stp>BDH|9840099946817723840</stp>
        <tr r="E64" s="4"/>
      </tp>
      <tp t="s">
        <v>#N/A N/A</v>
        <stp/>
        <stp>BDH|3203429482125287849</stp>
        <tr r="D75" s="4"/>
      </tp>
      <tp t="s">
        <v>#N/A N/A</v>
        <stp/>
        <stp>BDH|9731776281255001158</stp>
        <tr r="C10" s="2"/>
      </tp>
      <tp t="s">
        <v>#N/A N/A</v>
        <stp/>
        <stp>BDH|8062363783968910997</stp>
        <tr r="E91" s="4"/>
      </tp>
      <tp t="s">
        <v>#N/A N/A</v>
        <stp/>
        <stp>BDH|7899307474998177873</stp>
        <tr r="G20" s="3"/>
      </tp>
      <tp t="s">
        <v>#N/A N/A</v>
        <stp/>
        <stp>BDH|8182544778109059070</stp>
        <tr r="I69" s="5"/>
      </tp>
      <tp t="s">
        <v>#N/A N/A</v>
        <stp/>
        <stp>BDH|5406715539734018669</stp>
        <tr r="F47" s="5"/>
      </tp>
      <tp t="s">
        <v>#N/A N/A</v>
        <stp/>
        <stp>BDH|1871017763635487142</stp>
        <tr r="L14" s="5"/>
      </tp>
      <tp t="s">
        <v>#N/A N/A</v>
        <stp/>
        <stp>BDH|2376878506298096188</stp>
        <tr r="J72" s="4"/>
      </tp>
      <tp t="s">
        <v>#N/A N/A</v>
        <stp/>
        <stp>BDH|3858369871446515218</stp>
        <tr r="E14" s="5"/>
      </tp>
      <tp t="s">
        <v>#N/A N/A</v>
        <stp/>
        <stp>BDH|7248080350127924687</stp>
        <tr r="G62" s="5"/>
      </tp>
      <tp t="s">
        <v>#N/A N/A</v>
        <stp/>
        <stp>BDH|1829291338633411064</stp>
        <tr r="F70" s="4"/>
      </tp>
      <tp t="s">
        <v>#N/A N/A</v>
        <stp/>
        <stp>BDH|6829326721402006600</stp>
        <tr r="C60" s="4"/>
      </tp>
      <tp t="s">
        <v>#N/A N/A</v>
        <stp/>
        <stp>BDH|9846464871630677923</stp>
        <tr r="H24" s="2"/>
      </tp>
      <tp t="s">
        <v>#N/A N/A</v>
        <stp/>
        <stp>BDH|6435823808098369563</stp>
        <tr r="L94" s="4"/>
      </tp>
      <tp t="s">
        <v>#N/A N/A</v>
        <stp/>
        <stp>BDH|5090315421537818031</stp>
        <tr r="I29" s="5"/>
      </tp>
      <tp t="s">
        <v>#N/A N/A</v>
        <stp/>
        <stp>BDH|2297257412031967377</stp>
        <tr r="G80" s="4"/>
      </tp>
      <tp t="s">
        <v>#N/A N/A</v>
        <stp/>
        <stp>BDH|4757694475427096131</stp>
        <tr r="D28" s="5"/>
      </tp>
      <tp t="s">
        <v>#N/A N/A</v>
        <stp/>
        <stp>BDH|1833864187013412159</stp>
        <tr r="I43" s="5"/>
      </tp>
      <tp t="s">
        <v>#N/A N/A</v>
        <stp/>
        <stp>BDH|5155037007836451091</stp>
        <tr r="J15" s="4"/>
      </tp>
      <tp t="s">
        <v>#N/A N/A</v>
        <stp/>
        <stp>BDH|3314880887466682623</stp>
        <tr r="K34" s="4"/>
      </tp>
      <tp t="s">
        <v>#N/A N/A</v>
        <stp/>
        <stp>BDH|3982482800911965515</stp>
        <tr r="C69" s="5"/>
      </tp>
      <tp t="s">
        <v>#N/A N/A</v>
        <stp/>
        <stp>BDH|1242659988415137979</stp>
        <tr r="C33" s="4"/>
      </tp>
      <tp t="s">
        <v>#N/A N/A</v>
        <stp/>
        <stp>BDH|4661662214202968243</stp>
        <tr r="K44" s="4"/>
      </tp>
      <tp t="s">
        <v>#N/A N/A</v>
        <stp/>
        <stp>BDH|6132704229747129706</stp>
        <tr r="H23" s="3"/>
      </tp>
      <tp t="s">
        <v>#N/A N/A</v>
        <stp/>
        <stp>BDH|9008966356393737592</stp>
        <tr r="D47" s="4"/>
      </tp>
      <tp t="s">
        <v>#N/A N/A</v>
        <stp/>
        <stp>BDH|4110798722552592013</stp>
        <tr r="G15" s="4"/>
      </tp>
      <tp t="s">
        <v>#N/A N/A</v>
        <stp/>
        <stp>BDH|1560048909062485037</stp>
        <tr r="K28" s="4"/>
      </tp>
      <tp t="s">
        <v>#N/A N/A</v>
        <stp/>
        <stp>BDH|2544061558670772437</stp>
        <tr r="L12" s="5"/>
      </tp>
      <tp t="s">
        <v>#N/A N/A</v>
        <stp/>
        <stp>BDH|3269108306688961921</stp>
        <tr r="G73" s="4"/>
      </tp>
      <tp t="s">
        <v>#N/A N/A</v>
        <stp/>
        <stp>BDH|2454717635697739289</stp>
        <tr r="L36" s="5"/>
      </tp>
      <tp t="s">
        <v>#N/A N/A</v>
        <stp/>
        <stp>BDH|2915251416273337155</stp>
        <tr r="D19" s="5"/>
      </tp>
      <tp t="s">
        <v>#N/A N/A</v>
        <stp/>
        <stp>BDH|9408152469179246463</stp>
        <tr r="G66" s="4"/>
      </tp>
      <tp t="s">
        <v>#N/A N/A</v>
        <stp/>
        <stp>BDH|4033630630633716196</stp>
        <tr r="K42" s="4"/>
      </tp>
      <tp t="s">
        <v>#N/A N/A</v>
        <stp/>
        <stp>BDH|2574172747610913410</stp>
        <tr r="L20" s="4"/>
      </tp>
      <tp t="s">
        <v>#N/A N/A</v>
        <stp/>
        <stp>BDH|5192279025632828462</stp>
        <tr r="F87" s="4"/>
      </tp>
      <tp t="s">
        <v>#N/A N/A</v>
        <stp/>
        <stp>BDH|7557518062492813534</stp>
        <tr r="J58" s="4"/>
      </tp>
      <tp t="s">
        <v>#N/A N/A</v>
        <stp/>
        <stp>BDH|3040246927005524541</stp>
        <tr r="I31" s="4"/>
      </tp>
      <tp t="s">
        <v>#N/A N/A</v>
        <stp/>
        <stp>BDH|2941750388597358952</stp>
        <tr r="F7" s="4"/>
      </tp>
      <tp t="s">
        <v>#N/A N/A</v>
        <stp/>
        <stp>BDH|9276593662129254099</stp>
        <tr r="F12" s="4"/>
      </tp>
      <tp t="s">
        <v>#N/A N/A</v>
        <stp/>
        <stp>BDH|7768502298088552088</stp>
        <tr r="C17" s="4"/>
      </tp>
      <tp t="s">
        <v>#N/A N/A</v>
        <stp/>
        <stp>BDH|2206695645844839742</stp>
        <tr r="I15" s="3"/>
      </tp>
      <tp t="s">
        <v>#N/A N/A</v>
        <stp/>
        <stp>BDH|9333692061123948915</stp>
        <tr r="C81" s="4"/>
      </tp>
      <tp t="s">
        <v>#N/A N/A</v>
        <stp/>
        <stp>BDH|6277271131044313047</stp>
        <tr r="H32" s="3"/>
      </tp>
      <tp t="s">
        <v>#N/A N/A</v>
        <stp/>
        <stp>BDH|8559712872802289977</stp>
        <tr r="F91" s="4"/>
      </tp>
      <tp t="s">
        <v>#N/A N/A</v>
        <stp/>
        <stp>BDH|5094012343422008014</stp>
        <tr r="F25" s="3"/>
      </tp>
      <tp t="s">
        <v>#N/A N/A</v>
        <stp/>
        <stp>BDH|6099136453515770441</stp>
        <tr r="E7" s="2"/>
      </tp>
      <tp t="s">
        <v>#N/A N/A</v>
        <stp/>
        <stp>BDH|9104754816834917881</stp>
        <tr r="G8" s="5"/>
      </tp>
      <tp t="s">
        <v>#N/A N/A</v>
        <stp/>
        <stp>BDH|1146273202520031044</stp>
        <tr r="J65" s="3"/>
      </tp>
      <tp t="s">
        <v>#N/A N/A</v>
        <stp/>
        <stp>BDH|5003363237244146200</stp>
        <tr r="J24" s="4"/>
      </tp>
      <tp t="s">
        <v>#N/A N/A</v>
        <stp/>
        <stp>BDH|1113202211567001602</stp>
        <tr r="H33" s="4"/>
      </tp>
      <tp t="s">
        <v>#N/A N/A</v>
        <stp/>
        <stp>BDH|6449795225452819209</stp>
        <tr r="H28" s="3"/>
      </tp>
      <tp t="s">
        <v>#N/A N/A</v>
        <stp/>
        <stp>BDH|3935191150924467042</stp>
        <tr r="K46" s="5"/>
      </tp>
      <tp t="s">
        <v>#N/A N/A</v>
        <stp/>
        <stp>BDH|7115616006753621116</stp>
        <tr r="K58" s="4"/>
      </tp>
      <tp t="s">
        <v>#N/A N/A</v>
        <stp/>
        <stp>BDH|5455949081182322539</stp>
        <tr r="G29" s="3"/>
      </tp>
      <tp t="s">
        <v>#N/A N/A</v>
        <stp/>
        <stp>BDH|9405308913460792864</stp>
        <tr r="J66" s="3"/>
      </tp>
      <tp t="s">
        <v>#N/A N/A</v>
        <stp/>
        <stp>BDH|7089318077558857880</stp>
        <tr r="E25" s="3"/>
      </tp>
      <tp t="s">
        <v>#N/A N/A</v>
        <stp/>
        <stp>BDH|2970662417764721284</stp>
        <tr r="G43" s="5"/>
      </tp>
      <tp t="s">
        <v>#N/A N/A</v>
        <stp/>
        <stp>BDH|7429259580796730819</stp>
        <tr r="G45" s="4"/>
      </tp>
      <tp t="s">
        <v>#N/A N/A</v>
        <stp/>
        <stp>BDH|4329955174108745128</stp>
        <tr r="C53" s="3"/>
      </tp>
      <tp t="s">
        <v>#N/A N/A</v>
        <stp/>
        <stp>BDH|6750301855713259078</stp>
        <tr r="J7" s="3"/>
      </tp>
      <tp t="s">
        <v>#N/A N/A</v>
        <stp/>
        <stp>BDH|9075815032049757804</stp>
        <tr r="C34" s="4"/>
      </tp>
      <tp t="s">
        <v>#N/A N/A</v>
        <stp/>
        <stp>BDH|3702873503130537823</stp>
        <tr r="G13" s="4"/>
      </tp>
      <tp t="s">
        <v>#N/A N/A</v>
        <stp/>
        <stp>BDH|6069337407734260225</stp>
        <tr r="J26" s="3"/>
      </tp>
      <tp t="s">
        <v>#N/A N/A</v>
        <stp/>
        <stp>BDH|5703409907896682427</stp>
        <tr r="I9" s="2"/>
      </tp>
      <tp t="s">
        <v>#N/A N/A</v>
        <stp/>
        <stp>BDH|1691672133476022179</stp>
        <tr r="C48" s="4"/>
      </tp>
      <tp t="s">
        <v>#N/A N/A</v>
        <stp/>
        <stp>BDH|4182780249237438312</stp>
        <tr r="H66" s="3"/>
      </tp>
      <tp t="s">
        <v>#N/A N/A</v>
        <stp/>
        <stp>BDH|872317704530433658</stp>
        <tr r="D51" s="3"/>
      </tp>
      <tp t="s">
        <v>#N/A N/A</v>
        <stp/>
        <stp>BDH|508752128881590102</stp>
        <tr r="G9" s="2"/>
      </tp>
      <tp t="s">
        <v>#N/A N/A</v>
        <stp/>
        <stp>BDH|596699432476538620</stp>
        <tr r="F36" s="3"/>
      </tp>
      <tp t="s">
        <v>#N/A N/A</v>
        <stp/>
        <stp>BDH|248432636206537431</stp>
        <tr r="L41" s="5"/>
      </tp>
      <tp t="s">
        <v>#N/A N/A</v>
        <stp/>
        <stp>BDH|438904979903027925</stp>
        <tr r="K45" s="5"/>
      </tp>
      <tp t="s">
        <v>#N/A N/A</v>
        <stp/>
        <stp>BDH|469945568388597351</stp>
        <tr r="H42" s="3"/>
      </tp>
      <tp t="s">
        <v>#N/A N/A</v>
        <stp/>
        <stp>BDH|237381574679329947</stp>
        <tr r="I33" s="5"/>
      </tp>
      <tp t="s">
        <v>#N/A N/A</v>
        <stp/>
        <stp>BDH|139096774663057066</stp>
        <tr r="C32" s="4"/>
      </tp>
      <tp t="s">
        <v>#N/A N/A</v>
        <stp/>
        <stp>BDH|176588826636097541</stp>
        <tr r="E18" s="4"/>
      </tp>
      <tp t="s">
        <v>#N/A N/A</v>
        <stp/>
        <stp>BDH|242688579362536716</stp>
        <tr r="J9" s="5"/>
      </tp>
      <tp t="s">
        <v>#N/A N/A</v>
        <stp/>
        <stp>BDH|680100254297616736</stp>
        <tr r="G14" s="3"/>
      </tp>
      <tp t="s">
        <v>#N/A N/A</v>
        <stp/>
        <stp>BDH|368223040136648467</stp>
        <tr r="F8" s="4"/>
      </tp>
      <tp t="s">
        <v>#N/A N/A</v>
        <stp/>
        <stp>BDH|680157706347288188</stp>
        <tr r="I28" s="5"/>
      </tp>
      <tp t="s">
        <v>#N/A N/A</v>
        <stp/>
        <stp>BDH|950329642922294227</stp>
        <tr r="G28" s="5"/>
      </tp>
      <tp t="s">
        <v>#N/A N/A</v>
        <stp/>
        <stp>BDH|437146148845326703</stp>
        <tr r="C65" s="3"/>
      </tp>
      <tp t="s">
        <v>#N/A N/A</v>
        <stp/>
        <stp>BDH|653771262166710003</stp>
        <tr r="C7" s="5"/>
      </tp>
      <tp t="s">
        <v>#N/A N/A</v>
        <stp/>
        <stp>BDH|217250471845815791</stp>
        <tr r="H33" s="3"/>
      </tp>
      <tp t="s">
        <v>#N/A N/A</v>
        <stp/>
        <stp>BDH|151039309391456717</stp>
        <tr r="F69" s="5"/>
      </tp>
      <tp t="s">
        <v>#N/A N/A</v>
        <stp/>
        <stp>BDH|520607868390825644</stp>
        <tr r="H64" s="5"/>
        <tr r="F25" s="2"/>
      </tp>
      <tp t="s">
        <v>#N/A N/A</v>
        <stp/>
        <stp>BDH|693921597181598755</stp>
        <tr r="L11" s="5"/>
      </tp>
      <tp t="s">
        <v>#N/A N/A</v>
        <stp/>
        <stp>BDH|537719110037044089</stp>
        <tr r="D31" s="4"/>
      </tp>
      <tp t="s">
        <v>#N/A N/A</v>
        <stp/>
        <stp>BDH|261418661485721684</stp>
        <tr r="D8" s="5"/>
      </tp>
      <tp t="s">
        <v>#N/A N/A</v>
        <stp/>
        <stp>BDH|608521209491075502</stp>
        <tr r="E57" s="5"/>
      </tp>
      <tp t="s">
        <v>#N/A N/A</v>
        <stp/>
        <stp>BDH|121805127949839208</stp>
        <tr r="D19" s="3"/>
      </tp>
      <tp t="s">
        <v>#N/A N/A</v>
        <stp/>
        <stp>BDH|564520057367944613</stp>
        <tr r="F49" s="4"/>
      </tp>
      <tp t="s">
        <v>#N/A N/A</v>
        <stp/>
        <stp>BDH|878170009030873060</stp>
        <tr r="I79" s="4"/>
      </tp>
      <tp t="s">
        <v>#N/A N/A</v>
        <stp/>
        <stp>BDH|401175315142600392</stp>
        <tr r="C23" s="5"/>
      </tp>
      <tp t="s">
        <v>#N/A N/A</v>
        <stp/>
        <stp>BDH|329556762447770522</stp>
        <tr r="F31" s="5"/>
      </tp>
      <tp t="s">
        <v>#N/A N/A</v>
        <stp/>
        <stp>BDH|878870352519625586</stp>
        <tr r="I41" s="5"/>
      </tp>
      <tp t="s">
        <v>#N/A N/A</v>
        <stp/>
        <stp>BDH|859737276018834965</stp>
        <tr r="D45" s="4"/>
      </tp>
      <tp t="s">
        <v>#N/A N/A</v>
        <stp/>
        <stp>BDH|759658472615564491</stp>
        <tr r="H51" s="3"/>
      </tp>
      <tp t="s">
        <v>#N/A N/A</v>
        <stp/>
        <stp>BDH|860598253476793687</stp>
        <tr r="I28" s="4"/>
      </tp>
      <tp t="s">
        <v>#N/A N/A</v>
        <stp/>
        <stp>BDH|536315973545878110</stp>
        <tr r="D74" s="4"/>
      </tp>
      <tp t="s">
        <v>#N/A N/A</v>
        <stp/>
        <stp>BDH|217604078973267201</stp>
        <tr r="D24" s="5"/>
      </tp>
      <tp t="s">
        <v>#N/A N/A</v>
        <stp/>
        <stp>BDH|565400556768829926</stp>
        <tr r="G50" s="5"/>
      </tp>
      <tp t="s">
        <v>#N/A N/A</v>
        <stp/>
        <stp>BDH|485886774386793983</stp>
        <tr r="C26" s="3"/>
      </tp>
      <tp t="s">
        <v>#N/A N/A</v>
        <stp/>
        <stp>BDH|709529112196591231</stp>
        <tr r="L64" s="5"/>
        <tr r="J25" s="2"/>
      </tp>
      <tp t="s">
        <v>#N/A N/A</v>
        <stp/>
        <stp>BDH|338057202067973411</stp>
        <tr r="H31" s="4"/>
      </tp>
      <tp t="s">
        <v>#N/A N/A</v>
        <stp/>
        <stp>BDH|462589887848718607</stp>
        <tr r="J29" s="5"/>
      </tp>
      <tp t="s">
        <v>#N/A N/A</v>
        <stp/>
        <stp>BDH|386037832095225585</stp>
        <tr r="K22" s="5"/>
      </tp>
      <tp t="s">
        <v>#N/A N/A</v>
        <stp/>
        <stp>BDH|420184405566252402</stp>
        <tr r="I78" s="4"/>
      </tp>
      <tp t="s">
        <v>#N/A N/A</v>
        <stp/>
        <stp>BDH|460730772082674163</stp>
        <tr r="K47" s="5"/>
      </tp>
      <tp t="s">
        <v>#N/A N/A</v>
        <stp/>
        <stp>BDH|501191571836273387</stp>
        <tr r="J24" s="3"/>
      </tp>
      <tp t="s">
        <v>#N/A N/A</v>
        <stp/>
        <stp>BDH|664071974372215676</stp>
        <tr r="F75" s="4"/>
      </tp>
      <tp t="s">
        <v>#N/A N/A</v>
        <stp/>
        <stp>BDH|180200624485061679</stp>
        <tr r="E23" s="4"/>
      </tp>
      <tp t="s">
        <v>#N/A N/A</v>
        <stp/>
        <stp>BDH|756014396438887351</stp>
        <tr r="G67" s="4"/>
      </tp>
      <tp t="s">
        <v>#N/A N/A</v>
        <stp/>
        <stp>BDH|663783283904528960</stp>
        <tr r="I47" s="4"/>
      </tp>
      <tp t="s">
        <v>#N/A N/A</v>
        <stp/>
        <stp>BDH|915753031394983234</stp>
        <tr r="I81" s="4"/>
      </tp>
      <tp t="s">
        <v>#N/A N/A</v>
        <stp/>
        <stp>BDH|715646096389753455</stp>
        <tr r="K67" s="4"/>
      </tp>
      <tp t="s">
        <v>#N/A N/A</v>
        <stp/>
        <stp>BDH|262735833241205719</stp>
        <tr r="I14" s="3"/>
      </tp>
      <tp t="s">
        <v>#N/A N/A</v>
        <stp/>
        <stp>BDH|365130954953005566</stp>
        <tr r="J14" s="3"/>
      </tp>
      <tp t="s">
        <v>#N/A N/A</v>
        <stp/>
        <stp>BDH|196870757888206709</stp>
        <tr r="I18" s="4"/>
      </tp>
      <tp t="s">
        <v>#N/A N/A</v>
        <stp/>
        <stp>BDH|608397768238033093</stp>
        <tr r="G41" s="4"/>
      </tp>
      <tp t="s">
        <v>#N/A N/A</v>
        <stp/>
        <stp>BDH|154674423100873955</stp>
        <tr r="I14" s="5"/>
      </tp>
      <tp t="s">
        <v>#N/A N/A</v>
        <stp/>
        <stp>BDH|971111983305534166</stp>
        <tr r="G63" s="5"/>
      </tp>
      <tp t="s">
        <v>#N/A N/A</v>
        <stp/>
        <stp>BDH|330261581736137114</stp>
        <tr r="K21" s="4"/>
      </tp>
      <tp t="s">
        <v>#N/A N/A</v>
        <stp/>
        <stp>BDH|321799079589976524</stp>
        <tr r="C30" s="4"/>
      </tp>
      <tp t="s">
        <v>#N/A N/A</v>
        <stp/>
        <stp>BDH|330923221500970708</stp>
        <tr r="E61" s="3"/>
      </tp>
      <tp t="s">
        <v>#N/A N/A</v>
        <stp/>
        <stp>BDH|960631683865369735</stp>
        <tr r="L27" s="4"/>
      </tp>
      <tp t="s">
        <v>#N/A N/A</v>
        <stp/>
        <stp>BDH|853471894158318927</stp>
        <tr r="H31" s="3"/>
      </tp>
      <tp t="s">
        <v>#N/A N/A</v>
        <stp/>
        <stp>BDH|495092380120775416</stp>
        <tr r="F11" s="5"/>
      </tp>
      <tp t="s">
        <v>#N/A N/A</v>
        <stp/>
        <stp>BDH|259641180876554487</stp>
        <tr r="K31" s="5"/>
      </tp>
      <tp t="s">
        <v>#N/A N/A</v>
        <stp/>
        <stp>BDH|595500315491191900</stp>
        <tr r="E33" s="3"/>
      </tp>
      <tp t="s">
        <v>#N/A N/A</v>
        <stp/>
        <stp>BDH|573897910661384758</stp>
        <tr r="G54" s="3"/>
      </tp>
      <tp t="s">
        <v>#N/A N/A</v>
        <stp/>
        <stp>BDH|155264139889185789</stp>
        <tr r="D32" s="4"/>
      </tp>
      <tp t="s">
        <v>#N/A N/A</v>
        <stp/>
        <stp>BDH|396508140636096842</stp>
        <tr r="L10" s="4"/>
      </tp>
      <tp t="s">
        <v>#N/A N/A</v>
        <stp/>
        <stp>BDH|827466184287456536</stp>
        <tr r="F77" s="4"/>
      </tp>
      <tp t="s">
        <v>#N/A N/A</v>
        <stp/>
        <stp>BDH|337846765071486194</stp>
        <tr r="G50" s="4"/>
      </tp>
      <tp t="s">
        <v>#N/A N/A</v>
        <stp/>
        <stp>BDH|126142409858540719</stp>
        <tr r="G7" s="3"/>
      </tp>
      <tp t="s">
        <v>#N/A N/A</v>
        <stp/>
        <stp>BDH|527437504983123975</stp>
        <tr r="G26" s="5"/>
      </tp>
      <tp t="s">
        <v>#N/A N/A</v>
        <stp/>
        <stp>BDH|474963363013172246</stp>
        <tr r="J53" s="5"/>
      </tp>
      <tp t="s">
        <v>#N/A N/A</v>
        <stp/>
        <stp>BDH|243644623948165214</stp>
        <tr r="J50" s="4"/>
      </tp>
      <tp t="s">
        <v>#N/A N/A</v>
        <stp/>
        <stp>BDH|629085313497938829</stp>
        <tr r="H92" s="4"/>
      </tp>
      <tp t="s">
        <v>#N/A N/A</v>
        <stp/>
        <stp>BDH|867217840420095894</stp>
        <tr r="C44" s="3"/>
        <tr r="C18" s="2"/>
      </tp>
      <tp t="s">
        <v>#N/A N/A</v>
        <stp/>
        <stp>BDH|984358795767100444</stp>
        <tr r="K30" s="4"/>
      </tp>
      <tp t="s">
        <v>#N/A N/A</v>
        <stp/>
        <stp>BDH|415631145363506894</stp>
        <tr r="J37" s="5"/>
      </tp>
      <tp t="s">
        <v>#N/A N/A</v>
        <stp/>
        <stp>BDH|837813360100762702</stp>
        <tr r="D42" s="4"/>
      </tp>
      <tp t="s">
        <v>#N/A N/A</v>
        <stp/>
        <stp>BDH|666869424080754364</stp>
        <tr r="F49" s="5"/>
      </tp>
      <tp t="s">
        <v>#N/A N/A</v>
        <stp/>
        <stp>BDH|881814072105982346</stp>
        <tr r="J16" s="3"/>
      </tp>
      <tp t="s">
        <v>#N/A N/A</v>
        <stp/>
        <stp>BDH|814287040977320817</stp>
        <tr r="E65" s="3"/>
      </tp>
      <tp t="s">
        <v>#N/A N/A</v>
        <stp/>
        <stp>BDH|903916761476340158</stp>
        <tr r="H55" s="4"/>
      </tp>
      <tp t="s">
        <v>#N/A N/A</v>
        <stp/>
        <stp>BDH|402313470109775564</stp>
        <tr r="C49" s="3"/>
      </tp>
      <tp t="s">
        <v>#N/A N/A</v>
        <stp/>
        <stp>BDH|435270937071520863</stp>
        <tr r="G65" s="5"/>
      </tp>
      <tp t="s">
        <v>#N/A N/A</v>
        <stp/>
        <stp>BDH|445949489448924115</stp>
        <tr r="J32" s="5"/>
      </tp>
      <tp t="s">
        <v>#N/A N/A</v>
        <stp/>
        <stp>BDH|828776292665664388</stp>
        <tr r="L16" s="4"/>
      </tp>
      <tp t="s">
        <v>#N/A N/A</v>
        <stp/>
        <stp>BDH|881871761527327216</stp>
        <tr r="D10" s="2"/>
      </tp>
      <tp t="s">
        <v>#N/A N/A</v>
        <stp/>
        <stp>BDH|933366601311580950</stp>
        <tr r="C30" s="5"/>
      </tp>
      <tp t="s">
        <v>#N/A N/A</v>
        <stp/>
        <stp>BDH|633849154417598176</stp>
        <tr r="G25" s="3"/>
      </tp>
      <tp t="s">
        <v>#N/A N/A</v>
        <stp/>
        <stp>BDH|639511723044434817</stp>
        <tr r="C70" s="3"/>
      </tp>
      <tp t="s">
        <v>#N/A N/A</v>
        <stp/>
        <stp>BDH|278670558680481915</stp>
        <tr r="E38" s="3"/>
      </tp>
      <tp t="s">
        <v>#N/A N/A</v>
        <stp/>
        <stp>BDH|381666193067147223</stp>
        <tr r="D51" s="4"/>
      </tp>
      <tp t="s">
        <v>#N/A N/A</v>
        <stp/>
        <stp>BDH|256765819805093980</stp>
        <tr r="L96" s="4"/>
      </tp>
      <tp t="s">
        <v>#N/A N/A</v>
        <stp/>
        <stp>BDH|458316917350659849</stp>
        <tr r="E7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/>
  </sheetViews>
  <sheetFormatPr defaultRowHeight="15" x14ac:dyDescent="0.25"/>
  <cols>
    <col min="1" max="1" width="23.5703125" customWidth="1"/>
    <col min="2" max="2" width="0" hidden="1" customWidth="1"/>
    <col min="3" max="12" width="11.85546875" customWidth="1"/>
  </cols>
  <sheetData>
    <row r="1" spans="1:1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0.25" x14ac:dyDescent="0.25">
      <c r="A2" s="26" t="s">
        <v>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21" t="s">
        <v>5</v>
      </c>
      <c r="B4" s="21"/>
      <c r="C4" s="22" t="s">
        <v>6</v>
      </c>
      <c r="D4" s="22" t="s">
        <v>7</v>
      </c>
      <c r="E4" s="22" t="s">
        <v>8</v>
      </c>
      <c r="F4" s="22" t="s">
        <v>9</v>
      </c>
      <c r="G4" s="22" t="s">
        <v>10</v>
      </c>
      <c r="H4" s="22" t="s">
        <v>11</v>
      </c>
      <c r="I4" s="22" t="s">
        <v>12</v>
      </c>
      <c r="J4" s="22" t="s">
        <v>13</v>
      </c>
      <c r="K4" s="22" t="s">
        <v>14</v>
      </c>
      <c r="L4" s="22" t="s">
        <v>15</v>
      </c>
    </row>
    <row r="5" spans="1:12" x14ac:dyDescent="0.25">
      <c r="A5" s="27" t="s">
        <v>16</v>
      </c>
      <c r="B5" s="27"/>
      <c r="C5" s="23" t="s">
        <v>17</v>
      </c>
      <c r="D5" s="23" t="s">
        <v>18</v>
      </c>
      <c r="E5" s="23" t="s">
        <v>19</v>
      </c>
      <c r="F5" s="23" t="s">
        <v>20</v>
      </c>
      <c r="G5" s="23" t="s">
        <v>21</v>
      </c>
      <c r="H5" s="23" t="s">
        <v>22</v>
      </c>
      <c r="I5" s="23" t="s">
        <v>23</v>
      </c>
      <c r="J5" s="23" t="s">
        <v>24</v>
      </c>
      <c r="K5" s="23" t="s">
        <v>25</v>
      </c>
      <c r="L5" s="23" t="s">
        <v>26</v>
      </c>
    </row>
    <row r="6" spans="1:12" x14ac:dyDescent="0.25">
      <c r="A6" s="24" t="s">
        <v>27</v>
      </c>
      <c r="B6" s="24" t="s">
        <v>28</v>
      </c>
      <c r="C6" s="32">
        <f>_xll.BDH("LUMN US Equity","HISTORICAL_MARKET_CAP","FQ3 2018","FQ3 2018","Currency=USD","Period=FQ","BEST_FPERIOD_OVERRIDE=FQ","FILING_STATUS=MR","SCALING_FORMAT=MLN","Sort=A","Dates=H","DateFormat=P","Fill=—","Direction=H","UseDPDF=Y")</f>
        <v>22908.1476</v>
      </c>
      <c r="D6" s="32">
        <f>_xll.BDH("LUMN US Equity","HISTORICAL_MARKET_CAP","FQ4 2018","FQ4 2018","Currency=USD","Period=FQ","BEST_FPERIOD_OVERRIDE=FQ","FILING_STATUS=MR","SCALING_FORMAT=MLN","Sort=A","Dates=H","DateFormat=P","Fill=—","Direction=H","UseDPDF=Y")</f>
        <v>16364.53</v>
      </c>
      <c r="E6" s="32">
        <f>_xll.BDH("LUMN US Equity","HISTORICAL_MARKET_CAP","FQ1 2019","FQ1 2019","Currency=USD","Period=FQ","BEST_FPERIOD_OVERRIDE=FQ","FILING_STATUS=MR","SCALING_FORMAT=MLN","Sort=A","Dates=H","DateFormat=P","Fill=—","Direction=H","UseDPDF=Y")</f>
        <v>13074.435600000001</v>
      </c>
      <c r="F6" s="32">
        <f>_xll.BDH("LUMN US Equity","HISTORICAL_MARKET_CAP","FQ2 2019","FQ2 2019","Currency=USD","Period=FQ","BEST_FPERIOD_OVERRIDE=FQ","FILING_STATUS=MR","SCALING_FORMAT=MLN","Sort=A","Dates=H","DateFormat=P","Fill=—","Direction=H","UseDPDF=Y")</f>
        <v>12820.0111</v>
      </c>
      <c r="G6" s="32">
        <f>_xll.BDH("LUMN US Equity","HISTORICAL_MARKET_CAP","FQ3 2019","FQ3 2019","Currency=USD","Period=FQ","BEST_FPERIOD_OVERRIDE=FQ","FILING_STATUS=MR","SCALING_FORMAT=MLN","Sort=A","Dates=H","DateFormat=P","Fill=—","Direction=H","UseDPDF=Y")</f>
        <v>13607.2685</v>
      </c>
      <c r="H6" s="32">
        <f>_xll.BDH("LUMN US Equity","HISTORICAL_MARKET_CAP","FQ4 2019","FQ4 2019","Currency=USD","Period=FQ","BEST_FPERIOD_OVERRIDE=FQ","FILING_STATUS=MR","SCALING_FORMAT=MLN","Sort=A","Dates=H","DateFormat=P","Fill=—","Direction=H","UseDPDF=Y")</f>
        <v>14399.6662</v>
      </c>
      <c r="I6" s="32">
        <f>_xll.BDH("LUMN US Equity","HISTORICAL_MARKET_CAP","FQ1 2020","FQ1 2020","Currency=USD","Period=FQ","BEST_FPERIOD_OVERRIDE=FQ","FILING_STATUS=MR","SCALING_FORMAT=MLN","Sort=A","Dates=H","DateFormat=P","Fill=—","Direction=H","UseDPDF=Y")</f>
        <v>10384.346100000001</v>
      </c>
      <c r="J6" s="32">
        <f>_xll.BDH("LUMN US Equity","HISTORICAL_MARKET_CAP","FQ2 2020","FQ2 2020","Currency=USD","Period=FQ","BEST_FPERIOD_OVERRIDE=FQ","FILING_STATUS=MR","SCALING_FORMAT=MLN","Sort=A","Dates=H","DateFormat=P","Fill=—","Direction=H","UseDPDF=Y")</f>
        <v>11004.053400000001</v>
      </c>
      <c r="K6" s="32"/>
      <c r="L6" s="32"/>
    </row>
    <row r="7" spans="1:12" x14ac:dyDescent="0.25">
      <c r="A7" s="28" t="s">
        <v>29</v>
      </c>
      <c r="B7" s="28" t="s">
        <v>30</v>
      </c>
      <c r="C7" s="30">
        <f>_xll.BDH("LUMN US Equity","CASH_AND_MARKETABLE_SECURITIES","FQ3 2018","FQ3 2018","Currency=USD","Period=FQ","BEST_FPERIOD_OVERRIDE=FQ","FILING_STATUS=MR","SCALING_FORMAT=MLN","Sort=A","Dates=H","DateFormat=P","Fill=—","Direction=H","UseDPDF=Y")</f>
        <v>390</v>
      </c>
      <c r="D7" s="30">
        <f>_xll.BDH("LUMN US Equity","CASH_AND_MARKETABLE_SECURITIES","FQ4 2018","FQ4 2018","Currency=USD","Period=FQ","BEST_FPERIOD_OVERRIDE=FQ","FILING_STATUS=MR","SCALING_FORMAT=MLN","Sort=A","Dates=H","DateFormat=P","Fill=—","Direction=H","UseDPDF=Y")</f>
        <v>488</v>
      </c>
      <c r="E7" s="30">
        <f>_xll.BDH("LUMN US Equity","CASH_AND_MARKETABLE_SECURITIES","FQ1 2019","FQ1 2019","Currency=USD","Period=FQ","BEST_FPERIOD_OVERRIDE=FQ","FILING_STATUS=MR","SCALING_FORMAT=MLN","Sort=A","Dates=H","DateFormat=P","Fill=—","Direction=H","UseDPDF=Y")</f>
        <v>441</v>
      </c>
      <c r="F7" s="30">
        <f>_xll.BDH("LUMN US Equity","CASH_AND_MARKETABLE_SECURITIES","FQ2 2019","FQ2 2019","Currency=USD","Period=FQ","BEST_FPERIOD_OVERRIDE=FQ","FILING_STATUS=MR","SCALING_FORMAT=MLN","Sort=A","Dates=H","DateFormat=P","Fill=—","Direction=H","UseDPDF=Y")</f>
        <v>410</v>
      </c>
      <c r="G7" s="30">
        <f>_xll.BDH("LUMN US Equity","CASH_AND_MARKETABLE_SECURITIES","FQ3 2019","FQ3 2019","Currency=USD","Period=FQ","BEST_FPERIOD_OVERRIDE=FQ","FILING_STATUS=MR","SCALING_FORMAT=MLN","Sort=A","Dates=H","DateFormat=P","Fill=—","Direction=H","UseDPDF=Y")</f>
        <v>1404</v>
      </c>
      <c r="H7" s="30">
        <f>_xll.BDH("LUMN US Equity","CASH_AND_MARKETABLE_SECURITIES","FQ4 2019","FQ4 2019","Currency=USD","Period=FQ","BEST_FPERIOD_OVERRIDE=FQ","FILING_STATUS=MR","SCALING_FORMAT=MLN","Sort=A","Dates=H","DateFormat=P","Fill=—","Direction=H","UseDPDF=Y")</f>
        <v>1690</v>
      </c>
      <c r="I7" s="30">
        <f>_xll.BDH("LUMN US Equity","CASH_AND_MARKETABLE_SECURITIES","FQ1 2020","FQ1 2020","Currency=USD","Period=FQ","BEST_FPERIOD_OVERRIDE=FQ","FILING_STATUS=MR","SCALING_FORMAT=MLN","Sort=A","Dates=H","DateFormat=P","Fill=—","Direction=H","UseDPDF=Y")</f>
        <v>1564</v>
      </c>
      <c r="J7" s="30">
        <f>_xll.BDH("LUMN US Equity","CASH_AND_MARKETABLE_SECURITIES","FQ2 2020","FQ2 2020","Currency=USD","Period=FQ","BEST_FPERIOD_OVERRIDE=FQ","FILING_STATUS=MR","SCALING_FORMAT=MLN","Sort=A","Dates=H","DateFormat=P","Fill=—","Direction=H","UseDPDF=Y")</f>
        <v>1763</v>
      </c>
      <c r="K7" s="30"/>
      <c r="L7" s="30"/>
    </row>
    <row r="8" spans="1:12" x14ac:dyDescent="0.25">
      <c r="A8" s="28" t="s">
        <v>31</v>
      </c>
      <c r="B8" s="28" t="s">
        <v>32</v>
      </c>
      <c r="C8" s="30">
        <f>_xll.BDH("LUMN US Equity","PREFERRED_EQUITY_&amp;_MINORITY_INT","FQ3 2018","FQ3 2018","Currency=USD","Period=FQ","BEST_FPERIOD_OVERRIDE=FQ","FILING_STATUS=MR","SCALING_FORMAT=MLN","Sort=A","Dates=H","DateFormat=P","Fill=—","Direction=H","UseDPDF=Y")</f>
        <v>0</v>
      </c>
      <c r="D8" s="30">
        <f>_xll.BDH("LUMN US Equity","PREFERRED_EQUITY_&amp;_MINORITY_INT","FQ4 2018","FQ4 2018","Currency=USD","Period=FQ","BEST_FPERIOD_OVERRIDE=FQ","FILING_STATUS=MR","SCALING_FORMAT=MLN","Sort=A","Dates=H","DateFormat=P","Fill=—","Direction=H","UseDPDF=Y")</f>
        <v>0</v>
      </c>
      <c r="E8" s="30">
        <f>_xll.BDH("LUMN US Equity","PREFERRED_EQUITY_&amp;_MINORITY_INT","FQ1 2019","FQ1 2019","Currency=USD","Period=FQ","BEST_FPERIOD_OVERRIDE=FQ","FILING_STATUS=MR","SCALING_FORMAT=MLN","Sort=A","Dates=H","DateFormat=P","Fill=—","Direction=H","UseDPDF=Y")</f>
        <v>0</v>
      </c>
      <c r="F8" s="30">
        <f>_xll.BDH("LUMN US Equity","PREFERRED_EQUITY_&amp;_MINORITY_INT","FQ2 2019","FQ2 2019","Currency=USD","Period=FQ","BEST_FPERIOD_OVERRIDE=FQ","FILING_STATUS=MR","SCALING_FORMAT=MLN","Sort=A","Dates=H","DateFormat=P","Fill=—","Direction=H","UseDPDF=Y")</f>
        <v>0</v>
      </c>
      <c r="G8" s="30">
        <f>_xll.BDH("LUMN US Equity","PREFERRED_EQUITY_&amp;_MINORITY_INT","FQ3 2019","FQ3 2019","Currency=USD","Period=FQ","BEST_FPERIOD_OVERRIDE=FQ","FILING_STATUS=MR","SCALING_FORMAT=MLN","Sort=A","Dates=H","DateFormat=P","Fill=—","Direction=H","UseDPDF=Y")</f>
        <v>0</v>
      </c>
      <c r="H8" s="30">
        <f>_xll.BDH("LUMN US Equity","PREFERRED_EQUITY_&amp;_MINORITY_INT","FQ4 2019","FQ4 2019","Currency=USD","Period=FQ","BEST_FPERIOD_OVERRIDE=FQ","FILING_STATUS=MR","SCALING_FORMAT=MLN","Sort=A","Dates=H","DateFormat=P","Fill=—","Direction=H","UseDPDF=Y")</f>
        <v>0</v>
      </c>
      <c r="I8" s="30">
        <f>_xll.BDH("LUMN US Equity","PREFERRED_EQUITY_&amp;_MINORITY_INT","FQ1 2020","FQ1 2020","Currency=USD","Period=FQ","BEST_FPERIOD_OVERRIDE=FQ","FILING_STATUS=MR","SCALING_FORMAT=MLN","Sort=A","Dates=H","DateFormat=P","Fill=—","Direction=H","UseDPDF=Y")</f>
        <v>0</v>
      </c>
      <c r="J8" s="30">
        <f>_xll.BDH("LUMN US Equity","PREFERRED_EQUITY_&amp;_MINORITY_INT","FQ2 2020","FQ2 2020","Currency=USD","Period=FQ","BEST_FPERIOD_OVERRIDE=FQ","FILING_STATUS=MR","SCALING_FORMAT=MLN","Sort=A","Dates=H","DateFormat=P","Fill=—","Direction=H","UseDPDF=Y")</f>
        <v>0</v>
      </c>
      <c r="K8" s="30"/>
      <c r="L8" s="30"/>
    </row>
    <row r="9" spans="1:12" x14ac:dyDescent="0.25">
      <c r="A9" s="28" t="s">
        <v>33</v>
      </c>
      <c r="B9" s="28" t="s">
        <v>34</v>
      </c>
      <c r="C9" s="30">
        <f>_xll.BDH("LUMN US Equity","SHORT_AND_LONG_TERM_DEBT","FQ3 2018","FQ3 2018","Currency=USD","Period=FQ","BEST_FPERIOD_OVERRIDE=FQ","FILING_STATUS=MR","SCALING_FORMAT=MLN","Sort=A","Dates=H","DateFormat=P","Fill=—","Direction=H","UseDPDF=Y")</f>
        <v>36527</v>
      </c>
      <c r="D9" s="30">
        <f>_xll.BDH("LUMN US Equity","SHORT_AND_LONG_TERM_DEBT","FQ4 2018","FQ4 2018","Currency=USD","Period=FQ","BEST_FPERIOD_OVERRIDE=FQ","FILING_STATUS=MR","SCALING_FORMAT=MLN","Sort=A","Dates=H","DateFormat=P","Fill=—","Direction=H","UseDPDF=Y")</f>
        <v>36061</v>
      </c>
      <c r="E9" s="30">
        <f>_xll.BDH("LUMN US Equity","SHORT_AND_LONG_TERM_DEBT","FQ1 2019","FQ1 2019","Currency=USD","Period=FQ","BEST_FPERIOD_OVERRIDE=FQ","FILING_STATUS=MR","SCALING_FORMAT=MLN","Sort=A","Dates=H","DateFormat=P","Fill=—","Direction=H","UseDPDF=Y")</f>
        <v>37552</v>
      </c>
      <c r="F9" s="30">
        <f>_xll.BDH("LUMN US Equity","SHORT_AND_LONG_TERM_DEBT","FQ2 2019","FQ2 2019","Currency=USD","Period=FQ","BEST_FPERIOD_OVERRIDE=FQ","FILING_STATUS=MR","SCALING_FORMAT=MLN","Sort=A","Dates=H","DateFormat=P","Fill=—","Direction=H","UseDPDF=Y")</f>
        <v>36743</v>
      </c>
      <c r="G9" s="30">
        <f>_xll.BDH("LUMN US Equity","SHORT_AND_LONG_TERM_DEBT","FQ3 2019","FQ3 2019","Currency=USD","Period=FQ","BEST_FPERIOD_OVERRIDE=FQ","FILING_STATUS=MR","SCALING_FORMAT=MLN","Sort=A","Dates=H","DateFormat=P","Fill=—","Direction=H","UseDPDF=Y")</f>
        <v>36895</v>
      </c>
      <c r="H9" s="30">
        <f>_xll.BDH("LUMN US Equity","SHORT_AND_LONG_TERM_DEBT","FQ4 2019","FQ4 2019","Currency=USD","Period=FQ","BEST_FPERIOD_OVERRIDE=FQ","FILING_STATUS=MR","SCALING_FORMAT=MLN","Sort=A","Dates=H","DateFormat=P","Fill=—","Direction=H","UseDPDF=Y")</f>
        <v>36452</v>
      </c>
      <c r="I9" s="30">
        <f>_xll.BDH("LUMN US Equity","SHORT_AND_LONG_TERM_DEBT","FQ1 2020","FQ1 2020","Currency=USD","Period=FQ","BEST_FPERIOD_OVERRIDE=FQ","FILING_STATUS=MR","SCALING_FORMAT=MLN","Sort=A","Dates=H","DateFormat=P","Fill=—","Direction=H","UseDPDF=Y")</f>
        <v>36342</v>
      </c>
      <c r="J9" s="30">
        <f>_xll.BDH("LUMN US Equity","SHORT_AND_LONG_TERM_DEBT","FQ2 2020","FQ2 2020","Currency=USD","Period=FQ","BEST_FPERIOD_OVERRIDE=FQ","FILING_STATUS=MR","SCALING_FORMAT=MLN","Sort=A","Dates=H","DateFormat=P","Fill=—","Direction=H","UseDPDF=Y")</f>
        <v>34773</v>
      </c>
      <c r="K9" s="30"/>
      <c r="L9" s="30"/>
    </row>
    <row r="10" spans="1:12" x14ac:dyDescent="0.25">
      <c r="A10" s="24" t="s">
        <v>35</v>
      </c>
      <c r="B10" s="24" t="s">
        <v>36</v>
      </c>
      <c r="C10" s="32">
        <f>_xll.BDH("LUMN US Equity","ENTERPRISE_VALUE","FQ3 2018","FQ3 2018","Currency=USD","Period=FQ","BEST_FPERIOD_OVERRIDE=FQ","FILING_STATUS=MR","SCALING_FORMAT=MLN","Sort=A","Dates=H","DateFormat=P","Fill=—","Direction=H","UseDPDF=Y")</f>
        <v>59045.147599999997</v>
      </c>
      <c r="D10" s="32">
        <f>_xll.BDH("LUMN US Equity","ENTERPRISE_VALUE","FQ4 2018","FQ4 2018","Currency=USD","Period=FQ","BEST_FPERIOD_OVERRIDE=FQ","FILING_STATUS=MR","SCALING_FORMAT=MLN","Sort=A","Dates=H","DateFormat=P","Fill=—","Direction=H","UseDPDF=Y")</f>
        <v>51937.530100000004</v>
      </c>
      <c r="E10" s="32">
        <f>_xll.BDH("LUMN US Equity","ENTERPRISE_VALUE","FQ1 2019","FQ1 2019","Currency=USD","Period=FQ","BEST_FPERIOD_OVERRIDE=FQ","FILING_STATUS=MR","SCALING_FORMAT=MLN","Sort=A","Dates=H","DateFormat=P","Fill=—","Direction=H","UseDPDF=Y")</f>
        <v>50185.435599999997</v>
      </c>
      <c r="F10" s="32">
        <f>_xll.BDH("LUMN US Equity","ENTERPRISE_VALUE","FQ2 2019","FQ2 2019","Currency=USD","Period=FQ","BEST_FPERIOD_OVERRIDE=FQ","FILING_STATUS=MR","SCALING_FORMAT=MLN","Sort=A","Dates=H","DateFormat=P","Fill=—","Direction=H","UseDPDF=Y")</f>
        <v>49153.011100000003</v>
      </c>
      <c r="G10" s="32">
        <f>_xll.BDH("LUMN US Equity","ENTERPRISE_VALUE","FQ3 2019","FQ3 2019","Currency=USD","Period=FQ","BEST_FPERIOD_OVERRIDE=FQ","FILING_STATUS=MR","SCALING_FORMAT=MLN","Sort=A","Dates=H","DateFormat=P","Fill=—","Direction=H","UseDPDF=Y")</f>
        <v>49098.268499999998</v>
      </c>
      <c r="H10" s="32">
        <f>_xll.BDH("LUMN US Equity","ENTERPRISE_VALUE","FQ4 2019","FQ4 2019","Currency=USD","Period=FQ","BEST_FPERIOD_OVERRIDE=FQ","FILING_STATUS=MR","SCALING_FORMAT=MLN","Sort=A","Dates=H","DateFormat=P","Fill=—","Direction=H","UseDPDF=Y")</f>
        <v>49161.6662</v>
      </c>
      <c r="I10" s="32">
        <f>_xll.BDH("LUMN US Equity","ENTERPRISE_VALUE","FQ1 2020","FQ1 2020","Currency=USD","Period=FQ","BEST_FPERIOD_OVERRIDE=FQ","FILING_STATUS=MR","SCALING_FORMAT=MLN","Sort=A","Dates=H","DateFormat=P","Fill=—","Direction=H","UseDPDF=Y")</f>
        <v>45162.346100000002</v>
      </c>
      <c r="J10" s="32">
        <f>_xll.BDH("LUMN US Equity","ENTERPRISE_VALUE","FQ2 2020","FQ2 2020","Currency=USD","Period=FQ","BEST_FPERIOD_OVERRIDE=FQ","FILING_STATUS=MR","SCALING_FORMAT=MLN","Sort=A","Dates=H","DateFormat=P","Fill=—","Direction=H","UseDPDF=Y")</f>
        <v>44014.053399999997</v>
      </c>
      <c r="K10" s="32"/>
      <c r="L10" s="32"/>
    </row>
    <row r="11" spans="1:12" x14ac:dyDescent="0.25">
      <c r="A11" s="24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5">
      <c r="A12" s="24" t="s">
        <v>37</v>
      </c>
      <c r="B12" s="24" t="s">
        <v>38</v>
      </c>
      <c r="C12" s="32">
        <f>_xll.BDH("LUMN US Equity","SALES_REV_TURN","FQ3 2018","FQ3 2018","Currency=USD","Period=FQ","BEST_FPERIOD_OVERRIDE=FQ","FILING_STATUS=MR","SCALING_FORMAT=MLN","FA_ADJUSTED=Adjusted","Sort=A","Dates=H","DateFormat=P","Fill=—","Direction=H","UseDPDF=Y")</f>
        <v>5818</v>
      </c>
      <c r="D12" s="32">
        <f>_xll.BDH("LUMN US Equity","SALES_REV_TURN","FQ4 2018","FQ4 2018","Currency=USD","Period=FQ","BEST_FPERIOD_OVERRIDE=FQ","FILING_STATUS=MR","SCALING_FORMAT=MLN","FA_ADJUSTED=Adjusted","Sort=A","Dates=H","DateFormat=P","Fill=—","Direction=H","UseDPDF=Y")</f>
        <v>5778</v>
      </c>
      <c r="E12" s="32">
        <f>_xll.BDH("LUMN US Equity","SALES_REV_TURN","FQ1 2019","FQ1 2019","Currency=USD","Period=FQ","BEST_FPERIOD_OVERRIDE=FQ","FILING_STATUS=MR","SCALING_FORMAT=MLN","FA_ADJUSTED=Adjusted","Sort=A","Dates=H","DateFormat=P","Fill=—","Direction=H","UseDPDF=Y")</f>
        <v>5427</v>
      </c>
      <c r="F12" s="32">
        <f>_xll.BDH("LUMN US Equity","SALES_REV_TURN","FQ2 2019","FQ2 2019","Currency=USD","Period=FQ","BEST_FPERIOD_OVERRIDE=FQ","FILING_STATUS=MR","SCALING_FORMAT=MLN","FA_ADJUSTED=Adjusted","Sort=A","Dates=H","DateFormat=P","Fill=—","Direction=H","UseDPDF=Y")</f>
        <v>5375</v>
      </c>
      <c r="G12" s="32">
        <f>_xll.BDH("LUMN US Equity","SALES_REV_TURN","FQ3 2019","FQ3 2019","Currency=USD","Period=FQ","BEST_FPERIOD_OVERRIDE=FQ","FILING_STATUS=MR","SCALING_FORMAT=MLN","FA_ADJUSTED=Adjusted","Sort=A","Dates=H","DateFormat=P","Fill=—","Direction=H","UseDPDF=Y")</f>
        <v>5606</v>
      </c>
      <c r="H12" s="32">
        <f>_xll.BDH("LUMN US Equity","SALES_REV_TURN","FQ4 2019","FQ4 2019","Currency=USD","Period=FQ","BEST_FPERIOD_OVERRIDE=FQ","FILING_STATUS=MR","SCALING_FORMAT=MLN","FA_ADJUSTED=Adjusted","Sort=A","Dates=H","DateFormat=P","Fill=—","Direction=H","UseDPDF=Y")</f>
        <v>5570</v>
      </c>
      <c r="I12" s="32">
        <f>_xll.BDH("LUMN US Equity","SALES_REV_TURN","FQ1 2020","FQ1 2020","Currency=USD","Period=FQ","BEST_FPERIOD_OVERRIDE=FQ","FILING_STATUS=MR","SCALING_FORMAT=MLN","FA_ADJUSTED=Adjusted","Sort=A","Dates=H","DateFormat=P","Fill=—","Direction=H","UseDPDF=Y")</f>
        <v>5228</v>
      </c>
      <c r="J12" s="32">
        <f>_xll.BDH("LUMN US Equity","SALES_REV_TURN","FQ2 2020","FQ2 2020","Currency=USD","Period=FQ","BEST_FPERIOD_OVERRIDE=FQ","FILING_STATUS=MR","SCALING_FORMAT=MLN","FA_ADJUSTED=Adjusted","Sort=A","Dates=H","DateFormat=P","Fill=—","Direction=H","UseDPDF=Y")</f>
        <v>5192</v>
      </c>
      <c r="K12" s="32">
        <v>5136.2669999999998</v>
      </c>
      <c r="L12" s="32">
        <v>5101.7860000000001</v>
      </c>
    </row>
    <row r="13" spans="1:12" x14ac:dyDescent="0.25">
      <c r="A13" s="29" t="s">
        <v>39</v>
      </c>
      <c r="B13" s="29" t="s">
        <v>40</v>
      </c>
      <c r="C13" s="34">
        <f>_xll.BDH("LUMN US Equity","SALES_GROWTH","FQ3 2018","FQ3 2018","Currency=USD","Period=FQ","BEST_FPERIOD_OVERRIDE=FQ","FILING_STATUS=MR","FA_ADJUSTED=Adjusted","Sort=A","Dates=H","DateFormat=P","Fill=—","Direction=H","UseDPDF=Y")</f>
        <v>44.2241</v>
      </c>
      <c r="D13" s="34">
        <f>_xll.BDH("LUMN US Equity","SALES_GROWTH","FQ4 2018","FQ4 2018","Currency=USD","Period=FQ","BEST_FPERIOD_OVERRIDE=FQ","FILING_STATUS=MR","FA_ADJUSTED=Adjusted","Sort=A","Dates=H","DateFormat=P","Fill=—","Direction=H","UseDPDF=Y")</f>
        <v>8.5478000000000005</v>
      </c>
      <c r="E13" s="34">
        <f>_xll.BDH("LUMN US Equity","SALES_GROWTH","FQ1 2019","FQ1 2019","Currency=USD","Period=FQ","BEST_FPERIOD_OVERRIDE=FQ","FILING_STATUS=MR","FA_ADJUSTED=Adjusted","Sort=A","Dates=H","DateFormat=P","Fill=—","Direction=H","UseDPDF=Y")</f>
        <v>-8.7132000000000005</v>
      </c>
      <c r="F13" s="34">
        <f>_xll.BDH("LUMN US Equity","SALES_GROWTH","FQ2 2019","FQ2 2019","Currency=USD","Period=FQ","BEST_FPERIOD_OVERRIDE=FQ","FILING_STATUS=MR","FA_ADJUSTED=Adjusted","Sort=A","Dates=H","DateFormat=P","Fill=—","Direction=H","UseDPDF=Y")</f>
        <v>-8.9291999999999998</v>
      </c>
      <c r="G13" s="34">
        <f>_xll.BDH("LUMN US Equity","SALES_GROWTH","FQ3 2019","FQ3 2019","Currency=USD","Period=FQ","BEST_FPERIOD_OVERRIDE=FQ","FILING_STATUS=MR","FA_ADJUSTED=Adjusted","Sort=A","Dates=H","DateFormat=P","Fill=—","Direction=H","UseDPDF=Y")</f>
        <v>-3.6438999999999999</v>
      </c>
      <c r="H13" s="34">
        <f>_xll.BDH("LUMN US Equity","SALES_GROWTH","FQ4 2019","FQ4 2019","Currency=USD","Period=FQ","BEST_FPERIOD_OVERRIDE=FQ","FILING_STATUS=MR","FA_ADJUSTED=Adjusted","Sort=A","Dates=H","DateFormat=P","Fill=—","Direction=H","UseDPDF=Y")</f>
        <v>-3.5998999999999999</v>
      </c>
      <c r="I13" s="34">
        <f>_xll.BDH("LUMN US Equity","SALES_GROWTH","FQ1 2020","FQ1 2020","Currency=USD","Period=FQ","BEST_FPERIOD_OVERRIDE=FQ","FILING_STATUS=MR","FA_ADJUSTED=Adjusted","Sort=A","Dates=H","DateFormat=P","Fill=—","Direction=H","UseDPDF=Y")</f>
        <v>-3.6669</v>
      </c>
      <c r="J13" s="34">
        <f>_xll.BDH("LUMN US Equity","SALES_GROWTH","FQ2 2020","FQ2 2020","Currency=USD","Period=FQ","BEST_FPERIOD_OVERRIDE=FQ","FILING_STATUS=MR","FA_ADJUSTED=Adjusted","Sort=A","Dates=H","DateFormat=P","Fill=—","Direction=H","UseDPDF=Y")</f>
        <v>-3.4047000000000001</v>
      </c>
      <c r="K13" s="34">
        <v>-8.3791116660720704</v>
      </c>
      <c r="L13" s="34">
        <v>-8.4059964093357298</v>
      </c>
    </row>
    <row r="14" spans="1:12" x14ac:dyDescent="0.25">
      <c r="A14" s="24" t="s">
        <v>41</v>
      </c>
      <c r="B14" s="24" t="s">
        <v>42</v>
      </c>
      <c r="C14" s="32">
        <f>_xll.BDH("LUMN US Equity","GROSS_PROFIT","FQ3 2018","FQ3 2018","Currency=USD","Period=FQ","BEST_FPERIOD_OVERRIDE=FQ","FILING_STATUS=MR","SCALING_FORMAT=MLN","FA_ADJUSTED=Adjusted","Sort=A","Dates=H","DateFormat=P","Fill=—","Direction=H","UseDPDF=Y")</f>
        <v>3146</v>
      </c>
      <c r="D14" s="32">
        <f>_xll.BDH("LUMN US Equity","GROSS_PROFIT","FQ4 2018","FQ4 2018","Currency=USD","Period=FQ","BEST_FPERIOD_OVERRIDE=FQ","FILING_STATUS=MR","SCALING_FORMAT=MLN","FA_ADJUSTED=Adjusted","Sort=A","Dates=H","DateFormat=P","Fill=—","Direction=H","UseDPDF=Y")</f>
        <v>3121</v>
      </c>
      <c r="E14" s="32">
        <f>_xll.BDH("LUMN US Equity","GROSS_PROFIT","FQ1 2019","FQ1 2019","Currency=USD","Period=FQ","BEST_FPERIOD_OVERRIDE=FQ","FILING_STATUS=MR","SCALING_FORMAT=MLN","FA_ADJUSTED=Adjusted","Sort=A","Dates=H","DateFormat=P","Fill=—","Direction=H","UseDPDF=Y")</f>
        <v>3127</v>
      </c>
      <c r="F14" s="32">
        <f>_xll.BDH("LUMN US Equity","GROSS_PROFIT","FQ2 2019","FQ2 2019","Currency=USD","Period=FQ","BEST_FPERIOD_OVERRIDE=FQ","FILING_STATUS=MR","SCALING_FORMAT=MLN","FA_ADJUSTED=Adjusted","Sort=A","Dates=H","DateFormat=P","Fill=—","Direction=H","UseDPDF=Y")</f>
        <v>3132</v>
      </c>
      <c r="G14" s="32">
        <f>_xll.BDH("LUMN US Equity","GROSS_PROFIT","FQ3 2019","FQ3 2019","Currency=USD","Period=FQ","BEST_FPERIOD_OVERRIDE=FQ","FILING_STATUS=MR","SCALING_FORMAT=MLN","FA_ADJUSTED=Adjusted","Sort=A","Dates=H","DateFormat=P","Fill=—","Direction=H","UseDPDF=Y")</f>
        <v>3016</v>
      </c>
      <c r="H14" s="32">
        <f>_xll.BDH("LUMN US Equity","GROSS_PROFIT","FQ4 2019","FQ4 2019","Currency=USD","Period=FQ","BEST_FPERIOD_OVERRIDE=FQ","FILING_STATUS=MR","SCALING_FORMAT=MLN","FA_ADJUSTED=Adjusted","Sort=A","Dates=H","DateFormat=P","Fill=—","Direction=H","UseDPDF=Y")</f>
        <v>3049</v>
      </c>
      <c r="I14" s="32">
        <f>_xll.BDH("LUMN US Equity","GROSS_PROFIT","FQ1 2020","FQ1 2020","Currency=USD","Period=FQ","BEST_FPERIOD_OVERRIDE=FQ","FILING_STATUS=MR","SCALING_FORMAT=MLN","FA_ADJUSTED=Adjusted","Sort=A","Dates=H","DateFormat=P","Fill=—","Direction=H","UseDPDF=Y")</f>
        <v>2993</v>
      </c>
      <c r="J14" s="32">
        <f>_xll.BDH("LUMN US Equity","GROSS_PROFIT","FQ2 2020","FQ2 2020","Currency=USD","Period=FQ","BEST_FPERIOD_OVERRIDE=FQ","FILING_STATUS=MR","SCALING_FORMAT=MLN","FA_ADJUSTED=Adjusted","Sort=A","Dates=H","DateFormat=P","Fill=—","Direction=H","UseDPDF=Y")</f>
        <v>2960</v>
      </c>
      <c r="K14" s="32">
        <v>2904.7130765100001</v>
      </c>
      <c r="L14" s="32">
        <v>2903.0182697199998</v>
      </c>
    </row>
    <row r="15" spans="1:12" x14ac:dyDescent="0.25">
      <c r="A15" s="29" t="s">
        <v>43</v>
      </c>
      <c r="B15" s="29" t="s">
        <v>42</v>
      </c>
      <c r="C15" s="34">
        <v>54.073564798900001</v>
      </c>
      <c r="D15" s="34">
        <v>54.015230183454499</v>
      </c>
      <c r="E15" s="34">
        <v>57.619310853141698</v>
      </c>
      <c r="F15" s="34">
        <v>58.269767441860502</v>
      </c>
      <c r="G15" s="34">
        <v>53.799500535140901</v>
      </c>
      <c r="H15" s="34">
        <v>54.739676840215402</v>
      </c>
      <c r="I15" s="34">
        <v>57.249426166794201</v>
      </c>
      <c r="J15" s="34">
        <v>57.010785824345099</v>
      </c>
      <c r="K15" s="34">
        <v>56.552999999999997</v>
      </c>
      <c r="L15" s="34">
        <v>56.902000000000001</v>
      </c>
    </row>
    <row r="16" spans="1:12" x14ac:dyDescent="0.25">
      <c r="A16" s="24" t="s">
        <v>44</v>
      </c>
      <c r="B16" s="24" t="s">
        <v>45</v>
      </c>
      <c r="C16" s="32">
        <f>_xll.BDH("LUMN US Equity","EBITDA","FQ3 2018","FQ3 2018","Currency=USD","Period=FQ","BEST_FPERIOD_OVERRIDE=FQ","FILING_STATUS=MR","SCALING_FORMAT=MLN","FA_ADJUSTED=Adjusted","Sort=A","Dates=H","DateFormat=P","Fill=—","Direction=H","UseDPDF=Y")</f>
        <v>2220</v>
      </c>
      <c r="D16" s="32">
        <f>_xll.BDH("LUMN US Equity","EBITDA","FQ4 2018","FQ4 2018","Currency=USD","Period=FQ","BEST_FPERIOD_OVERRIDE=FQ","FILING_STATUS=MR","SCALING_FORMAT=MLN","FA_ADJUSTED=Adjusted","Sort=A","Dates=H","DateFormat=P","Fill=—","Direction=H","UseDPDF=Y")</f>
        <v>2264</v>
      </c>
      <c r="E16" s="32">
        <f>_xll.BDH("LUMN US Equity","EBITDA","FQ1 2019","FQ1 2019","Currency=USD","Period=FQ","BEST_FPERIOD_OVERRIDE=FQ","FILING_STATUS=MR","SCALING_FORMAT=MLN","FA_ADJUSTED=Adjusted","Sort=A","Dates=H","DateFormat=P","Fill=—","Direction=H","UseDPDF=Y")</f>
        <v>2229</v>
      </c>
      <c r="F16" s="32">
        <f>_xll.BDH("LUMN US Equity","EBITDA","FQ2 2019","FQ2 2019","Currency=USD","Period=FQ","BEST_FPERIOD_OVERRIDE=FQ","FILING_STATUS=MR","SCALING_FORMAT=MLN","FA_ADJUSTED=Adjusted","Sort=A","Dates=H","DateFormat=P","Fill=—","Direction=H","UseDPDF=Y")</f>
        <v>2392</v>
      </c>
      <c r="G16" s="32">
        <f>_xll.BDH("LUMN US Equity","EBITDA","FQ3 2019","FQ3 2019","Currency=USD","Period=FQ","BEST_FPERIOD_OVERRIDE=FQ","FILING_STATUS=MR","SCALING_FORMAT=MLN","FA_ADJUSTED=Adjusted","Sort=A","Dates=H","DateFormat=P","Fill=—","Direction=H","UseDPDF=Y")</f>
        <v>2380</v>
      </c>
      <c r="H16" s="32">
        <f>_xll.BDH("LUMN US Equity","EBITDA","FQ4 2019","FQ4 2019","Currency=USD","Period=FQ","BEST_FPERIOD_OVERRIDE=FQ","FILING_STATUS=MR","SCALING_FORMAT=MLN","FA_ADJUSTED=Adjusted","Sort=A","Dates=H","DateFormat=P","Fill=—","Direction=H","UseDPDF=Y")</f>
        <v>2391</v>
      </c>
      <c r="I16" s="32">
        <f>_xll.BDH("LUMN US Equity","EBITDA","FQ1 2020","FQ1 2020","Currency=USD","Period=FQ","BEST_FPERIOD_OVERRIDE=FQ","FILING_STATUS=MR","SCALING_FORMAT=MLN","FA_ADJUSTED=Adjusted","Sort=A","Dates=H","DateFormat=P","Fill=—","Direction=H","UseDPDF=Y")</f>
        <v>2174</v>
      </c>
      <c r="J16" s="32">
        <f>_xll.BDH("LUMN US Equity","EBITDA","FQ2 2020","FQ2 2020","Currency=USD","Period=FQ","BEST_FPERIOD_OVERRIDE=FQ","FILING_STATUS=MR","SCALING_FORMAT=MLN","FA_ADJUSTED=Adjusted","Sort=A","Dates=H","DateFormat=P","Fill=—","Direction=H","UseDPDF=Y")</f>
        <v>2154</v>
      </c>
      <c r="K16" s="32">
        <v>2153.4290000000001</v>
      </c>
      <c r="L16" s="32">
        <v>2152.154</v>
      </c>
    </row>
    <row r="17" spans="1:12" x14ac:dyDescent="0.25">
      <c r="A17" s="29" t="s">
        <v>43</v>
      </c>
      <c r="B17" s="29" t="s">
        <v>45</v>
      </c>
      <c r="C17" s="34">
        <v>38.157442420075597</v>
      </c>
      <c r="D17" s="34">
        <v>39.183108341986802</v>
      </c>
      <c r="E17" s="34">
        <v>41.0724156992814</v>
      </c>
      <c r="F17" s="34">
        <v>44.502325581395297</v>
      </c>
      <c r="G17" s="34">
        <v>42.454513021762402</v>
      </c>
      <c r="H17" s="34">
        <v>42.926391382405697</v>
      </c>
      <c r="I17" s="34">
        <v>41.583779648049003</v>
      </c>
      <c r="J17" s="34">
        <v>41.4869029275809</v>
      </c>
      <c r="K17" s="34">
        <v>41.925955173280499</v>
      </c>
      <c r="L17" s="34">
        <v>42.1843252539405</v>
      </c>
    </row>
    <row r="18" spans="1:12" x14ac:dyDescent="0.25">
      <c r="A18" s="24" t="s">
        <v>46</v>
      </c>
      <c r="B18" s="24" t="s">
        <v>47</v>
      </c>
      <c r="C18" s="32">
        <f>_xll.BDH("LUMN US Equity","EARN_FOR_COMMON","FQ3 2018","FQ3 2018","Currency=USD","Period=FQ","BEST_FPERIOD_OVERRIDE=FQ","FILING_STATUS=MR","SCALING_FORMAT=MLN","FA_ADJUSTED=Adjusted","Sort=A","Dates=H","DateFormat=P","Fill=—","Direction=H","UseDPDF=Y")</f>
        <v>327</v>
      </c>
      <c r="D18" s="32">
        <f>_xll.BDH("LUMN US Equity","EARN_FOR_COMMON","FQ4 2018","FQ4 2018","Currency=USD","Period=FQ","BEST_FPERIOD_OVERRIDE=FQ","FILING_STATUS=MR","SCALING_FORMAT=MLN","FA_ADJUSTED=Adjusted","Sort=A","Dates=H","DateFormat=P","Fill=—","Direction=H","UseDPDF=Y")</f>
        <v>385</v>
      </c>
      <c r="E18" s="32">
        <f>_xll.BDH("LUMN US Equity","EARN_FOR_COMMON","FQ1 2019","FQ1 2019","Currency=USD","Period=FQ","BEST_FPERIOD_OVERRIDE=FQ","FILING_STATUS=MR","SCALING_FORMAT=MLN","FA_ADJUSTED=Adjusted","Sort=A","Dates=H","DateFormat=P","Fill=—","Direction=H","UseDPDF=Y")</f>
        <v>360</v>
      </c>
      <c r="F18" s="32">
        <f>_xll.BDH("LUMN US Equity","EARN_FOR_COMMON","FQ2 2019","FQ2 2019","Currency=USD","Period=FQ","BEST_FPERIOD_OVERRIDE=FQ","FILING_STATUS=MR","SCALING_FORMAT=MLN","FA_ADJUSTED=Adjusted","Sort=A","Dates=H","DateFormat=P","Fill=—","Direction=H","UseDPDF=Y")</f>
        <v>369</v>
      </c>
      <c r="G18" s="32">
        <f>_xll.BDH("LUMN US Equity","EARN_FOR_COMMON","FQ3 2019","FQ3 2019","Currency=USD","Period=FQ","BEST_FPERIOD_OVERRIDE=FQ","FILING_STATUS=MR","SCALING_FORMAT=MLN","FA_ADJUSTED=Adjusted","Sort=A","Dates=H","DateFormat=P","Fill=—","Direction=H","UseDPDF=Y")</f>
        <v>328</v>
      </c>
      <c r="H18" s="32">
        <f>_xll.BDH("LUMN US Equity","EARN_FOR_COMMON","FQ4 2019","FQ4 2019","Currency=USD","Period=FQ","BEST_FPERIOD_OVERRIDE=FQ","FILING_STATUS=MR","SCALING_FORMAT=MLN","FA_ADJUSTED=Adjusted","Sort=A","Dates=H","DateFormat=P","Fill=—","Direction=H","UseDPDF=Y")</f>
        <v>352</v>
      </c>
      <c r="I18" s="32">
        <f>_xll.BDH("LUMN US Equity","EARN_FOR_COMMON","FQ1 2020","FQ1 2020","Currency=USD","Period=FQ","BEST_FPERIOD_OVERRIDE=FQ","FILING_STATUS=MR","SCALING_FORMAT=MLN","FA_ADJUSTED=Adjusted","Sort=A","Dates=H","DateFormat=P","Fill=—","Direction=H","UseDPDF=Y")</f>
        <v>399</v>
      </c>
      <c r="J18" s="32">
        <f>_xll.BDH("LUMN US Equity","EARN_FOR_COMMON","FQ2 2020","FQ2 2020","Currency=USD","Period=FQ","BEST_FPERIOD_OVERRIDE=FQ","FILING_STATUS=MR","SCALING_FORMAT=MLN","FA_ADJUSTED=Adjusted","Sort=A","Dates=H","DateFormat=P","Fill=—","Direction=H","UseDPDF=Y")</f>
        <v>450</v>
      </c>
      <c r="K18" s="32">
        <v>318</v>
      </c>
      <c r="L18" s="32">
        <v>317</v>
      </c>
    </row>
    <row r="19" spans="1:12" x14ac:dyDescent="0.25">
      <c r="A19" s="29" t="s">
        <v>43</v>
      </c>
      <c r="B19" s="29" t="s">
        <v>47</v>
      </c>
      <c r="C19" s="34">
        <v>5.6204881402543796</v>
      </c>
      <c r="D19" s="34">
        <v>6.6632056074766401</v>
      </c>
      <c r="E19" s="34">
        <v>6.6334991708126001</v>
      </c>
      <c r="F19" s="34">
        <v>6.8651162790697704</v>
      </c>
      <c r="G19" s="34">
        <v>5.8508740635033902</v>
      </c>
      <c r="H19" s="34">
        <v>6.3195692280071798</v>
      </c>
      <c r="I19" s="34">
        <v>7.6319807957153802</v>
      </c>
      <c r="J19" s="34">
        <v>8.6671802773497699</v>
      </c>
      <c r="K19" s="34">
        <v>6.1912669259600399</v>
      </c>
      <c r="L19" s="34">
        <v>6.2135103275598</v>
      </c>
    </row>
    <row r="20" spans="1:12" x14ac:dyDescent="0.25">
      <c r="A20" s="24" t="s">
        <v>48</v>
      </c>
      <c r="B20" s="24" t="s">
        <v>49</v>
      </c>
      <c r="C20" s="33">
        <f>_xll.BDH("LUMN US Equity","IS_DIL_EPS_CONT_OPS","FQ3 2018","FQ3 2018","Currency=USD","Period=FQ","BEST_FPERIOD_OVERRIDE=FQ","FILING_STATUS=MR","Sort=A","Dates=H","DateFormat=P","Fill=—","Direction=H","UseDPDF=Y")</f>
        <v>0.30130000000000001</v>
      </c>
      <c r="D20" s="33">
        <f>_xll.BDH("LUMN US Equity","IS_DIL_EPS_CONT_OPS","FQ4 2018","FQ4 2018","Currency=USD","Period=FQ","BEST_FPERIOD_OVERRIDE=FQ","FILING_STATUS=MR","Sort=A","Dates=H","DateFormat=P","Fill=—","Direction=H","UseDPDF=Y")</f>
        <v>0.36070000000000002</v>
      </c>
      <c r="E20" s="33">
        <f>_xll.BDH("LUMN US Equity","IS_DIL_EPS_CONT_OPS","FQ1 2019","FQ1 2019","Currency=USD","Period=FQ","BEST_FPERIOD_OVERRIDE=FQ","FILING_STATUS=MR","Sort=A","Dates=H","DateFormat=P","Fill=—","Direction=H","UseDPDF=Y")</f>
        <v>0.33450000000000002</v>
      </c>
      <c r="F20" s="33">
        <f>_xll.BDH("LUMN US Equity","IS_DIL_EPS_CONT_OPS","FQ2 2019","FQ2 2019","Currency=USD","Period=FQ","BEST_FPERIOD_OVERRIDE=FQ","FILING_STATUS=MR","Sort=A","Dates=H","DateFormat=P","Fill=—","Direction=H","UseDPDF=Y")</f>
        <v>0.34439999999999998</v>
      </c>
      <c r="G20" s="33">
        <f>_xll.BDH("LUMN US Equity","IS_DIL_EPS_CONT_OPS","FQ3 2019","FQ3 2019","Currency=USD","Period=FQ","BEST_FPERIOD_OVERRIDE=FQ","FILING_STATUS=MR","Sort=A","Dates=H","DateFormat=P","Fill=—","Direction=H","UseDPDF=Y")</f>
        <v>0.30420000000000003</v>
      </c>
      <c r="H20" s="33">
        <f>_xll.BDH("LUMN US Equity","IS_DIL_EPS_CONT_OPS","FQ4 2019","FQ4 2019","Currency=USD","Period=FQ","BEST_FPERIOD_OVERRIDE=FQ","FILING_STATUS=MR","Sort=A","Dates=H","DateFormat=P","Fill=—","Direction=H","UseDPDF=Y")</f>
        <v>0.3281</v>
      </c>
      <c r="I20" s="33">
        <f>_xll.BDH("LUMN US Equity","IS_DIL_EPS_CONT_OPS","FQ1 2020","FQ1 2020","Currency=USD","Period=FQ","BEST_FPERIOD_OVERRIDE=FQ","FILING_STATUS=MR","Sort=A","Dates=H","DateFormat=P","Fill=—","Direction=H","UseDPDF=Y")</f>
        <v>0.36859999999999998</v>
      </c>
      <c r="J20" s="33">
        <f>_xll.BDH("LUMN US Equity","IS_DIL_EPS_CONT_OPS","FQ2 2020","FQ2 2020","Currency=USD","Period=FQ","BEST_FPERIOD_OVERRIDE=FQ","FILING_STATUS=MR","Sort=A","Dates=H","DateFormat=P","Fill=—","Direction=H","UseDPDF=Y")</f>
        <v>0.41689999999999999</v>
      </c>
      <c r="K20" s="33">
        <v>0.29699999999999999</v>
      </c>
      <c r="L20" s="33">
        <v>0.28899999999999998</v>
      </c>
    </row>
    <row r="21" spans="1:12" x14ac:dyDescent="0.25">
      <c r="A21" s="29" t="s">
        <v>39</v>
      </c>
      <c r="B21" s="29" t="s">
        <v>49</v>
      </c>
      <c r="C21" s="34">
        <v>9.4804123561495306</v>
      </c>
      <c r="D21" s="34">
        <v>47.130365270730998</v>
      </c>
      <c r="E21" s="34">
        <v>80.071806520721097</v>
      </c>
      <c r="F21" s="34">
        <v>32.144994705422</v>
      </c>
      <c r="G21" s="34">
        <v>0.963194806315536</v>
      </c>
      <c r="H21" s="34">
        <v>-9.0628863521702296</v>
      </c>
      <c r="I21" s="34">
        <v>10.1766049286765</v>
      </c>
      <c r="J21" s="34">
        <v>21.0322621854205</v>
      </c>
      <c r="K21" s="34">
        <v>-2.3639752655403998</v>
      </c>
      <c r="L21" s="34">
        <v>-11.9042103081219</v>
      </c>
    </row>
    <row r="22" spans="1:12" x14ac:dyDescent="0.25">
      <c r="A22" s="24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25">
      <c r="A23" s="24" t="s">
        <v>50</v>
      </c>
      <c r="B23" s="24" t="s">
        <v>51</v>
      </c>
      <c r="C23" s="32">
        <f>_xll.BDH("LUMN US Equity","CF_CASH_FROM_OPER","FQ3 2018","FQ3 2018","Currency=USD","Period=FQ","BEST_FPERIOD_OVERRIDE=FQ","FILING_STATUS=MR","SCALING_FORMAT=MLN","Sort=A","Dates=H","DateFormat=P","Fill=—","Direction=H","UseDPDF=Y")</f>
        <v>1787</v>
      </c>
      <c r="D23" s="32">
        <f>_xll.BDH("LUMN US Equity","CF_CASH_FROM_OPER","FQ4 2018","FQ4 2018","Currency=USD","Period=FQ","BEST_FPERIOD_OVERRIDE=FQ","FILING_STATUS=MR","SCALING_FORMAT=MLN","Sort=A","Dates=H","DateFormat=P","Fill=—","Direction=H","UseDPDF=Y")</f>
        <v>1996</v>
      </c>
      <c r="E23" s="32">
        <f>_xll.BDH("LUMN US Equity","CF_CASH_FROM_OPER","FQ1 2019","FQ1 2019","Currency=USD","Period=FQ","BEST_FPERIOD_OVERRIDE=FQ","FILING_STATUS=MR","SCALING_FORMAT=MLN","Sort=A","Dates=H","DateFormat=P","Fill=—","Direction=H","UseDPDF=Y")</f>
        <v>1182</v>
      </c>
      <c r="F23" s="32">
        <f>_xll.BDH("LUMN US Equity","CF_CASH_FROM_OPER","FQ2 2019","FQ2 2019","Currency=USD","Period=FQ","BEST_FPERIOD_OVERRIDE=FQ","FILING_STATUS=MR","SCALING_FORMAT=MLN","Sort=A","Dates=H","DateFormat=P","Fill=—","Direction=H","UseDPDF=Y")</f>
        <v>1701</v>
      </c>
      <c r="G23" s="32">
        <f>_xll.BDH("LUMN US Equity","CF_CASH_FROM_OPER","FQ3 2019","FQ3 2019","Currency=USD","Period=FQ","BEST_FPERIOD_OVERRIDE=FQ","FILING_STATUS=MR","SCALING_FORMAT=MLN","Sort=A","Dates=H","DateFormat=P","Fill=—","Direction=H","UseDPDF=Y")</f>
        <v>1888</v>
      </c>
      <c r="H23" s="32">
        <f>_xll.BDH("LUMN US Equity","CF_CASH_FROM_OPER","FQ4 2019","FQ4 2019","Currency=USD","Period=FQ","BEST_FPERIOD_OVERRIDE=FQ","FILING_STATUS=MR","SCALING_FORMAT=MLN","Sort=A","Dates=H","DateFormat=P","Fill=—","Direction=H","UseDPDF=Y")</f>
        <v>1909</v>
      </c>
      <c r="I23" s="32">
        <f>_xll.BDH("LUMN US Equity","CF_CASH_FROM_OPER","FQ1 2020","FQ1 2020","Currency=USD","Period=FQ","BEST_FPERIOD_OVERRIDE=FQ","FILING_STATUS=MR","SCALING_FORMAT=MLN","Sort=A","Dates=H","DateFormat=P","Fill=—","Direction=H","UseDPDF=Y")</f>
        <v>1299</v>
      </c>
      <c r="J23" s="32">
        <f>_xll.BDH("LUMN US Equity","CF_CASH_FROM_OPER","FQ2 2020","FQ2 2020","Currency=USD","Period=FQ","BEST_FPERIOD_OVERRIDE=FQ","FILING_STATUS=MR","SCALING_FORMAT=MLN","Sort=A","Dates=H","DateFormat=P","Fill=—","Direction=H","UseDPDF=Y")</f>
        <v>1749</v>
      </c>
      <c r="K23" s="32"/>
      <c r="L23" s="32"/>
    </row>
    <row r="24" spans="1:12" x14ac:dyDescent="0.25">
      <c r="A24" s="24" t="s">
        <v>52</v>
      </c>
      <c r="B24" s="24" t="s">
        <v>53</v>
      </c>
      <c r="C24" s="32">
        <f>_xll.BDH("LUMN US Equity","CAPITAL_EXPEND","FQ3 2018","FQ3 2018","Currency=USD","Period=FQ","BEST_FPERIOD_OVERRIDE=FQ","FILING_STATUS=MR","SCALING_FORMAT=MLN","Sort=A","Dates=H","DateFormat=P","Fill=—","Direction=H","UseDPDF=Y")</f>
        <v>-684</v>
      </c>
      <c r="D24" s="32">
        <f>_xll.BDH("LUMN US Equity","CAPITAL_EXPEND","FQ4 2018","FQ4 2018","Currency=USD","Period=FQ","BEST_FPERIOD_OVERRIDE=FQ","FILING_STATUS=MR","SCALING_FORMAT=MLN","Sort=A","Dates=H","DateFormat=P","Fill=—","Direction=H","UseDPDF=Y")</f>
        <v>-915</v>
      </c>
      <c r="E24" s="32">
        <f>_xll.BDH("LUMN US Equity","CAPITAL_EXPEND","FQ1 2019","FQ1 2019","Currency=USD","Period=FQ","BEST_FPERIOD_OVERRIDE=FQ","FILING_STATUS=MR","SCALING_FORMAT=MLN","Sort=A","Dates=H","DateFormat=P","Fill=—","Direction=H","UseDPDF=Y")</f>
        <v>-931</v>
      </c>
      <c r="F24" s="32">
        <f>_xll.BDH("LUMN US Equity","CAPITAL_EXPEND","FQ2 2019","FQ2 2019","Currency=USD","Period=FQ","BEST_FPERIOD_OVERRIDE=FQ","FILING_STATUS=MR","SCALING_FORMAT=MLN","Sort=A","Dates=H","DateFormat=P","Fill=—","Direction=H","UseDPDF=Y")</f>
        <v>-800</v>
      </c>
      <c r="G24" s="32">
        <f>_xll.BDH("LUMN US Equity","CAPITAL_EXPEND","FQ3 2019","FQ3 2019","Currency=USD","Period=FQ","BEST_FPERIOD_OVERRIDE=FQ","FILING_STATUS=MR","SCALING_FORMAT=MLN","Sort=A","Dates=H","DateFormat=P","Fill=—","Direction=H","UseDPDF=Y")</f>
        <v>-957</v>
      </c>
      <c r="H24" s="32">
        <f>_xll.BDH("LUMN US Equity","CAPITAL_EXPEND","FQ4 2019","FQ4 2019","Currency=USD","Period=FQ","BEST_FPERIOD_OVERRIDE=FQ","FILING_STATUS=MR","SCALING_FORMAT=MLN","Sort=A","Dates=H","DateFormat=P","Fill=—","Direction=H","UseDPDF=Y")</f>
        <v>-940</v>
      </c>
      <c r="I24" s="32">
        <f>_xll.BDH("LUMN US Equity","CAPITAL_EXPEND","FQ1 2020","FQ1 2020","Currency=USD","Period=FQ","BEST_FPERIOD_OVERRIDE=FQ","FILING_STATUS=MR","SCALING_FORMAT=MLN","Sort=A","Dates=H","DateFormat=P","Fill=—","Direction=H","UseDPDF=Y")</f>
        <v>-974</v>
      </c>
      <c r="J24" s="32">
        <f>_xll.BDH("LUMN US Equity","CAPITAL_EXPEND","FQ2 2020","FQ2 2020","Currency=USD","Period=FQ","BEST_FPERIOD_OVERRIDE=FQ","FILING_STATUS=MR","SCALING_FORMAT=MLN","Sort=A","Dates=H","DateFormat=P","Fill=—","Direction=H","UseDPDF=Y")</f>
        <v>-1009</v>
      </c>
      <c r="K24" s="32">
        <v>-871.54499999999996</v>
      </c>
      <c r="L24" s="32">
        <v>-871.6</v>
      </c>
    </row>
    <row r="25" spans="1:12" x14ac:dyDescent="0.25">
      <c r="A25" s="24" t="s">
        <v>54</v>
      </c>
      <c r="B25" s="24" t="s">
        <v>55</v>
      </c>
      <c r="C25" s="32">
        <f>_xll.BDH("LUMN US Equity","CF_FREE_CASH_FLOW","FQ3 2018","FQ3 2018","Currency=USD","Period=FQ","BEST_FPERIOD_OVERRIDE=FQ","FILING_STATUS=MR","SCALING_FORMAT=MLN","Sort=A","Dates=H","DateFormat=P","Fill=—","Direction=H","UseDPDF=Y")</f>
        <v>1103</v>
      </c>
      <c r="D25" s="32">
        <f>_xll.BDH("LUMN US Equity","CF_FREE_CASH_FLOW","FQ4 2018","FQ4 2018","Currency=USD","Period=FQ","BEST_FPERIOD_OVERRIDE=FQ","FILING_STATUS=MR","SCALING_FORMAT=MLN","Sort=A","Dates=H","DateFormat=P","Fill=—","Direction=H","UseDPDF=Y")</f>
        <v>1081</v>
      </c>
      <c r="E25" s="32">
        <f>_xll.BDH("LUMN US Equity","CF_FREE_CASH_FLOW","FQ1 2019","FQ1 2019","Currency=USD","Period=FQ","BEST_FPERIOD_OVERRIDE=FQ","FILING_STATUS=MR","SCALING_FORMAT=MLN","Sort=A","Dates=H","DateFormat=P","Fill=—","Direction=H","UseDPDF=Y")</f>
        <v>251</v>
      </c>
      <c r="F25" s="32">
        <f>_xll.BDH("LUMN US Equity","CF_FREE_CASH_FLOW","FQ2 2019","FQ2 2019","Currency=USD","Period=FQ","BEST_FPERIOD_OVERRIDE=FQ","FILING_STATUS=MR","SCALING_FORMAT=MLN","Sort=A","Dates=H","DateFormat=P","Fill=—","Direction=H","UseDPDF=Y")</f>
        <v>901</v>
      </c>
      <c r="G25" s="32">
        <f>_xll.BDH("LUMN US Equity","CF_FREE_CASH_FLOW","FQ3 2019","FQ3 2019","Currency=USD","Period=FQ","BEST_FPERIOD_OVERRIDE=FQ","FILING_STATUS=MR","SCALING_FORMAT=MLN","Sort=A","Dates=H","DateFormat=P","Fill=—","Direction=H","UseDPDF=Y")</f>
        <v>931</v>
      </c>
      <c r="H25" s="32">
        <f>_xll.BDH("LUMN US Equity","CF_FREE_CASH_FLOW","FQ4 2019","FQ4 2019","Currency=USD","Period=FQ","BEST_FPERIOD_OVERRIDE=FQ","FILING_STATUS=MR","SCALING_FORMAT=MLN","Sort=A","Dates=H","DateFormat=P","Fill=—","Direction=H","UseDPDF=Y")</f>
        <v>969</v>
      </c>
      <c r="I25" s="32">
        <f>_xll.BDH("LUMN US Equity","CF_FREE_CASH_FLOW","FQ1 2020","FQ1 2020","Currency=USD","Period=FQ","BEST_FPERIOD_OVERRIDE=FQ","FILING_STATUS=MR","SCALING_FORMAT=MLN","Sort=A","Dates=H","DateFormat=P","Fill=—","Direction=H","UseDPDF=Y")</f>
        <v>325</v>
      </c>
      <c r="J25" s="32">
        <f>_xll.BDH("LUMN US Equity","CF_FREE_CASH_FLOW","FQ2 2020","FQ2 2020","Currency=USD","Period=FQ","BEST_FPERIOD_OVERRIDE=FQ","FILING_STATUS=MR","SCALING_FORMAT=MLN","Sort=A","Dates=H","DateFormat=P","Fill=—","Direction=H","UseDPDF=Y")</f>
        <v>740</v>
      </c>
      <c r="K25" s="32">
        <v>846.149</v>
      </c>
      <c r="L25" s="32">
        <v>827.00099999999998</v>
      </c>
    </row>
    <row r="26" spans="1:12" x14ac:dyDescent="0.25">
      <c r="A26" s="25" t="s">
        <v>56</v>
      </c>
      <c r="B26" s="25"/>
      <c r="C26" s="25" t="s">
        <v>3</v>
      </c>
      <c r="D26" s="25"/>
      <c r="E26" s="25"/>
      <c r="F26" s="25"/>
      <c r="G26" s="25"/>
      <c r="H26" s="25"/>
      <c r="I26" s="25"/>
      <c r="J26" s="25"/>
      <c r="K26" s="25"/>
      <c r="L2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5130-07BC-4F1C-8554-3521387620D5}">
  <dimension ref="A1:L73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12" width="11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 x14ac:dyDescent="0.25">
      <c r="A2" s="2" t="s">
        <v>170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169</v>
      </c>
      <c r="B4" s="4"/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</row>
    <row r="5" spans="1:12" x14ac:dyDescent="0.25">
      <c r="A5" s="6" t="s">
        <v>16</v>
      </c>
      <c r="B5" s="6"/>
      <c r="C5" s="7" t="s">
        <v>17</v>
      </c>
      <c r="D5" s="7" t="s">
        <v>18</v>
      </c>
      <c r="E5" s="7" t="s">
        <v>19</v>
      </c>
      <c r="F5" s="7" t="s">
        <v>20</v>
      </c>
      <c r="G5" s="7" t="s">
        <v>21</v>
      </c>
      <c r="H5" s="7" t="s">
        <v>22</v>
      </c>
      <c r="I5" s="7" t="s">
        <v>23</v>
      </c>
      <c r="J5" s="7" t="s">
        <v>24</v>
      </c>
      <c r="K5" s="7" t="s">
        <v>25</v>
      </c>
      <c r="L5" s="7" t="s">
        <v>26</v>
      </c>
    </row>
    <row r="6" spans="1:12" x14ac:dyDescent="0.25">
      <c r="A6" s="12" t="s">
        <v>0</v>
      </c>
      <c r="B6" s="12" t="s">
        <v>38</v>
      </c>
      <c r="C6" s="10">
        <f>_xll.BDH("LUMN US Equity","SALES_REV_TURN","FQ3 2018","FQ3 2018","Currency=USD","Period=FQ","BEST_FPERIOD_OVERRIDE=FQ","FILING_STATUS=MR","SCALING_FORMAT=MLN","FA_ADJUSTED=Adjusted","Sort=A","Dates=H","DateFormat=P","Fill=—","Direction=H","UseDPDF=Y")</f>
        <v>5818</v>
      </c>
      <c r="D6" s="10">
        <f>_xll.BDH("LUMN US Equity","SALES_REV_TURN","FQ4 2018","FQ4 2018","Currency=USD","Period=FQ","BEST_FPERIOD_OVERRIDE=FQ","FILING_STATUS=MR","SCALING_FORMAT=MLN","FA_ADJUSTED=Adjusted","Sort=A","Dates=H","DateFormat=P","Fill=—","Direction=H","UseDPDF=Y")</f>
        <v>5778</v>
      </c>
      <c r="E6" s="10">
        <f>_xll.BDH("LUMN US Equity","SALES_REV_TURN","FQ1 2019","FQ1 2019","Currency=USD","Period=FQ","BEST_FPERIOD_OVERRIDE=FQ","FILING_STATUS=MR","SCALING_FORMAT=MLN","FA_ADJUSTED=Adjusted","Sort=A","Dates=H","DateFormat=P","Fill=—","Direction=H","UseDPDF=Y")</f>
        <v>5427</v>
      </c>
      <c r="F6" s="10">
        <f>_xll.BDH("LUMN US Equity","SALES_REV_TURN","FQ2 2019","FQ2 2019","Currency=USD","Period=FQ","BEST_FPERIOD_OVERRIDE=FQ","FILING_STATUS=MR","SCALING_FORMAT=MLN","FA_ADJUSTED=Adjusted","Sort=A","Dates=H","DateFormat=P","Fill=—","Direction=H","UseDPDF=Y")</f>
        <v>5375</v>
      </c>
      <c r="G6" s="10">
        <f>_xll.BDH("LUMN US Equity","SALES_REV_TURN","FQ3 2019","FQ3 2019","Currency=USD","Period=FQ","BEST_FPERIOD_OVERRIDE=FQ","FILING_STATUS=MR","SCALING_FORMAT=MLN","FA_ADJUSTED=Adjusted","Sort=A","Dates=H","DateFormat=P","Fill=—","Direction=H","UseDPDF=Y")</f>
        <v>5606</v>
      </c>
      <c r="H6" s="10">
        <f>_xll.BDH("LUMN US Equity","SALES_REV_TURN","FQ4 2019","FQ4 2019","Currency=USD","Period=FQ","BEST_FPERIOD_OVERRIDE=FQ","FILING_STATUS=MR","SCALING_FORMAT=MLN","FA_ADJUSTED=Adjusted","Sort=A","Dates=H","DateFormat=P","Fill=—","Direction=H","UseDPDF=Y")</f>
        <v>5570</v>
      </c>
      <c r="I6" s="10">
        <f>_xll.BDH("LUMN US Equity","SALES_REV_TURN","FQ1 2020","FQ1 2020","Currency=USD","Period=FQ","BEST_FPERIOD_OVERRIDE=FQ","FILING_STATUS=MR","SCALING_FORMAT=MLN","FA_ADJUSTED=Adjusted","Sort=A","Dates=H","DateFormat=P","Fill=—","Direction=H","UseDPDF=Y")</f>
        <v>5228</v>
      </c>
      <c r="J6" s="10">
        <f>_xll.BDH("LUMN US Equity","SALES_REV_TURN","FQ2 2020","FQ2 2020","Currency=USD","Period=FQ","BEST_FPERIOD_OVERRIDE=FQ","FILING_STATUS=MR","SCALING_FORMAT=MLN","FA_ADJUSTED=Adjusted","Sort=A","Dates=H","DateFormat=P","Fill=—","Direction=H","UseDPDF=Y")</f>
        <v>5192</v>
      </c>
      <c r="K6" s="10">
        <v>5136.2669999999998</v>
      </c>
      <c r="L6" s="10">
        <v>5101.7860000000001</v>
      </c>
    </row>
    <row r="7" spans="1:12" x14ac:dyDescent="0.25">
      <c r="A7" s="16" t="s">
        <v>168</v>
      </c>
      <c r="B7" s="16" t="s">
        <v>167</v>
      </c>
      <c r="C7" s="17">
        <f>_xll.BDH("LUMN US Equity","IS_SALES_AND_SERVICES_REVENUES","FQ3 2018","FQ3 2018","Currency=USD","Period=FQ","BEST_FPERIOD_OVERRIDE=FQ","FILING_STATUS=MR","SCALING_FORMAT=MLN","FA_ADJUSTED=Adjusted","Sort=A","Dates=H","DateFormat=P","Fill=—","Direction=H","UseDPDF=Y")</f>
        <v>3223</v>
      </c>
      <c r="D7" s="17">
        <f>_xll.BDH("LUMN US Equity","IS_SALES_AND_SERVICES_REVENUES","FQ4 2018","FQ4 2018","Currency=USD","Period=FQ","BEST_FPERIOD_OVERRIDE=FQ","FILING_STATUS=MR","SCALING_FORMAT=MLN","FA_ADJUSTED=Adjusted","Sort=A","Dates=H","DateFormat=P","Fill=—","Direction=H","UseDPDF=Y")</f>
        <v>3258</v>
      </c>
      <c r="E7" s="17">
        <f>_xll.BDH("LUMN US Equity","IS_SALES_AND_SERVICES_REVENUES","FQ1 2019","FQ1 2019","Currency=USD","Period=FQ","BEST_FPERIOD_OVERRIDE=FQ","FILING_STATUS=MR","SCALING_FORMAT=MLN","FA_ADJUSTED=Adjusted","Sort=A","Dates=H","DateFormat=P","Fill=—","Direction=H","UseDPDF=Y")</f>
        <v>3051</v>
      </c>
      <c r="F7" s="17">
        <f>_xll.BDH("LUMN US Equity","IS_SALES_AND_SERVICES_REVENUES","FQ2 2019","FQ2 2019","Currency=USD","Period=FQ","BEST_FPERIOD_OVERRIDE=FQ","FILING_STATUS=MR","SCALING_FORMAT=MLN","FA_ADJUSTED=Adjusted","Sort=A","Dates=H","DateFormat=P","Fill=—","Direction=H","UseDPDF=Y")</f>
        <v>3036</v>
      </c>
      <c r="G7" s="17">
        <f>_xll.BDH("LUMN US Equity","IS_SALES_AND_SERVICES_REVENUES","FQ3 2019","FQ3 2019","Currency=USD","Period=FQ","BEST_FPERIOD_OVERRIDE=FQ","FILING_STATUS=MR","SCALING_FORMAT=MLN","FA_ADJUSTED=Adjusted","Sort=A","Dates=H","DateFormat=P","Fill=—","Direction=H","UseDPDF=Y")</f>
        <v>3195</v>
      </c>
      <c r="H7" s="17">
        <f>_xll.BDH("LUMN US Equity","IS_SALES_AND_SERVICES_REVENUES","FQ4 2019","FQ4 2019","Currency=USD","Period=FQ","BEST_FPERIOD_OVERRIDE=FQ","FILING_STATUS=MR","SCALING_FORMAT=MLN","FA_ADJUSTED=Adjusted","Sort=A","Dates=H","DateFormat=P","Fill=—","Direction=H","UseDPDF=Y")</f>
        <v>3204</v>
      </c>
      <c r="I7" s="17">
        <f>_xll.BDH("LUMN US Equity","IS_SALES_AND_SERVICES_REVENUES","FQ1 2020","FQ1 2020","Currency=USD","Period=FQ","BEST_FPERIOD_OVERRIDE=FQ","FILING_STATUS=MR","SCALING_FORMAT=MLN","FA_ADJUSTED=Adjusted","Sort=A","Dates=H","DateFormat=P","Fill=—","Direction=H","UseDPDF=Y")</f>
        <v>2981</v>
      </c>
      <c r="J7" s="17">
        <f>_xll.BDH("LUMN US Equity","IS_SALES_AND_SERVICES_REVENUES","FQ2 2020","FQ2 2020","Currency=USD","Period=FQ","BEST_FPERIOD_OVERRIDE=FQ","FILING_STATUS=MR","SCALING_FORMAT=MLN","FA_ADJUSTED=Adjusted","Sort=A","Dates=H","DateFormat=P","Fill=—","Direction=H","UseDPDF=Y")</f>
        <v>2931</v>
      </c>
      <c r="K7" s="17"/>
      <c r="L7" s="17"/>
    </row>
    <row r="8" spans="1:12" x14ac:dyDescent="0.25">
      <c r="A8" s="16" t="s">
        <v>166</v>
      </c>
      <c r="B8" s="16" t="s">
        <v>165</v>
      </c>
      <c r="C8" s="17">
        <f>_xll.BDH("LUMN US Equity","IS_OTHER_REVENUE","FQ3 2018","FQ3 2018","Currency=USD","Period=FQ","BEST_FPERIOD_OVERRIDE=FQ","FILING_STATUS=MR","SCALING_FORMAT=MLN","FA_ADJUSTED=Adjusted","Sort=A","Dates=H","DateFormat=P","Fill=—","Direction=H","UseDPDF=Y")</f>
        <v>2595</v>
      </c>
      <c r="D8" s="17">
        <f>_xll.BDH("LUMN US Equity","IS_OTHER_REVENUE","FQ4 2018","FQ4 2018","Currency=USD","Period=FQ","BEST_FPERIOD_OVERRIDE=FQ","FILING_STATUS=MR","SCALING_FORMAT=MLN","FA_ADJUSTED=Adjusted","Sort=A","Dates=H","DateFormat=P","Fill=—","Direction=H","UseDPDF=Y")</f>
        <v>2520</v>
      </c>
      <c r="E8" s="17">
        <f>_xll.BDH("LUMN US Equity","IS_OTHER_REVENUE","FQ1 2019","FQ1 2019","Currency=USD","Period=FQ","BEST_FPERIOD_OVERRIDE=FQ","FILING_STATUS=MR","SCALING_FORMAT=MLN","FA_ADJUSTED=Adjusted","Sort=A","Dates=H","DateFormat=P","Fill=—","Direction=H","UseDPDF=Y")</f>
        <v>2376</v>
      </c>
      <c r="F8" s="17">
        <f>_xll.BDH("LUMN US Equity","IS_OTHER_REVENUE","FQ2 2019","FQ2 2019","Currency=USD","Period=FQ","BEST_FPERIOD_OVERRIDE=FQ","FILING_STATUS=MR","SCALING_FORMAT=MLN","FA_ADJUSTED=Adjusted","Sort=A","Dates=H","DateFormat=P","Fill=—","Direction=H","UseDPDF=Y")</f>
        <v>2339</v>
      </c>
      <c r="G8" s="17">
        <f>_xll.BDH("LUMN US Equity","IS_OTHER_REVENUE","FQ3 2019","FQ3 2019","Currency=USD","Period=FQ","BEST_FPERIOD_OVERRIDE=FQ","FILING_STATUS=MR","SCALING_FORMAT=MLN","FA_ADJUSTED=Adjusted","Sort=A","Dates=H","DateFormat=P","Fill=—","Direction=H","UseDPDF=Y")</f>
        <v>2411</v>
      </c>
      <c r="H8" s="17">
        <f>_xll.BDH("LUMN US Equity","IS_OTHER_REVENUE","FQ4 2019","FQ4 2019","Currency=USD","Period=FQ","BEST_FPERIOD_OVERRIDE=FQ","FILING_STATUS=MR","SCALING_FORMAT=MLN","FA_ADJUSTED=Adjusted","Sort=A","Dates=H","DateFormat=P","Fill=—","Direction=H","UseDPDF=Y")</f>
        <v>2366</v>
      </c>
      <c r="I8" s="17">
        <f>_xll.BDH("LUMN US Equity","IS_OTHER_REVENUE","FQ1 2020","FQ1 2020","Currency=USD","Period=FQ","BEST_FPERIOD_OVERRIDE=FQ","FILING_STATUS=MR","SCALING_FORMAT=MLN","FA_ADJUSTED=Adjusted","Sort=A","Dates=H","DateFormat=P","Fill=—","Direction=H","UseDPDF=Y")</f>
        <v>2247</v>
      </c>
      <c r="J8" s="17">
        <f>_xll.BDH("LUMN US Equity","IS_OTHER_REVENUE","FQ2 2020","FQ2 2020","Currency=USD","Period=FQ","BEST_FPERIOD_OVERRIDE=FQ","FILING_STATUS=MR","SCALING_FORMAT=MLN","FA_ADJUSTED=Adjusted","Sort=A","Dates=H","DateFormat=P","Fill=—","Direction=H","UseDPDF=Y")</f>
        <v>2261</v>
      </c>
      <c r="K8" s="17"/>
      <c r="L8" s="17"/>
    </row>
    <row r="9" spans="1:12" x14ac:dyDescent="0.25">
      <c r="A9" s="16" t="s">
        <v>164</v>
      </c>
      <c r="B9" s="16" t="s">
        <v>163</v>
      </c>
      <c r="C9" s="17">
        <f>_xll.BDH("LUMN US Equity","IS_COGS_TO_FE_AND_PP_AND_G","FQ3 2018","FQ3 2018","Currency=USD","Period=FQ","BEST_FPERIOD_OVERRIDE=FQ","FILING_STATUS=MR","SCALING_FORMAT=MLN","FA_ADJUSTED=Adjusted","Sort=A","Dates=H","DateFormat=P","Fill=—","Direction=H","UseDPDF=Y")</f>
        <v>2672</v>
      </c>
      <c r="D9" s="17">
        <f>_xll.BDH("LUMN US Equity","IS_COGS_TO_FE_AND_PP_AND_G","FQ4 2018","FQ4 2018","Currency=USD","Period=FQ","BEST_FPERIOD_OVERRIDE=FQ","FILING_STATUS=MR","SCALING_FORMAT=MLN","FA_ADJUSTED=Adjusted","Sort=A","Dates=H","DateFormat=P","Fill=—","Direction=H","UseDPDF=Y")</f>
        <v>2657</v>
      </c>
      <c r="E9" s="17">
        <f>_xll.BDH("LUMN US Equity","IS_COGS_TO_FE_AND_PP_AND_G","FQ1 2019","FQ1 2019","Currency=USD","Period=FQ","BEST_FPERIOD_OVERRIDE=FQ","FILING_STATUS=MR","SCALING_FORMAT=MLN","FA_ADJUSTED=Adjusted","Sort=A","Dates=H","DateFormat=P","Fill=—","Direction=H","UseDPDF=Y")</f>
        <v>2300</v>
      </c>
      <c r="F9" s="17">
        <f>_xll.BDH("LUMN US Equity","IS_COGS_TO_FE_AND_PP_AND_G","FQ2 2019","FQ2 2019","Currency=USD","Period=FQ","BEST_FPERIOD_OVERRIDE=FQ","FILING_STATUS=MR","SCALING_FORMAT=MLN","FA_ADJUSTED=Adjusted","Sort=A","Dates=H","DateFormat=P","Fill=—","Direction=H","UseDPDF=Y")</f>
        <v>2243</v>
      </c>
      <c r="G9" s="17">
        <f>_xll.BDH("LUMN US Equity","IS_COGS_TO_FE_AND_PP_AND_G","FQ3 2019","FQ3 2019","Currency=USD","Period=FQ","BEST_FPERIOD_OVERRIDE=FQ","FILING_STATUS=MR","SCALING_FORMAT=MLN","FA_ADJUSTED=Adjusted","Sort=A","Dates=H","DateFormat=P","Fill=—","Direction=H","UseDPDF=Y")</f>
        <v>2590</v>
      </c>
      <c r="H9" s="17">
        <f>_xll.BDH("LUMN US Equity","IS_COGS_TO_FE_AND_PP_AND_G","FQ4 2019","FQ4 2019","Currency=USD","Period=FQ","BEST_FPERIOD_OVERRIDE=FQ","FILING_STATUS=MR","SCALING_FORMAT=MLN","FA_ADJUSTED=Adjusted","Sort=A","Dates=H","DateFormat=P","Fill=—","Direction=H","UseDPDF=Y")</f>
        <v>2521</v>
      </c>
      <c r="I9" s="17">
        <f>_xll.BDH("LUMN US Equity","IS_COGS_TO_FE_AND_PP_AND_G","FQ1 2020","FQ1 2020","Currency=USD","Period=FQ","BEST_FPERIOD_OVERRIDE=FQ","FILING_STATUS=MR","SCALING_FORMAT=MLN","FA_ADJUSTED=Adjusted","Sort=A","Dates=H","DateFormat=P","Fill=—","Direction=H","UseDPDF=Y")</f>
        <v>2235</v>
      </c>
      <c r="J9" s="17">
        <f>_xll.BDH("LUMN US Equity","IS_COGS_TO_FE_AND_PP_AND_G","FQ2 2020","FQ2 2020","Currency=USD","Period=FQ","BEST_FPERIOD_OVERRIDE=FQ","FILING_STATUS=MR","SCALING_FORMAT=MLN","FA_ADJUSTED=Adjusted","Sort=A","Dates=H","DateFormat=P","Fill=—","Direction=H","UseDPDF=Y")</f>
        <v>2232</v>
      </c>
      <c r="K9" s="17"/>
      <c r="L9" s="17"/>
    </row>
    <row r="10" spans="1:12" x14ac:dyDescent="0.25">
      <c r="A10" s="16" t="s">
        <v>162</v>
      </c>
      <c r="B10" s="16" t="s">
        <v>161</v>
      </c>
      <c r="C10" s="17">
        <f>_xll.BDH("LUMN US Equity","IS_COG_AND_SERVICES_SOLD","FQ3 2018","FQ3 2018","Currency=USD","Period=FQ","BEST_FPERIOD_OVERRIDE=FQ","FILING_STATUS=MR","SCALING_FORMAT=MLN","FA_ADJUSTED=Adjusted","Sort=A","Dates=H","DateFormat=P","Fill=—","Direction=H","UseDPDF=Y")</f>
        <v>2672</v>
      </c>
      <c r="D10" s="17">
        <f>_xll.BDH("LUMN US Equity","IS_COG_AND_SERVICES_SOLD","FQ4 2018","FQ4 2018","Currency=USD","Period=FQ","BEST_FPERIOD_OVERRIDE=FQ","FILING_STATUS=MR","SCALING_FORMAT=MLN","FA_ADJUSTED=Adjusted","Sort=A","Dates=H","DateFormat=P","Fill=—","Direction=H","UseDPDF=Y")</f>
        <v>2657</v>
      </c>
      <c r="E10" s="17">
        <f>_xll.BDH("LUMN US Equity","IS_COG_AND_SERVICES_SOLD","FQ1 2019","FQ1 2019","Currency=USD","Period=FQ","BEST_FPERIOD_OVERRIDE=FQ","FILING_STATUS=MR","SCALING_FORMAT=MLN","FA_ADJUSTED=Adjusted","Sort=A","Dates=H","DateFormat=P","Fill=—","Direction=H","UseDPDF=Y")</f>
        <v>2300</v>
      </c>
      <c r="F10" s="17">
        <f>_xll.BDH("LUMN US Equity","IS_COG_AND_SERVICES_SOLD","FQ2 2019","FQ2 2019","Currency=USD","Period=FQ","BEST_FPERIOD_OVERRIDE=FQ","FILING_STATUS=MR","SCALING_FORMAT=MLN","FA_ADJUSTED=Adjusted","Sort=A","Dates=H","DateFormat=P","Fill=—","Direction=H","UseDPDF=Y")</f>
        <v>2243</v>
      </c>
      <c r="G10" s="17">
        <f>_xll.BDH("LUMN US Equity","IS_COG_AND_SERVICES_SOLD","FQ3 2019","FQ3 2019","Currency=USD","Period=FQ","BEST_FPERIOD_OVERRIDE=FQ","FILING_STATUS=MR","SCALING_FORMAT=MLN","FA_ADJUSTED=Adjusted","Sort=A","Dates=H","DateFormat=P","Fill=—","Direction=H","UseDPDF=Y")</f>
        <v>2590</v>
      </c>
      <c r="H10" s="17">
        <f>_xll.BDH("LUMN US Equity","IS_COG_AND_SERVICES_SOLD","FQ4 2019","FQ4 2019","Currency=USD","Period=FQ","BEST_FPERIOD_OVERRIDE=FQ","FILING_STATUS=MR","SCALING_FORMAT=MLN","FA_ADJUSTED=Adjusted","Sort=A","Dates=H","DateFormat=P","Fill=—","Direction=H","UseDPDF=Y")</f>
        <v>2521</v>
      </c>
      <c r="I10" s="17">
        <f>_xll.BDH("LUMN US Equity","IS_COG_AND_SERVICES_SOLD","FQ1 2020","FQ1 2020","Currency=USD","Period=FQ","BEST_FPERIOD_OVERRIDE=FQ","FILING_STATUS=MR","SCALING_FORMAT=MLN","FA_ADJUSTED=Adjusted","Sort=A","Dates=H","DateFormat=P","Fill=—","Direction=H","UseDPDF=Y")</f>
        <v>2235</v>
      </c>
      <c r="J10" s="17">
        <f>_xll.BDH("LUMN US Equity","IS_COG_AND_SERVICES_SOLD","FQ2 2020","FQ2 2020","Currency=USD","Period=FQ","BEST_FPERIOD_OVERRIDE=FQ","FILING_STATUS=MR","SCALING_FORMAT=MLN","FA_ADJUSTED=Adjusted","Sort=A","Dates=H","DateFormat=P","Fill=—","Direction=H","UseDPDF=Y")</f>
        <v>2232</v>
      </c>
      <c r="K10" s="17"/>
      <c r="L10" s="17"/>
    </row>
    <row r="11" spans="1:12" x14ac:dyDescent="0.25">
      <c r="A11" s="12" t="s">
        <v>1</v>
      </c>
      <c r="B11" s="12" t="s">
        <v>42</v>
      </c>
      <c r="C11" s="10">
        <f>_xll.BDH("LUMN US Equity","GROSS_PROFIT","FQ3 2018","FQ3 2018","Currency=USD","Period=FQ","BEST_FPERIOD_OVERRIDE=FQ","FILING_STATUS=MR","SCALING_FORMAT=MLN","FA_ADJUSTED=Adjusted","Sort=A","Dates=H","DateFormat=P","Fill=—","Direction=H","UseDPDF=Y")</f>
        <v>3146</v>
      </c>
      <c r="D11" s="10">
        <f>_xll.BDH("LUMN US Equity","GROSS_PROFIT","FQ4 2018","FQ4 2018","Currency=USD","Period=FQ","BEST_FPERIOD_OVERRIDE=FQ","FILING_STATUS=MR","SCALING_FORMAT=MLN","FA_ADJUSTED=Adjusted","Sort=A","Dates=H","DateFormat=P","Fill=—","Direction=H","UseDPDF=Y")</f>
        <v>3121</v>
      </c>
      <c r="E11" s="10">
        <f>_xll.BDH("LUMN US Equity","GROSS_PROFIT","FQ1 2019","FQ1 2019","Currency=USD","Period=FQ","BEST_FPERIOD_OVERRIDE=FQ","FILING_STATUS=MR","SCALING_FORMAT=MLN","FA_ADJUSTED=Adjusted","Sort=A","Dates=H","DateFormat=P","Fill=—","Direction=H","UseDPDF=Y")</f>
        <v>3127</v>
      </c>
      <c r="F11" s="10">
        <f>_xll.BDH("LUMN US Equity","GROSS_PROFIT","FQ2 2019","FQ2 2019","Currency=USD","Period=FQ","BEST_FPERIOD_OVERRIDE=FQ","FILING_STATUS=MR","SCALING_FORMAT=MLN","FA_ADJUSTED=Adjusted","Sort=A","Dates=H","DateFormat=P","Fill=—","Direction=H","UseDPDF=Y")</f>
        <v>3132</v>
      </c>
      <c r="G11" s="10">
        <f>_xll.BDH("LUMN US Equity","GROSS_PROFIT","FQ3 2019","FQ3 2019","Currency=USD","Period=FQ","BEST_FPERIOD_OVERRIDE=FQ","FILING_STATUS=MR","SCALING_FORMAT=MLN","FA_ADJUSTED=Adjusted","Sort=A","Dates=H","DateFormat=P","Fill=—","Direction=H","UseDPDF=Y")</f>
        <v>3016</v>
      </c>
      <c r="H11" s="10">
        <f>_xll.BDH("LUMN US Equity","GROSS_PROFIT","FQ4 2019","FQ4 2019","Currency=USD","Period=FQ","BEST_FPERIOD_OVERRIDE=FQ","FILING_STATUS=MR","SCALING_FORMAT=MLN","FA_ADJUSTED=Adjusted","Sort=A","Dates=H","DateFormat=P","Fill=—","Direction=H","UseDPDF=Y")</f>
        <v>3049</v>
      </c>
      <c r="I11" s="10">
        <f>_xll.BDH("LUMN US Equity","GROSS_PROFIT","FQ1 2020","FQ1 2020","Currency=USD","Period=FQ","BEST_FPERIOD_OVERRIDE=FQ","FILING_STATUS=MR","SCALING_FORMAT=MLN","FA_ADJUSTED=Adjusted","Sort=A","Dates=H","DateFormat=P","Fill=—","Direction=H","UseDPDF=Y")</f>
        <v>2993</v>
      </c>
      <c r="J11" s="10">
        <f>_xll.BDH("LUMN US Equity","GROSS_PROFIT","FQ2 2020","FQ2 2020","Currency=USD","Period=FQ","BEST_FPERIOD_OVERRIDE=FQ","FILING_STATUS=MR","SCALING_FORMAT=MLN","FA_ADJUSTED=Adjusted","Sort=A","Dates=H","DateFormat=P","Fill=—","Direction=H","UseDPDF=Y")</f>
        <v>2960</v>
      </c>
      <c r="K11" s="10">
        <v>2904.7130765100001</v>
      </c>
      <c r="L11" s="10">
        <v>2903.0182697199998</v>
      </c>
    </row>
    <row r="12" spans="1:12" x14ac:dyDescent="0.25">
      <c r="A12" s="16" t="s">
        <v>160</v>
      </c>
      <c r="B12" s="16" t="s">
        <v>159</v>
      </c>
      <c r="C12" s="17">
        <f>_xll.BDH("LUMN US Equity","IS_OTHER_OPER_INC","FQ3 2018","FQ3 2018","Currency=USD","Period=FQ","BEST_FPERIOD_OVERRIDE=FQ","FILING_STATUS=MR","SCALING_FORMAT=MLN","FA_ADJUSTED=Adjusted","Sort=A","Dates=H","DateFormat=P","Fill=—","Direction=H","UseDPDF=Y")</f>
        <v>0</v>
      </c>
      <c r="D12" s="17">
        <f>_xll.BDH("LUMN US Equity","IS_OTHER_OPER_INC","FQ4 2018","FQ4 2018","Currency=USD","Period=FQ","BEST_FPERIOD_OVERRIDE=FQ","FILING_STATUS=MR","SCALING_FORMAT=MLN","FA_ADJUSTED=Adjusted","Sort=A","Dates=H","DateFormat=P","Fill=—","Direction=H","UseDPDF=Y")</f>
        <v>0</v>
      </c>
      <c r="E12" s="17">
        <f>_xll.BDH("LUMN US Equity","IS_OTHER_OPER_INC","FQ1 2019","FQ1 2019","Currency=USD","Period=FQ","BEST_FPERIOD_OVERRIDE=FQ","FILING_STATUS=MR","SCALING_FORMAT=MLN","FA_ADJUSTED=Adjusted","Sort=A","Dates=H","DateFormat=P","Fill=—","Direction=H","UseDPDF=Y")</f>
        <v>0</v>
      </c>
      <c r="F12" s="17">
        <f>_xll.BDH("LUMN US Equity","IS_OTHER_OPER_INC","FQ2 2019","FQ2 2019","Currency=USD","Period=FQ","BEST_FPERIOD_OVERRIDE=FQ","FILING_STATUS=MR","SCALING_FORMAT=MLN","FA_ADJUSTED=Adjusted","Sort=A","Dates=H","DateFormat=P","Fill=—","Direction=H","UseDPDF=Y")</f>
        <v>0</v>
      </c>
      <c r="G12" s="17">
        <f>_xll.BDH("LUMN US Equity","IS_OTHER_OPER_INC","FQ3 2019","FQ3 2019","Currency=USD","Period=FQ","BEST_FPERIOD_OVERRIDE=FQ","FILING_STATUS=MR","SCALING_FORMAT=MLN","FA_ADJUSTED=Adjusted","Sort=A","Dates=H","DateFormat=P","Fill=—","Direction=H","UseDPDF=Y")</f>
        <v>0</v>
      </c>
      <c r="H12" s="17">
        <f>_xll.BDH("LUMN US Equity","IS_OTHER_OPER_INC","FQ4 2019","FQ4 2019","Currency=USD","Period=FQ","BEST_FPERIOD_OVERRIDE=FQ","FILING_STATUS=MR","SCALING_FORMAT=MLN","FA_ADJUSTED=Adjusted","Sort=A","Dates=H","DateFormat=P","Fill=—","Direction=H","UseDPDF=Y")</f>
        <v>0</v>
      </c>
      <c r="I12" s="17">
        <f>_xll.BDH("LUMN US Equity","IS_OTHER_OPER_INC","FQ1 2020","FQ1 2020","Currency=USD","Period=FQ","BEST_FPERIOD_OVERRIDE=FQ","FILING_STATUS=MR","SCALING_FORMAT=MLN","FA_ADJUSTED=Adjusted","Sort=A","Dates=H","DateFormat=P","Fill=—","Direction=H","UseDPDF=Y")</f>
        <v>0</v>
      </c>
      <c r="J12" s="17">
        <f>_xll.BDH("LUMN US Equity","IS_OTHER_OPER_INC","FQ2 2020","FQ2 2020","Currency=USD","Period=FQ","BEST_FPERIOD_OVERRIDE=FQ","FILING_STATUS=MR","SCALING_FORMAT=MLN","FA_ADJUSTED=Adjusted","Sort=A","Dates=H","DateFormat=P","Fill=—","Direction=H","UseDPDF=Y")</f>
        <v>0</v>
      </c>
      <c r="K12" s="17"/>
      <c r="L12" s="17"/>
    </row>
    <row r="13" spans="1:12" x14ac:dyDescent="0.25">
      <c r="A13" s="16" t="s">
        <v>158</v>
      </c>
      <c r="B13" s="16" t="s">
        <v>157</v>
      </c>
      <c r="C13" s="17">
        <f>_xll.BDH("LUMN US Equity","IS_OPERATING_EXPN","FQ3 2018","FQ3 2018","Currency=USD","Period=FQ","BEST_FPERIOD_OVERRIDE=FQ","FILING_STATUS=MR","SCALING_FORMAT=MLN","FA_ADJUSTED=Adjusted","Sort=A","Dates=H","DateFormat=P","Fill=—","Direction=H","UseDPDF=Y")</f>
        <v>2211</v>
      </c>
      <c r="D13" s="17">
        <f>_xll.BDH("LUMN US Equity","IS_OPERATING_EXPN","FQ4 2018","FQ4 2018","Currency=USD","Period=FQ","BEST_FPERIOD_OVERRIDE=FQ","FILING_STATUS=MR","SCALING_FORMAT=MLN","FA_ADJUSTED=Adjusted","Sort=A","Dates=H","DateFormat=P","Fill=—","Direction=H","UseDPDF=Y")</f>
        <v>2119</v>
      </c>
      <c r="E13" s="17">
        <f>_xll.BDH("LUMN US Equity","IS_OPERATING_EXPN","FQ1 2019","FQ1 2019","Currency=USD","Period=FQ","BEST_FPERIOD_OVERRIDE=FQ","FILING_STATUS=MR","SCALING_FORMAT=MLN","FA_ADJUSTED=Adjusted","Sort=A","Dates=H","DateFormat=P","Fill=—","Direction=H","UseDPDF=Y")</f>
        <v>2086</v>
      </c>
      <c r="F13" s="17">
        <f>_xll.BDH("LUMN US Equity","IS_OPERATING_EXPN","FQ2 2019","FQ2 2019","Currency=USD","Period=FQ","BEST_FPERIOD_OVERRIDE=FQ","FILING_STATUS=MR","SCALING_FORMAT=MLN","FA_ADJUSTED=Adjusted","Sort=A","Dates=H","DateFormat=P","Fill=—","Direction=H","UseDPDF=Y")</f>
        <v>2102</v>
      </c>
      <c r="G13" s="17">
        <f>_xll.BDH("LUMN US Equity","IS_OPERATING_EXPN","FQ3 2019","FQ3 2019","Currency=USD","Period=FQ","BEST_FPERIOD_OVERRIDE=FQ","FILING_STATUS=MR","SCALING_FORMAT=MLN","FA_ADJUSTED=Adjusted","Sort=A","Dates=H","DateFormat=P","Fill=—","Direction=H","UseDPDF=Y")</f>
        <v>2028</v>
      </c>
      <c r="H13" s="17">
        <f>_xll.BDH("LUMN US Equity","IS_OPERATING_EXPN","FQ4 2019","FQ4 2019","Currency=USD","Period=FQ","BEST_FPERIOD_OVERRIDE=FQ","FILING_STATUS=MR","SCALING_FORMAT=MLN","FA_ADJUSTED=Adjusted","Sort=A","Dates=H","DateFormat=P","Fill=—","Direction=H","UseDPDF=Y")</f>
        <v>2029</v>
      </c>
      <c r="I13" s="17">
        <f>_xll.BDH("LUMN US Equity","IS_OPERATING_EXPN","FQ1 2020","FQ1 2020","Currency=USD","Period=FQ","BEST_FPERIOD_OVERRIDE=FQ","FILING_STATUS=MR","SCALING_FORMAT=MLN","FA_ADJUSTED=Adjusted","Sort=A","Dates=H","DateFormat=P","Fill=—","Direction=H","UseDPDF=Y")</f>
        <v>1979</v>
      </c>
      <c r="J13" s="17">
        <f>_xll.BDH("LUMN US Equity","IS_OPERATING_EXPN","FQ2 2020","FQ2 2020","Currency=USD","Period=FQ","BEST_FPERIOD_OVERRIDE=FQ","FILING_STATUS=MR","SCALING_FORMAT=MLN","FA_ADJUSTED=Adjusted","Sort=A","Dates=H","DateFormat=P","Fill=—","Direction=H","UseDPDF=Y")</f>
        <v>1968</v>
      </c>
      <c r="K13" s="17"/>
      <c r="L13" s="17"/>
    </row>
    <row r="14" spans="1:12" x14ac:dyDescent="0.25">
      <c r="A14" s="16" t="s">
        <v>156</v>
      </c>
      <c r="B14" s="16" t="s">
        <v>155</v>
      </c>
      <c r="C14" s="17">
        <f>_xll.BDH("LUMN US Equity","IS_SG&amp;A_EXPENSE","FQ3 2018","FQ3 2018","Currency=USD","Period=FQ","BEST_FPERIOD_OVERRIDE=FQ","FILING_STATUS=MR","SCALING_FORMAT=MLN","FA_ADJUSTED=Adjusted","Sort=A","Dates=H","DateFormat=P","Fill=—","Direction=H","UseDPDF=Y")</f>
        <v>967</v>
      </c>
      <c r="D14" s="17">
        <f>_xll.BDH("LUMN US Equity","IS_SG&amp;A_EXPENSE","FQ4 2018","FQ4 2018","Currency=USD","Period=FQ","BEST_FPERIOD_OVERRIDE=FQ","FILING_STATUS=MR","SCALING_FORMAT=MLN","FA_ADJUSTED=Adjusted","Sort=A","Dates=H","DateFormat=P","Fill=—","Direction=H","UseDPDF=Y")</f>
        <v>974</v>
      </c>
      <c r="E14" s="17">
        <f>_xll.BDH("LUMN US Equity","IS_SG&amp;A_EXPENSE","FQ1 2019","FQ1 2019","Currency=USD","Period=FQ","BEST_FPERIOD_OVERRIDE=FQ","FILING_STATUS=MR","SCALING_FORMAT=MLN","FA_ADJUSTED=Adjusted","Sort=A","Dates=H","DateFormat=P","Fill=—","Direction=H","UseDPDF=Y")</f>
        <v>932</v>
      </c>
      <c r="F14" s="17">
        <f>_xll.BDH("LUMN US Equity","IS_SG&amp;A_EXPENSE","FQ2 2019","FQ2 2019","Currency=USD","Period=FQ","BEST_FPERIOD_OVERRIDE=FQ","FILING_STATUS=MR","SCALING_FORMAT=MLN","FA_ADJUSTED=Adjusted","Sort=A","Dates=H","DateFormat=P","Fill=—","Direction=H","UseDPDF=Y")</f>
        <v>960</v>
      </c>
      <c r="G14" s="17">
        <f>_xll.BDH("LUMN US Equity","IS_SG&amp;A_EXPENSE","FQ3 2019","FQ3 2019","Currency=USD","Period=FQ","BEST_FPERIOD_OVERRIDE=FQ","FILING_STATUS=MR","SCALING_FORMAT=MLN","FA_ADJUSTED=Adjusted","Sort=A","Dates=H","DateFormat=P","Fill=—","Direction=H","UseDPDF=Y")</f>
        <v>831</v>
      </c>
      <c r="H14" s="17">
        <f>_xll.BDH("LUMN US Equity","IS_SG&amp;A_EXPENSE","FQ4 2019","FQ4 2019","Currency=USD","Period=FQ","BEST_FPERIOD_OVERRIDE=FQ","FILING_STATUS=MR","SCALING_FORMAT=MLN","FA_ADJUSTED=Adjusted","Sort=A","Dates=H","DateFormat=P","Fill=—","Direction=H","UseDPDF=Y")</f>
        <v>992</v>
      </c>
      <c r="I14" s="17">
        <f>_xll.BDH("LUMN US Equity","IS_SG&amp;A_EXPENSE","FQ1 2020","FQ1 2020","Currency=USD","Period=FQ","BEST_FPERIOD_OVERRIDE=FQ","FILING_STATUS=MR","SCALING_FORMAT=MLN","FA_ADJUSTED=Adjusted","Sort=A","Dates=H","DateFormat=P","Fill=—","Direction=H","UseDPDF=Y")</f>
        <v>853</v>
      </c>
      <c r="J14" s="17">
        <f>_xll.BDH("LUMN US Equity","IS_SG&amp;A_EXPENSE","FQ2 2020","FQ2 2020","Currency=USD","Period=FQ","BEST_FPERIOD_OVERRIDE=FQ","FILING_STATUS=MR","SCALING_FORMAT=MLN","FA_ADJUSTED=Adjusted","Sort=A","Dates=H","DateFormat=P","Fill=—","Direction=H","UseDPDF=Y")</f>
        <v>895</v>
      </c>
      <c r="K14" s="17"/>
      <c r="L14" s="17"/>
    </row>
    <row r="15" spans="1:12" x14ac:dyDescent="0.25">
      <c r="A15" s="16" t="s">
        <v>154</v>
      </c>
      <c r="B15" s="16" t="s">
        <v>153</v>
      </c>
      <c r="C15" s="17">
        <f>_xll.BDH("LUMN US Equity","IS_DEPRECIATION_AND_AMORTIZATION","FQ3 2018","FQ3 2018","Currency=USD","Period=FQ","BEST_FPERIOD_OVERRIDE=FQ","FILING_STATUS=MR","SCALING_FORMAT=MLN","FA_ADJUSTED=Adjusted","Sort=A","Dates=H","DateFormat=P","Fill=—","Direction=H","UseDPDF=Y")</f>
        <v>1285</v>
      </c>
      <c r="D15" s="17">
        <f>_xll.BDH("LUMN US Equity","IS_DEPRECIATION_AND_AMORTIZATION","FQ4 2018","FQ4 2018","Currency=USD","Period=FQ","BEST_FPERIOD_OVERRIDE=FQ","FILING_STATUS=MR","SCALING_FORMAT=MLN","FA_ADJUSTED=Adjusted","Sort=A","Dates=H","DateFormat=P","Fill=—","Direction=H","UseDPDF=Y")</f>
        <v>1262</v>
      </c>
      <c r="E15" s="17">
        <f>_xll.BDH("LUMN US Equity","IS_DEPRECIATION_AND_AMORTIZATION","FQ1 2019","FQ1 2019","Currency=USD","Period=FQ","BEST_FPERIOD_OVERRIDE=FQ","FILING_STATUS=MR","SCALING_FORMAT=MLN","FA_ADJUSTED=Adjusted","Sort=A","Dates=H","DateFormat=P","Fill=—","Direction=H","UseDPDF=Y")</f>
        <v>1188</v>
      </c>
      <c r="F15" s="17">
        <f>_xll.BDH("LUMN US Equity","IS_DEPRECIATION_AND_AMORTIZATION","FQ2 2019","FQ2 2019","Currency=USD","Period=FQ","BEST_FPERIOD_OVERRIDE=FQ","FILING_STATUS=MR","SCALING_FORMAT=MLN","FA_ADJUSTED=Adjusted","Sort=A","Dates=H","DateFormat=P","Fill=—","Direction=H","UseDPDF=Y")</f>
        <v>1196</v>
      </c>
      <c r="G15" s="17">
        <f>_xll.BDH("LUMN US Equity","IS_DEPRECIATION_AND_AMORTIZATION","FQ3 2019","FQ3 2019","Currency=USD","Period=FQ","BEST_FPERIOD_OVERRIDE=FQ","FILING_STATUS=MR","SCALING_FORMAT=MLN","FA_ADJUSTED=Adjusted","Sort=A","Dates=H","DateFormat=P","Fill=—","Direction=H","UseDPDF=Y")</f>
        <v>1235</v>
      </c>
      <c r="H15" s="17">
        <f>_xll.BDH("LUMN US Equity","IS_DEPRECIATION_AND_AMORTIZATION","FQ4 2019","FQ4 2019","Currency=USD","Period=FQ","BEST_FPERIOD_OVERRIDE=FQ","FILING_STATUS=MR","SCALING_FORMAT=MLN","FA_ADJUSTED=Adjusted","Sort=A","Dates=H","DateFormat=P","Fill=—","Direction=H","UseDPDF=Y")</f>
        <v>1210</v>
      </c>
      <c r="I15" s="17">
        <f>_xll.BDH("LUMN US Equity","IS_DEPRECIATION_AND_AMORTIZATION","FQ1 2020","FQ1 2020","Currency=USD","Period=FQ","BEST_FPERIOD_OVERRIDE=FQ","FILING_STATUS=MR","SCALING_FORMAT=MLN","FA_ADJUSTED=Adjusted","Sort=A","Dates=H","DateFormat=P","Fill=—","Direction=H","UseDPDF=Y")</f>
        <v>1160</v>
      </c>
      <c r="J15" s="17">
        <f>_xll.BDH("LUMN US Equity","IS_DEPRECIATION_AND_AMORTIZATION","FQ2 2020","FQ2 2020","Currency=USD","Period=FQ","BEST_FPERIOD_OVERRIDE=FQ","FILING_STATUS=MR","SCALING_FORMAT=MLN","FA_ADJUSTED=Adjusted","Sort=A","Dates=H","DateFormat=P","Fill=—","Direction=H","UseDPDF=Y")</f>
        <v>1162</v>
      </c>
      <c r="K15" s="17"/>
      <c r="L15" s="17"/>
    </row>
    <row r="16" spans="1:12" x14ac:dyDescent="0.25">
      <c r="A16" s="16" t="s">
        <v>152</v>
      </c>
      <c r="B16" s="16" t="s">
        <v>151</v>
      </c>
      <c r="C16" s="17">
        <f>_xll.BDH("LUMN US Equity","IS_OTHER_OPERATING_EXPENSES","FQ3 2018","FQ3 2018","Currency=USD","Period=FQ","BEST_FPERIOD_OVERRIDE=FQ","FILING_STATUS=MR","SCALING_FORMAT=MLN","FA_ADJUSTED=Adjusted","Sort=A","Dates=H","DateFormat=P","Fill=—","Direction=H","UseDPDF=Y")</f>
        <v>-41</v>
      </c>
      <c r="D16" s="17">
        <f>_xll.BDH("LUMN US Equity","IS_OTHER_OPERATING_EXPENSES","FQ4 2018","FQ4 2018","Currency=USD","Period=FQ","BEST_FPERIOD_OVERRIDE=FQ","FILING_STATUS=MR","SCALING_FORMAT=MLN","FA_ADJUSTED=Adjusted","Sort=A","Dates=H","DateFormat=P","Fill=—","Direction=H","UseDPDF=Y")</f>
        <v>-117</v>
      </c>
      <c r="E16" s="17">
        <f>_xll.BDH("LUMN US Equity","IS_OTHER_OPERATING_EXPENSES","FQ1 2019","FQ1 2019","Currency=USD","Period=FQ","BEST_FPERIOD_OVERRIDE=FQ","FILING_STATUS=MR","SCALING_FORMAT=MLN","FA_ADJUSTED=Adjusted","Sort=A","Dates=H","DateFormat=P","Fill=—","Direction=H","UseDPDF=Y")</f>
        <v>-34</v>
      </c>
      <c r="F16" s="17">
        <f>_xll.BDH("LUMN US Equity","IS_OTHER_OPERATING_EXPENSES","FQ2 2019","FQ2 2019","Currency=USD","Period=FQ","BEST_FPERIOD_OVERRIDE=FQ","FILING_STATUS=MR","SCALING_FORMAT=MLN","FA_ADJUSTED=Adjusted","Sort=A","Dates=H","DateFormat=P","Fill=—","Direction=H","UseDPDF=Y")</f>
        <v>-54</v>
      </c>
      <c r="G16" s="17">
        <f>_xll.BDH("LUMN US Equity","IS_OTHER_OPERATING_EXPENSES","FQ3 2019","FQ3 2019","Currency=USD","Period=FQ","BEST_FPERIOD_OVERRIDE=FQ","FILING_STATUS=MR","SCALING_FORMAT=MLN","FA_ADJUSTED=Adjusted","Sort=A","Dates=H","DateFormat=P","Fill=—","Direction=H","UseDPDF=Y")</f>
        <v>-38</v>
      </c>
      <c r="H16" s="17">
        <f>_xll.BDH("LUMN US Equity","IS_OTHER_OPERATING_EXPENSES","FQ4 2019","FQ4 2019","Currency=USD","Period=FQ","BEST_FPERIOD_OVERRIDE=FQ","FILING_STATUS=MR","SCALING_FORMAT=MLN","FA_ADJUSTED=Adjusted","Sort=A","Dates=H","DateFormat=P","Fill=—","Direction=H","UseDPDF=Y")</f>
        <v>-173</v>
      </c>
      <c r="I16" s="17">
        <f>_xll.BDH("LUMN US Equity","IS_OTHER_OPERATING_EXPENSES","FQ1 2020","FQ1 2020","Currency=USD","Period=FQ","BEST_FPERIOD_OVERRIDE=FQ","FILING_STATUS=MR","SCALING_FORMAT=MLN","FA_ADJUSTED=Adjusted","Sort=A","Dates=H","DateFormat=P","Fill=—","Direction=H","UseDPDF=Y")</f>
        <v>-34</v>
      </c>
      <c r="J16" s="17">
        <f>_xll.BDH("LUMN US Equity","IS_OTHER_OPERATING_EXPENSES","FQ2 2020","FQ2 2020","Currency=USD","Period=FQ","BEST_FPERIOD_OVERRIDE=FQ","FILING_STATUS=MR","SCALING_FORMAT=MLN","FA_ADJUSTED=Adjusted","Sort=A","Dates=H","DateFormat=P","Fill=—","Direction=H","UseDPDF=Y")</f>
        <v>-89</v>
      </c>
      <c r="K16" s="17"/>
      <c r="L16" s="17"/>
    </row>
    <row r="17" spans="1:12" x14ac:dyDescent="0.25">
      <c r="A17" s="12" t="s">
        <v>150</v>
      </c>
      <c r="B17" s="12" t="s">
        <v>149</v>
      </c>
      <c r="C17" s="10">
        <f>_xll.BDH("LUMN US Equity","IS_OPER_INC","FQ3 2018","FQ3 2018","Currency=USD","Period=FQ","BEST_FPERIOD_OVERRIDE=FQ","FILING_STATUS=MR","SCALING_FORMAT=MLN","FA_ADJUSTED=Adjusted","Sort=A","Dates=H","DateFormat=P","Fill=—","Direction=H","UseDPDF=Y")</f>
        <v>935</v>
      </c>
      <c r="D17" s="10">
        <f>_xll.BDH("LUMN US Equity","IS_OPER_INC","FQ4 2018","FQ4 2018","Currency=USD","Period=FQ","BEST_FPERIOD_OVERRIDE=FQ","FILING_STATUS=MR","SCALING_FORMAT=MLN","FA_ADJUSTED=Adjusted","Sort=A","Dates=H","DateFormat=P","Fill=—","Direction=H","UseDPDF=Y")</f>
        <v>1002</v>
      </c>
      <c r="E17" s="10">
        <f>_xll.BDH("LUMN US Equity","IS_OPER_INC","FQ1 2019","FQ1 2019","Currency=USD","Period=FQ","BEST_FPERIOD_OVERRIDE=FQ","FILING_STATUS=MR","SCALING_FORMAT=MLN","FA_ADJUSTED=Adjusted","Sort=A","Dates=H","DateFormat=P","Fill=—","Direction=H","UseDPDF=Y")</f>
        <v>1041</v>
      </c>
      <c r="F17" s="10">
        <f>_xll.BDH("LUMN US Equity","IS_OPER_INC","FQ2 2019","FQ2 2019","Currency=USD","Period=FQ","BEST_FPERIOD_OVERRIDE=FQ","FILING_STATUS=MR","SCALING_FORMAT=MLN","FA_ADJUSTED=Adjusted","Sort=A","Dates=H","DateFormat=P","Fill=—","Direction=H","UseDPDF=Y")</f>
        <v>1030</v>
      </c>
      <c r="G17" s="10">
        <f>_xll.BDH("LUMN US Equity","IS_OPER_INC","FQ3 2019","FQ3 2019","Currency=USD","Period=FQ","BEST_FPERIOD_OVERRIDE=FQ","FILING_STATUS=MR","SCALING_FORMAT=MLN","FA_ADJUSTED=Adjusted","Sort=A","Dates=H","DateFormat=P","Fill=—","Direction=H","UseDPDF=Y")</f>
        <v>988</v>
      </c>
      <c r="H17" s="10">
        <f>_xll.BDH("LUMN US Equity","IS_OPER_INC","FQ4 2019","FQ4 2019","Currency=USD","Period=FQ","BEST_FPERIOD_OVERRIDE=FQ","FILING_STATUS=MR","SCALING_FORMAT=MLN","FA_ADJUSTED=Adjusted","Sort=A","Dates=H","DateFormat=P","Fill=—","Direction=H","UseDPDF=Y")</f>
        <v>1020</v>
      </c>
      <c r="I17" s="10">
        <f>_xll.BDH("LUMN US Equity","IS_OPER_INC","FQ1 2020","FQ1 2020","Currency=USD","Period=FQ","BEST_FPERIOD_OVERRIDE=FQ","FILING_STATUS=MR","SCALING_FORMAT=MLN","FA_ADJUSTED=Adjusted","Sort=A","Dates=H","DateFormat=P","Fill=—","Direction=H","UseDPDF=Y")</f>
        <v>1014</v>
      </c>
      <c r="J17" s="10">
        <f>_xll.BDH("LUMN US Equity","IS_OPER_INC","FQ2 2020","FQ2 2020","Currency=USD","Period=FQ","BEST_FPERIOD_OVERRIDE=FQ","FILING_STATUS=MR","SCALING_FORMAT=MLN","FA_ADJUSTED=Adjusted","Sort=A","Dates=H","DateFormat=P","Fill=—","Direction=H","UseDPDF=Y")</f>
        <v>992</v>
      </c>
      <c r="K17" s="10">
        <v>1810.3330000000001</v>
      </c>
      <c r="L17" s="10">
        <v>2346.5</v>
      </c>
    </row>
    <row r="18" spans="1:12" x14ac:dyDescent="0.25">
      <c r="A18" s="16" t="s">
        <v>148</v>
      </c>
      <c r="B18" s="16" t="s">
        <v>147</v>
      </c>
      <c r="C18" s="17">
        <f>_xll.BDH("LUMN US Equity","IS_NONOP_INCOME_LOSS","FQ3 2018","FQ3 2018","Currency=USD","Period=FQ","BEST_FPERIOD_OVERRIDE=FQ","FILING_STATUS=MR","SCALING_FORMAT=MLN","FA_ADJUSTED=Adjusted","Sort=A","Dates=H","DateFormat=P","Fill=—","Direction=H","UseDPDF=Y")</f>
        <v>532</v>
      </c>
      <c r="D18" s="17">
        <f>_xll.BDH("LUMN US Equity","IS_NONOP_INCOME_LOSS","FQ4 2018","FQ4 2018","Currency=USD","Period=FQ","BEST_FPERIOD_OVERRIDE=FQ","FILING_STATUS=MR","SCALING_FORMAT=MLN","FA_ADJUSTED=Adjusted","Sort=A","Dates=H","DateFormat=P","Fill=—","Direction=H","UseDPDF=Y")</f>
        <v>550</v>
      </c>
      <c r="E18" s="17">
        <f>_xll.BDH("LUMN US Equity","IS_NONOP_INCOME_LOSS","FQ1 2019","FQ1 2019","Currency=USD","Period=FQ","BEST_FPERIOD_OVERRIDE=FQ","FILING_STATUS=MR","SCALING_FORMAT=MLN","FA_ADJUSTED=Adjusted","Sort=A","Dates=H","DateFormat=P","Fill=—","Direction=H","UseDPDF=Y")</f>
        <v>537</v>
      </c>
      <c r="F18" s="17">
        <f>_xll.BDH("LUMN US Equity","IS_NONOP_INCOME_LOSS","FQ2 2019","FQ2 2019","Currency=USD","Period=FQ","BEST_FPERIOD_OVERRIDE=FQ","FILING_STATUS=MR","SCALING_FORMAT=MLN","FA_ADJUSTED=Adjusted","Sort=A","Dates=H","DateFormat=P","Fill=—","Direction=H","UseDPDF=Y")</f>
        <v>531</v>
      </c>
      <c r="G18" s="17">
        <f>_xll.BDH("LUMN US Equity","IS_NONOP_INCOME_LOSS","FQ3 2019","FQ3 2019","Currency=USD","Period=FQ","BEST_FPERIOD_OVERRIDE=FQ","FILING_STATUS=MR","SCALING_FORMAT=MLN","FA_ADJUSTED=Adjusted","Sort=A","Dates=H","DateFormat=P","Fill=—","Direction=H","UseDPDF=Y")</f>
        <v>544</v>
      </c>
      <c r="H18" s="17">
        <f>_xll.BDH("LUMN US Equity","IS_NONOP_INCOME_LOSS","FQ4 2019","FQ4 2019","Currency=USD","Period=FQ","BEST_FPERIOD_OVERRIDE=FQ","FILING_STATUS=MR","SCALING_FORMAT=MLN","FA_ADJUSTED=Adjusted","Sort=A","Dates=H","DateFormat=P","Fill=—","Direction=H","UseDPDF=Y")</f>
        <v>500</v>
      </c>
      <c r="I18" s="17">
        <f>_xll.BDH("LUMN US Equity","IS_NONOP_INCOME_LOSS","FQ1 2020","FQ1 2020","Currency=USD","Period=FQ","BEST_FPERIOD_OVERRIDE=FQ","FILING_STATUS=MR","SCALING_FORMAT=MLN","FA_ADJUSTED=Adjusted","Sort=A","Dates=H","DateFormat=P","Fill=—","Direction=H","UseDPDF=Y")</f>
        <v>468</v>
      </c>
      <c r="J18" s="17">
        <f>_xll.BDH("LUMN US Equity","IS_NONOP_INCOME_LOSS","FQ2 2020","FQ2 2020","Currency=USD","Period=FQ","BEST_FPERIOD_OVERRIDE=FQ","FILING_STATUS=MR","SCALING_FORMAT=MLN","FA_ADJUSTED=Adjusted","Sort=A","Dates=H","DateFormat=P","Fill=—","Direction=H","UseDPDF=Y")</f>
        <v>383</v>
      </c>
      <c r="K18" s="17"/>
      <c r="L18" s="17"/>
    </row>
    <row r="19" spans="1:12" x14ac:dyDescent="0.25">
      <c r="A19" s="16" t="s">
        <v>146</v>
      </c>
      <c r="B19" s="16" t="s">
        <v>145</v>
      </c>
      <c r="C19" s="17">
        <f>_xll.BDH("LUMN US Equity","IS_NET_INTEREST_EXPENSE","FQ3 2018","FQ3 2018","Currency=USD","Period=FQ","BEST_FPERIOD_OVERRIDE=FQ","FILING_STATUS=MR","SCALING_FORMAT=MLN","FA_ADJUSTED=Adjusted","Sort=A","Dates=H","DateFormat=P","Fill=—","Direction=H","UseDPDF=Y")</f>
        <v>557</v>
      </c>
      <c r="D19" s="17">
        <f>_xll.BDH("LUMN US Equity","IS_NET_INTEREST_EXPENSE","FQ4 2018","FQ4 2018","Currency=USD","Period=FQ","BEST_FPERIOD_OVERRIDE=FQ","FILING_STATUS=MR","SCALING_FORMAT=MLN","FA_ADJUSTED=Adjusted","Sort=A","Dates=H","DateFormat=P","Fill=—","Direction=H","UseDPDF=Y")</f>
        <v>539</v>
      </c>
      <c r="E19" s="17">
        <f>_xll.BDH("LUMN US Equity","IS_NET_INTEREST_EXPENSE","FQ1 2019","FQ1 2019","Currency=USD","Period=FQ","BEST_FPERIOD_OVERRIDE=FQ","FILING_STATUS=MR","SCALING_FORMAT=MLN","FA_ADJUSTED=Adjusted","Sort=A","Dates=H","DateFormat=P","Fill=—","Direction=H","UseDPDF=Y")</f>
        <v>523</v>
      </c>
      <c r="F19" s="17">
        <f>_xll.BDH("LUMN US Equity","IS_NET_INTEREST_EXPENSE","FQ2 2019","FQ2 2019","Currency=USD","Period=FQ","BEST_FPERIOD_OVERRIDE=FQ","FILING_STATUS=MR","SCALING_FORMAT=MLN","FA_ADJUSTED=Adjusted","Sort=A","Dates=H","DateFormat=P","Fill=—","Direction=H","UseDPDF=Y")</f>
        <v>518</v>
      </c>
      <c r="G19" s="17">
        <f>_xll.BDH("LUMN US Equity","IS_NET_INTEREST_EXPENSE","FQ3 2019","FQ3 2019","Currency=USD","Period=FQ","BEST_FPERIOD_OVERRIDE=FQ","FILING_STATUS=MR","SCALING_FORMAT=MLN","FA_ADJUSTED=Adjusted","Sort=A","Dates=H","DateFormat=P","Fill=—","Direction=H","UseDPDF=Y")</f>
        <v>496</v>
      </c>
      <c r="H19" s="17">
        <f>_xll.BDH("LUMN US Equity","IS_NET_INTEREST_EXPENSE","FQ4 2019","FQ4 2019","Currency=USD","Period=FQ","BEST_FPERIOD_OVERRIDE=FQ","FILING_STATUS=MR","SCALING_FORMAT=MLN","FA_ADJUSTED=Adjusted","Sort=A","Dates=H","DateFormat=P","Fill=—","Direction=H","UseDPDF=Y")</f>
        <v>484</v>
      </c>
      <c r="I19" s="17">
        <f>_xll.BDH("LUMN US Equity","IS_NET_INTEREST_EXPENSE","FQ1 2020","FQ1 2020","Currency=USD","Period=FQ","BEST_FPERIOD_OVERRIDE=FQ","FILING_STATUS=MR","SCALING_FORMAT=MLN","FA_ADJUSTED=Adjusted","Sort=A","Dates=H","DateFormat=P","Fill=—","Direction=H","UseDPDF=Y")</f>
        <v>449</v>
      </c>
      <c r="J19" s="17">
        <f>_xll.BDH("LUMN US Equity","IS_NET_INTEREST_EXPENSE","FQ2 2020","FQ2 2020","Currency=USD","Period=FQ","BEST_FPERIOD_OVERRIDE=FQ","FILING_STATUS=MR","SCALING_FORMAT=MLN","FA_ADJUSTED=Adjusted","Sort=A","Dates=H","DateFormat=P","Fill=—","Direction=H","UseDPDF=Y")</f>
        <v>414</v>
      </c>
      <c r="K19" s="17"/>
      <c r="L19" s="17"/>
    </row>
    <row r="20" spans="1:12" x14ac:dyDescent="0.25">
      <c r="A20" s="8" t="s">
        <v>144</v>
      </c>
      <c r="B20" s="8" t="s">
        <v>143</v>
      </c>
      <c r="C20" s="9">
        <f>_xll.BDH("LUMN US Equity","IS_INT_EXPENSE","FQ3 2018","FQ3 2018","Currency=USD","Period=FQ","BEST_FPERIOD_OVERRIDE=FQ","FILING_STATUS=MR","SCALING_FORMAT=MLN","FA_ADJUSTED=Adjusted","Sort=A","Dates=H","DateFormat=P","Fill=—","Direction=H","UseDPDF=Y")</f>
        <v>557</v>
      </c>
      <c r="D20" s="9">
        <f>_xll.BDH("LUMN US Equity","IS_INT_EXPENSE","FQ4 2018","FQ4 2018","Currency=USD","Period=FQ","BEST_FPERIOD_OVERRIDE=FQ","FILING_STATUS=MR","SCALING_FORMAT=MLN","FA_ADJUSTED=Adjusted","Sort=A","Dates=H","DateFormat=P","Fill=—","Direction=H","UseDPDF=Y")</f>
        <v>539</v>
      </c>
      <c r="E20" s="9">
        <f>_xll.BDH("LUMN US Equity","IS_INT_EXPENSE","FQ1 2019","FQ1 2019","Currency=USD","Period=FQ","BEST_FPERIOD_OVERRIDE=FQ","FILING_STATUS=MR","SCALING_FORMAT=MLN","FA_ADJUSTED=Adjusted","Sort=A","Dates=H","DateFormat=P","Fill=—","Direction=H","UseDPDF=Y")</f>
        <v>523</v>
      </c>
      <c r="F20" s="9">
        <f>_xll.BDH("LUMN US Equity","IS_INT_EXPENSE","FQ2 2019","FQ2 2019","Currency=USD","Period=FQ","BEST_FPERIOD_OVERRIDE=FQ","FILING_STATUS=MR","SCALING_FORMAT=MLN","FA_ADJUSTED=Adjusted","Sort=A","Dates=H","DateFormat=P","Fill=—","Direction=H","UseDPDF=Y")</f>
        <v>518</v>
      </c>
      <c r="G20" s="9">
        <f>_xll.BDH("LUMN US Equity","IS_INT_EXPENSE","FQ3 2019","FQ3 2019","Currency=USD","Period=FQ","BEST_FPERIOD_OVERRIDE=FQ","FILING_STATUS=MR","SCALING_FORMAT=MLN","FA_ADJUSTED=Adjusted","Sort=A","Dates=H","DateFormat=P","Fill=—","Direction=H","UseDPDF=Y")</f>
        <v>496</v>
      </c>
      <c r="H20" s="9">
        <f>_xll.BDH("LUMN US Equity","IS_INT_EXPENSE","FQ4 2019","FQ4 2019","Currency=USD","Period=FQ","BEST_FPERIOD_OVERRIDE=FQ","FILING_STATUS=MR","SCALING_FORMAT=MLN","FA_ADJUSTED=Adjusted","Sort=A","Dates=H","DateFormat=P","Fill=—","Direction=H","UseDPDF=Y")</f>
        <v>484</v>
      </c>
      <c r="I20" s="9">
        <f>_xll.BDH("LUMN US Equity","IS_INT_EXPENSE","FQ1 2020","FQ1 2020","Currency=USD","Period=FQ","BEST_FPERIOD_OVERRIDE=FQ","FILING_STATUS=MR","SCALING_FORMAT=MLN","FA_ADJUSTED=Adjusted","Sort=A","Dates=H","DateFormat=P","Fill=—","Direction=H","UseDPDF=Y")</f>
        <v>449</v>
      </c>
      <c r="J20" s="9">
        <f>_xll.BDH("LUMN US Equity","IS_INT_EXPENSE","FQ2 2020","FQ2 2020","Currency=USD","Period=FQ","BEST_FPERIOD_OVERRIDE=FQ","FILING_STATUS=MR","SCALING_FORMAT=MLN","FA_ADJUSTED=Adjusted","Sort=A","Dates=H","DateFormat=P","Fill=—","Direction=H","UseDPDF=Y")</f>
        <v>414</v>
      </c>
      <c r="K20" s="9"/>
      <c r="L20" s="9"/>
    </row>
    <row r="21" spans="1:12" x14ac:dyDescent="0.25">
      <c r="A21" s="8" t="s">
        <v>142</v>
      </c>
      <c r="B21" s="8" t="s">
        <v>141</v>
      </c>
      <c r="C21" s="9">
        <f>_xll.BDH("LUMN US Equity","IS_INT_INC","FQ3 2018","FQ3 2018","Currency=USD","Period=FQ","BEST_FPERIOD_OVERRIDE=FQ","FILING_STATUS=MR","SCALING_FORMAT=MLN","FA_ADJUSTED=Adjusted","Sort=A","Dates=H","DateFormat=P","Fill=—","Direction=H","UseDPDF=Y")</f>
        <v>0</v>
      </c>
      <c r="D21" s="9">
        <f>_xll.BDH("LUMN US Equity","IS_INT_INC","FQ4 2018","FQ4 2018","Currency=USD","Period=FQ","BEST_FPERIOD_OVERRIDE=FQ","FILING_STATUS=MR","SCALING_FORMAT=MLN","FA_ADJUSTED=Adjusted","Sort=A","Dates=H","DateFormat=P","Fill=—","Direction=H","UseDPDF=Y")</f>
        <v>0</v>
      </c>
      <c r="E21" s="9">
        <f>_xll.BDH("LUMN US Equity","IS_INT_INC","FQ1 2019","FQ1 2019","Currency=USD","Period=FQ","BEST_FPERIOD_OVERRIDE=FQ","FILING_STATUS=MR","SCALING_FORMAT=MLN","FA_ADJUSTED=Adjusted","Sort=A","Dates=H","DateFormat=P","Fill=—","Direction=H","UseDPDF=Y")</f>
        <v>0</v>
      </c>
      <c r="F21" s="9">
        <f>_xll.BDH("LUMN US Equity","IS_INT_INC","FQ2 2019","FQ2 2019","Currency=USD","Period=FQ","BEST_FPERIOD_OVERRIDE=FQ","FILING_STATUS=MR","SCALING_FORMAT=MLN","FA_ADJUSTED=Adjusted","Sort=A","Dates=H","DateFormat=P","Fill=—","Direction=H","UseDPDF=Y")</f>
        <v>0</v>
      </c>
      <c r="G21" s="9">
        <f>_xll.BDH("LUMN US Equity","IS_INT_INC","FQ3 2019","FQ3 2019","Currency=USD","Period=FQ","BEST_FPERIOD_OVERRIDE=FQ","FILING_STATUS=MR","SCALING_FORMAT=MLN","FA_ADJUSTED=Adjusted","Sort=A","Dates=H","DateFormat=P","Fill=—","Direction=H","UseDPDF=Y")</f>
        <v>0</v>
      </c>
      <c r="H21" s="9">
        <f>_xll.BDH("LUMN US Equity","IS_INT_INC","FQ4 2019","FQ4 2019","Currency=USD","Period=FQ","BEST_FPERIOD_OVERRIDE=FQ","FILING_STATUS=MR","SCALING_FORMAT=MLN","FA_ADJUSTED=Adjusted","Sort=A","Dates=H","DateFormat=P","Fill=—","Direction=H","UseDPDF=Y")</f>
        <v>0</v>
      </c>
      <c r="I21" s="9">
        <f>_xll.BDH("LUMN US Equity","IS_INT_INC","FQ1 2020","FQ1 2020","Currency=USD","Period=FQ","BEST_FPERIOD_OVERRIDE=FQ","FILING_STATUS=MR","SCALING_FORMAT=MLN","FA_ADJUSTED=Adjusted","Sort=A","Dates=H","DateFormat=P","Fill=—","Direction=H","UseDPDF=Y")</f>
        <v>0</v>
      </c>
      <c r="J21" s="9">
        <f>_xll.BDH("LUMN US Equity","IS_INT_INC","FQ2 2020","FQ2 2020","Currency=USD","Period=FQ","BEST_FPERIOD_OVERRIDE=FQ","FILING_STATUS=MR","SCALING_FORMAT=MLN","FA_ADJUSTED=Adjusted","Sort=A","Dates=H","DateFormat=P","Fill=—","Direction=H","UseDPDF=Y")</f>
        <v>0</v>
      </c>
      <c r="K21" s="9"/>
      <c r="L21" s="9"/>
    </row>
    <row r="22" spans="1:12" x14ac:dyDescent="0.25">
      <c r="A22" s="16" t="s">
        <v>140</v>
      </c>
      <c r="B22" s="16" t="s">
        <v>139</v>
      </c>
      <c r="C22" s="17">
        <f>_xll.BDH("LUMN US Equity","IS_OTHER_NON_OPERATING_INC_LOSS","FQ3 2018","FQ3 2018","Currency=USD","Period=FQ","BEST_FPERIOD_OVERRIDE=FQ","FILING_STATUS=MR","SCALING_FORMAT=MLN","FA_ADJUSTED=Adjusted","Sort=A","Dates=H","DateFormat=P","Fill=—","Direction=H","UseDPDF=Y")</f>
        <v>-25</v>
      </c>
      <c r="D22" s="17">
        <f>_xll.BDH("LUMN US Equity","IS_OTHER_NON_OPERATING_INC_LOSS","FQ4 2018","FQ4 2018","Currency=USD","Period=FQ","BEST_FPERIOD_OVERRIDE=FQ","FILING_STATUS=MR","SCALING_FORMAT=MLN","FA_ADJUSTED=Adjusted","Sort=A","Dates=H","DateFormat=P","Fill=—","Direction=H","UseDPDF=Y")</f>
        <v>11</v>
      </c>
      <c r="E22" s="17">
        <f>_xll.BDH("LUMN US Equity","IS_OTHER_NON_OPERATING_INC_LOSS","FQ1 2019","FQ1 2019","Currency=USD","Period=FQ","BEST_FPERIOD_OVERRIDE=FQ","FILING_STATUS=MR","SCALING_FORMAT=MLN","FA_ADJUSTED=Adjusted","Sort=A","Dates=H","DateFormat=P","Fill=—","Direction=H","UseDPDF=Y")</f>
        <v>14</v>
      </c>
      <c r="F22" s="17">
        <f>_xll.BDH("LUMN US Equity","IS_OTHER_NON_OPERATING_INC_LOSS","FQ2 2019","FQ2 2019","Currency=USD","Period=FQ","BEST_FPERIOD_OVERRIDE=FQ","FILING_STATUS=MR","SCALING_FORMAT=MLN","FA_ADJUSTED=Adjusted","Sort=A","Dates=H","DateFormat=P","Fill=—","Direction=H","UseDPDF=Y")</f>
        <v>13</v>
      </c>
      <c r="G22" s="17">
        <f>_xll.BDH("LUMN US Equity","IS_OTHER_NON_OPERATING_INC_LOSS","FQ3 2019","FQ3 2019","Currency=USD","Period=FQ","BEST_FPERIOD_OVERRIDE=FQ","FILING_STATUS=MR","SCALING_FORMAT=MLN","FA_ADJUSTED=Adjusted","Sort=A","Dates=H","DateFormat=P","Fill=—","Direction=H","UseDPDF=Y")</f>
        <v>48</v>
      </c>
      <c r="H22" s="17">
        <f>_xll.BDH("LUMN US Equity","IS_OTHER_NON_OPERATING_INC_LOSS","FQ4 2019","FQ4 2019","Currency=USD","Period=FQ","BEST_FPERIOD_OVERRIDE=FQ","FILING_STATUS=MR","SCALING_FORMAT=MLN","FA_ADJUSTED=Adjusted","Sort=A","Dates=H","DateFormat=P","Fill=—","Direction=H","UseDPDF=Y")</f>
        <v>16</v>
      </c>
      <c r="I22" s="17">
        <f>_xll.BDH("LUMN US Equity","IS_OTHER_NON_OPERATING_INC_LOSS","FQ1 2020","FQ1 2020","Currency=USD","Period=FQ","BEST_FPERIOD_OVERRIDE=FQ","FILING_STATUS=MR","SCALING_FORMAT=MLN","FA_ADJUSTED=Adjusted","Sort=A","Dates=H","DateFormat=P","Fill=—","Direction=H","UseDPDF=Y")</f>
        <v>19</v>
      </c>
      <c r="J22" s="17">
        <f>_xll.BDH("LUMN US Equity","IS_OTHER_NON_OPERATING_INC_LOSS","FQ2 2020","FQ2 2020","Currency=USD","Period=FQ","BEST_FPERIOD_OVERRIDE=FQ","FILING_STATUS=MR","SCALING_FORMAT=MLN","FA_ADJUSTED=Adjusted","Sort=A","Dates=H","DateFormat=P","Fill=—","Direction=H","UseDPDF=Y")</f>
        <v>-31</v>
      </c>
      <c r="K22" s="17"/>
      <c r="L22" s="17"/>
    </row>
    <row r="23" spans="1:12" x14ac:dyDescent="0.25">
      <c r="A23" s="12" t="s">
        <v>138</v>
      </c>
      <c r="B23" s="12" t="s">
        <v>122</v>
      </c>
      <c r="C23" s="10">
        <f>_xll.BDH("LUMN US Equity","PRETAX_INC","FQ3 2018","FQ3 2018","Currency=USD","Period=FQ","BEST_FPERIOD_OVERRIDE=FQ","FILING_STATUS=MR","SCALING_FORMAT=MLN","FA_ADJUSTED=Adjusted","Sort=A","Dates=H","DateFormat=P","Fill=—","Direction=H","UseDPDF=Y")</f>
        <v>403</v>
      </c>
      <c r="D23" s="10">
        <f>_xll.BDH("LUMN US Equity","PRETAX_INC","FQ4 2018","FQ4 2018","Currency=USD","Period=FQ","BEST_FPERIOD_OVERRIDE=FQ","FILING_STATUS=MR","SCALING_FORMAT=MLN","FA_ADJUSTED=Adjusted","Sort=A","Dates=H","DateFormat=P","Fill=—","Direction=H","UseDPDF=Y")</f>
        <v>452</v>
      </c>
      <c r="E23" s="10">
        <f>_xll.BDH("LUMN US Equity","PRETAX_INC","FQ1 2019","FQ1 2019","Currency=USD","Period=FQ","BEST_FPERIOD_OVERRIDE=FQ","FILING_STATUS=MR","SCALING_FORMAT=MLN","FA_ADJUSTED=Adjusted","Sort=A","Dates=H","DateFormat=P","Fill=—","Direction=H","UseDPDF=Y")</f>
        <v>504</v>
      </c>
      <c r="F23" s="10">
        <f>_xll.BDH("LUMN US Equity","PRETAX_INC","FQ2 2019","FQ2 2019","Currency=USD","Period=FQ","BEST_FPERIOD_OVERRIDE=FQ","FILING_STATUS=MR","SCALING_FORMAT=MLN","FA_ADJUSTED=Adjusted","Sort=A","Dates=H","DateFormat=P","Fill=—","Direction=H","UseDPDF=Y")</f>
        <v>499</v>
      </c>
      <c r="G23" s="10">
        <f>_xll.BDH("LUMN US Equity","PRETAX_INC","FQ3 2019","FQ3 2019","Currency=USD","Period=FQ","BEST_FPERIOD_OVERRIDE=FQ","FILING_STATUS=MR","SCALING_FORMAT=MLN","FA_ADJUSTED=Adjusted","Sort=A","Dates=H","DateFormat=P","Fill=—","Direction=H","UseDPDF=Y")</f>
        <v>444</v>
      </c>
      <c r="H23" s="10">
        <f>_xll.BDH("LUMN US Equity","PRETAX_INC","FQ4 2019","FQ4 2019","Currency=USD","Period=FQ","BEST_FPERIOD_OVERRIDE=FQ","FILING_STATUS=MR","SCALING_FORMAT=MLN","FA_ADJUSTED=Adjusted","Sort=A","Dates=H","DateFormat=P","Fill=—","Direction=H","UseDPDF=Y")</f>
        <v>520</v>
      </c>
      <c r="I23" s="10">
        <f>_xll.BDH("LUMN US Equity","PRETAX_INC","FQ1 2020","FQ1 2020","Currency=USD","Period=FQ","BEST_FPERIOD_OVERRIDE=FQ","FILING_STATUS=MR","SCALING_FORMAT=MLN","FA_ADJUSTED=Adjusted","Sort=A","Dates=H","DateFormat=P","Fill=—","Direction=H","UseDPDF=Y")</f>
        <v>546</v>
      </c>
      <c r="J23" s="10">
        <f>_xll.BDH("LUMN US Equity","PRETAX_INC","FQ2 2020","FQ2 2020","Currency=USD","Period=FQ","BEST_FPERIOD_OVERRIDE=FQ","FILING_STATUS=MR","SCALING_FORMAT=MLN","FA_ADJUSTED=Adjusted","Sort=A","Dates=H","DateFormat=P","Fill=—","Direction=H","UseDPDF=Y")</f>
        <v>609</v>
      </c>
      <c r="K23" s="10">
        <v>409.286</v>
      </c>
      <c r="L23" s="10">
        <v>415.16699999999997</v>
      </c>
    </row>
    <row r="24" spans="1:12" x14ac:dyDescent="0.25">
      <c r="A24" s="16" t="s">
        <v>137</v>
      </c>
      <c r="B24" s="16" t="s">
        <v>136</v>
      </c>
      <c r="C24" s="17">
        <f>_xll.BDH("LUMN US Equity","IS_ABNORMAL_ITEM","FQ3 2018","FQ3 2018","Currency=USD","Period=FQ","BEST_FPERIOD_OVERRIDE=FQ","FILING_STATUS=MR","SCALING_FORMAT=MLN","Sort=A","Dates=H","DateFormat=P","Fill=—","Direction=H","UseDPDF=Y")</f>
        <v>74</v>
      </c>
      <c r="D24" s="17">
        <f>_xll.BDH("LUMN US Equity","IS_ABNORMAL_ITEM","FQ4 2018","FQ4 2018","Currency=USD","Period=FQ","BEST_FPERIOD_OVERRIDE=FQ","FILING_STATUS=MR","SCALING_FORMAT=MLN","Sort=A","Dates=H","DateFormat=P","Fill=—","Direction=H","UseDPDF=Y")</f>
        <v>2817</v>
      </c>
      <c r="E24" s="17">
        <f>_xll.BDH("LUMN US Equity","IS_ABNORMAL_ITEM","FQ1 2019","FQ1 2019","Currency=USD","Period=FQ","BEST_FPERIOD_OVERRIDE=FQ","FILING_STATUS=MR","SCALING_FORMAT=MLN","Sort=A","Dates=H","DateFormat=P","Fill=—","Direction=H","UseDPDF=Y")</f>
        <v>6531</v>
      </c>
      <c r="F24" s="17">
        <f>_xll.BDH("LUMN US Equity","IS_ABNORMAL_ITEM","FQ2 2019","FQ2 2019","Currency=USD","Period=FQ","BEST_FPERIOD_OVERRIDE=FQ","FILING_STATUS=MR","SCALING_FORMAT=MLN","Sort=A","Dates=H","DateFormat=P","Fill=—","Direction=H","UseDPDF=Y")</f>
        <v>-3</v>
      </c>
      <c r="G24" s="17">
        <f>_xll.BDH("LUMN US Equity","IS_ABNORMAL_ITEM","FQ3 2019","FQ3 2019","Currency=USD","Period=FQ","BEST_FPERIOD_OVERRIDE=FQ","FILING_STATUS=MR","SCALING_FORMAT=MLN","Sort=A","Dates=H","DateFormat=P","Fill=—","Direction=H","UseDPDF=Y")</f>
        <v>34</v>
      </c>
      <c r="H24" s="17">
        <f>_xll.BDH("LUMN US Equity","IS_ABNORMAL_ITEM","FQ4 2019","FQ4 2019","Currency=USD","Period=FQ","BEST_FPERIOD_OVERRIDE=FQ","FILING_STATUS=MR","SCALING_FORMAT=MLN","Sort=A","Dates=H","DateFormat=P","Fill=—","Direction=H","UseDPDF=Y")</f>
        <v>171</v>
      </c>
      <c r="I24" s="17">
        <f>_xll.BDH("LUMN US Equity","IS_ABNORMAL_ITEM","FQ1 2020","FQ1 2020","Currency=USD","Period=FQ","BEST_FPERIOD_OVERRIDE=FQ","FILING_STATUS=MR","SCALING_FORMAT=MLN","Sort=A","Dates=H","DateFormat=P","Fill=—","Direction=H","UseDPDF=Y")</f>
        <v>113</v>
      </c>
      <c r="J24" s="17">
        <f>_xll.BDH("LUMN US Equity","IS_ABNORMAL_ITEM","FQ2 2020","FQ2 2020","Currency=USD","Period=FQ","BEST_FPERIOD_OVERRIDE=FQ","FILING_STATUS=MR","SCALING_FORMAT=MLN","Sort=A","Dates=H","DateFormat=P","Fill=—","Direction=H","UseDPDF=Y")</f>
        <v>96</v>
      </c>
      <c r="K24" s="17"/>
      <c r="L24" s="17"/>
    </row>
    <row r="25" spans="1:12" x14ac:dyDescent="0.25">
      <c r="A25" s="16" t="s">
        <v>135</v>
      </c>
      <c r="B25" s="16" t="s">
        <v>134</v>
      </c>
      <c r="C25" s="17">
        <f>_xll.BDH("LUMN US Equity","IS_MERGER_ACQUISITION_EXPENSE","FQ3 2018","FQ3 2018","Currency=USD","Period=FQ","BEST_FPERIOD_OVERRIDE=FQ","FILING_STATUS=MR","SCALING_FORMAT=MLN","Sort=A","Dates=H","DateFormat=P","Fill=—","Direction=H","UseDPDF=Y")</f>
        <v>41</v>
      </c>
      <c r="D25" s="17">
        <f>_xll.BDH("LUMN US Equity","IS_MERGER_ACQUISITION_EXPENSE","FQ4 2018","FQ4 2018","Currency=USD","Period=FQ","BEST_FPERIOD_OVERRIDE=FQ","FILING_STATUS=MR","SCALING_FORMAT=MLN","Sort=A","Dates=H","DateFormat=P","Fill=—","Direction=H","UseDPDF=Y")</f>
        <v>117</v>
      </c>
      <c r="E25" s="17">
        <f>_xll.BDH("LUMN US Equity","IS_MERGER_ACQUISITION_EXPENSE","FQ1 2019","FQ1 2019","Currency=USD","Period=FQ","BEST_FPERIOD_OVERRIDE=FQ","FILING_STATUS=MR","SCALING_FORMAT=MLN","Sort=A","Dates=H","DateFormat=P","Fill=—","Direction=H","UseDPDF=Y")</f>
        <v>34</v>
      </c>
      <c r="F25" s="17">
        <f>_xll.BDH("LUMN US Equity","IS_MERGER_ACQUISITION_EXPENSE","FQ2 2019","FQ2 2019","Currency=USD","Period=FQ","BEST_FPERIOD_OVERRIDE=FQ","FILING_STATUS=MR","SCALING_FORMAT=MLN","Sort=A","Dates=H","DateFormat=P","Fill=—","Direction=H","UseDPDF=Y")</f>
        <v>39</v>
      </c>
      <c r="G25" s="17">
        <f>_xll.BDH("LUMN US Equity","IS_MERGER_ACQUISITION_EXPENSE","FQ3 2019","FQ3 2019","Currency=USD","Period=FQ","BEST_FPERIOD_OVERRIDE=FQ","FILING_STATUS=MR","SCALING_FORMAT=MLN","Sort=A","Dates=H","DateFormat=P","Fill=—","Direction=H","UseDPDF=Y")</f>
        <v>38</v>
      </c>
      <c r="H25" s="17">
        <f>_xll.BDH("LUMN US Equity","IS_MERGER_ACQUISITION_EXPENSE","FQ4 2019","FQ4 2019","Currency=USD","Period=FQ","BEST_FPERIOD_OVERRIDE=FQ","FILING_STATUS=MR","SCALING_FORMAT=MLN","Sort=A","Dates=H","DateFormat=P","Fill=—","Direction=H","UseDPDF=Y")</f>
        <v>123</v>
      </c>
      <c r="I25" s="17">
        <f>_xll.BDH("LUMN US Equity","IS_MERGER_ACQUISITION_EXPENSE","FQ1 2020","FQ1 2020","Currency=USD","Period=FQ","BEST_FPERIOD_OVERRIDE=FQ","FILING_STATUS=MR","SCALING_FORMAT=MLN","Sort=A","Dates=H","DateFormat=P","Fill=—","Direction=H","UseDPDF=Y")</f>
        <v>34</v>
      </c>
      <c r="J25" s="17">
        <f>_xll.BDH("LUMN US Equity","IS_MERGER_ACQUISITION_EXPENSE","FQ2 2020","FQ2 2020","Currency=USD","Period=FQ","BEST_FPERIOD_OVERRIDE=FQ","FILING_STATUS=MR","SCALING_FORMAT=MLN","Sort=A","Dates=H","DateFormat=P","Fill=—","Direction=H","UseDPDF=Y")</f>
        <v>83</v>
      </c>
      <c r="K25" s="17"/>
      <c r="L25" s="17"/>
    </row>
    <row r="26" spans="1:12" x14ac:dyDescent="0.25">
      <c r="A26" s="16" t="s">
        <v>133</v>
      </c>
      <c r="B26" s="16" t="s">
        <v>132</v>
      </c>
      <c r="C26" s="17">
        <f>_xll.BDH("LUMN US Equity","IS_G_L_ON_EXT_DBT_OR_SETTLE_DBT","FQ3 2018","FQ3 2018","Currency=USD","Period=FQ","BEST_FPERIOD_OVERRIDE=FQ","FILING_STATUS=MR","SCALING_FORMAT=MLN","Sort=A","Dates=H","DateFormat=P","Fill=—","Direction=H","UseDPDF=Y")</f>
        <v>33</v>
      </c>
      <c r="D26" s="17">
        <f>_xll.BDH("LUMN US Equity","IS_G_L_ON_EXT_DBT_OR_SETTLE_DBT","FQ4 2018","FQ4 2018","Currency=USD","Period=FQ","BEST_FPERIOD_OVERRIDE=FQ","FILING_STATUS=MR","SCALING_FORMAT=MLN","Sort=A","Dates=H","DateFormat=P","Fill=—","Direction=H","UseDPDF=Y")</f>
        <v>-26</v>
      </c>
      <c r="E26" s="17">
        <f>_xll.BDH("LUMN US Equity","IS_G_L_ON_EXT_DBT_OR_SETTLE_DBT","FQ1 2019","FQ1 2019","Currency=USD","Period=FQ","BEST_FPERIOD_OVERRIDE=FQ","FILING_STATUS=MR","SCALING_FORMAT=MLN","Sort=A","Dates=H","DateFormat=P","Fill=—","Direction=H","UseDPDF=Y")</f>
        <v>-9</v>
      </c>
      <c r="F26" s="17">
        <f>_xll.BDH("LUMN US Equity","IS_G_L_ON_EXT_DBT_OR_SETTLE_DBT","FQ2 2019","FQ2 2019","Currency=USD","Period=FQ","BEST_FPERIOD_OVERRIDE=FQ","FILING_STATUS=MR","SCALING_FORMAT=MLN","Sort=A","Dates=H","DateFormat=P","Fill=—","Direction=H","UseDPDF=Y")</f>
        <v>-57</v>
      </c>
      <c r="G26" s="17">
        <f>_xll.BDH("LUMN US Equity","IS_G_L_ON_EXT_DBT_OR_SETTLE_DBT","FQ3 2019","FQ3 2019","Currency=USD","Period=FQ","BEST_FPERIOD_OVERRIDE=FQ","FILING_STATUS=MR","SCALING_FORMAT=MLN","Sort=A","Dates=H","DateFormat=P","Fill=—","Direction=H","UseDPDF=Y")</f>
        <v>-4</v>
      </c>
      <c r="H26" s="17">
        <f>_xll.BDH("LUMN US Equity","IS_G_L_ON_EXT_DBT_OR_SETTLE_DBT","FQ4 2019","FQ4 2019","Currency=USD","Period=FQ","BEST_FPERIOD_OVERRIDE=FQ","FILING_STATUS=MR","SCALING_FORMAT=MLN","Sort=A","Dates=H","DateFormat=P","Fill=—","Direction=H","UseDPDF=Y")</f>
        <v>-2</v>
      </c>
      <c r="I26" s="17">
        <f>_xll.BDH("LUMN US Equity","IS_G_L_ON_EXT_DBT_OR_SETTLE_DBT","FQ1 2020","FQ1 2020","Currency=USD","Period=FQ","BEST_FPERIOD_OVERRIDE=FQ","FILING_STATUS=MR","SCALING_FORMAT=MLN","Sort=A","Dates=H","DateFormat=P","Fill=—","Direction=H","UseDPDF=Y")</f>
        <v>79</v>
      </c>
      <c r="J26" s="17">
        <f>_xll.BDH("LUMN US Equity","IS_G_L_ON_EXT_DBT_OR_SETTLE_DBT","FQ2 2020","FQ2 2020","Currency=USD","Period=FQ","BEST_FPERIOD_OVERRIDE=FQ","FILING_STATUS=MR","SCALING_FORMAT=MLN","Sort=A","Dates=H","DateFormat=P","Fill=—","Direction=H","UseDPDF=Y")</f>
        <v>7</v>
      </c>
      <c r="K26" s="17"/>
      <c r="L26" s="17"/>
    </row>
    <row r="27" spans="1:12" x14ac:dyDescent="0.25">
      <c r="A27" s="16" t="s">
        <v>131</v>
      </c>
      <c r="B27" s="16" t="s">
        <v>130</v>
      </c>
      <c r="C27" s="17" t="str">
        <f>_xll.BDH("LUMN US Equity","IS_IMPAIRMENT_ASSETS","FQ3 2018","FQ3 2018","Currency=USD","Period=FQ","BEST_FPERIOD_OVERRIDE=FQ","FILING_STATUS=MR","SCALING_FORMAT=MLN","Sort=A","Dates=H","DateFormat=P","Fill=—","Direction=H","UseDPDF=Y")</f>
        <v>—</v>
      </c>
      <c r="D27" s="17" t="str">
        <f>_xll.BDH("LUMN US Equity","IS_IMPAIRMENT_ASSETS","FQ4 2018","FQ4 2018","Currency=USD","Period=FQ","BEST_FPERIOD_OVERRIDE=FQ","FILING_STATUS=MR","SCALING_FORMAT=MLN","Sort=A","Dates=H","DateFormat=P","Fill=—","Direction=H","UseDPDF=Y")</f>
        <v>—</v>
      </c>
      <c r="E27" s="17" t="str">
        <f>_xll.BDH("LUMN US Equity","IS_IMPAIRMENT_ASSETS","FQ1 2019","FQ1 2019","Currency=USD","Period=FQ","BEST_FPERIOD_OVERRIDE=FQ","FILING_STATUS=MR","SCALING_FORMAT=MLN","Sort=A","Dates=H","DateFormat=P","Fill=—","Direction=H","UseDPDF=Y")</f>
        <v>—</v>
      </c>
      <c r="F27" s="17" t="str">
        <f>_xll.BDH("LUMN US Equity","IS_IMPAIRMENT_ASSETS","FQ2 2019","FQ2 2019","Currency=USD","Period=FQ","BEST_FPERIOD_OVERRIDE=FQ","FILING_STATUS=MR","SCALING_FORMAT=MLN","Sort=A","Dates=H","DateFormat=P","Fill=—","Direction=H","UseDPDF=Y")</f>
        <v>—</v>
      </c>
      <c r="G27" s="17" t="str">
        <f>_xll.BDH("LUMN US Equity","IS_IMPAIRMENT_ASSETS","FQ3 2019","FQ3 2019","Currency=USD","Period=FQ","BEST_FPERIOD_OVERRIDE=FQ","FILING_STATUS=MR","SCALING_FORMAT=MLN","Sort=A","Dates=H","DateFormat=P","Fill=—","Direction=H","UseDPDF=Y")</f>
        <v>—</v>
      </c>
      <c r="H27" s="17" t="str">
        <f>_xll.BDH("LUMN US Equity","IS_IMPAIRMENT_ASSETS","FQ4 2019","FQ4 2019","Currency=USD","Period=FQ","BEST_FPERIOD_OVERRIDE=FQ","FILING_STATUS=MR","SCALING_FORMAT=MLN","Sort=A","Dates=H","DateFormat=P","Fill=—","Direction=H","UseDPDF=Y")</f>
        <v>—</v>
      </c>
      <c r="I27" s="17" t="str">
        <f>_xll.BDH("LUMN US Equity","IS_IMPAIRMENT_ASSETS","FQ1 2020","FQ1 2020","Currency=USD","Period=FQ","BEST_FPERIOD_OVERRIDE=FQ","FILING_STATUS=MR","SCALING_FORMAT=MLN","Sort=A","Dates=H","DateFormat=P","Fill=—","Direction=H","UseDPDF=Y")</f>
        <v>—</v>
      </c>
      <c r="J27" s="17" t="str">
        <f>_xll.BDH("LUMN US Equity","IS_IMPAIRMENT_ASSETS","FQ2 2020","FQ2 2020","Currency=USD","Period=FQ","BEST_FPERIOD_OVERRIDE=FQ","FILING_STATUS=MR","SCALING_FORMAT=MLN","Sort=A","Dates=H","DateFormat=P","Fill=—","Direction=H","UseDPDF=Y")</f>
        <v>—</v>
      </c>
      <c r="K27" s="17"/>
      <c r="L27" s="17"/>
    </row>
    <row r="28" spans="1:12" x14ac:dyDescent="0.25">
      <c r="A28" s="16" t="s">
        <v>129</v>
      </c>
      <c r="B28" s="16" t="s">
        <v>128</v>
      </c>
      <c r="C28" s="17" t="str">
        <f>_xll.BDH("LUMN US Equity","IS_IMPAIRMENT_GOODWILL_INTANGIBL","FQ3 2018","FQ3 2018","Currency=USD","Period=FQ","BEST_FPERIOD_OVERRIDE=FQ","FILING_STATUS=MR","SCALING_FORMAT=MLN","Sort=A","Dates=H","DateFormat=P","Fill=—","Direction=H","UseDPDF=Y")</f>
        <v>—</v>
      </c>
      <c r="D28" s="17">
        <f>_xll.BDH("LUMN US Equity","IS_IMPAIRMENT_GOODWILL_INTANGIBL","FQ4 2018","FQ4 2018","Currency=USD","Period=FQ","BEST_FPERIOD_OVERRIDE=FQ","FILING_STATUS=MR","SCALING_FORMAT=MLN","Sort=A","Dates=H","DateFormat=P","Fill=—","Direction=H","UseDPDF=Y")</f>
        <v>2726</v>
      </c>
      <c r="E28" s="17">
        <f>_xll.BDH("LUMN US Equity","IS_IMPAIRMENT_GOODWILL_INTANGIBL","FQ1 2019","FQ1 2019","Currency=USD","Period=FQ","BEST_FPERIOD_OVERRIDE=FQ","FILING_STATUS=MR","SCALING_FORMAT=MLN","Sort=A","Dates=H","DateFormat=P","Fill=—","Direction=H","UseDPDF=Y")</f>
        <v>6506</v>
      </c>
      <c r="F28" s="17" t="str">
        <f>_xll.BDH("LUMN US Equity","IS_IMPAIRMENT_GOODWILL_INTANGIBL","FQ2 2019","FQ2 2019","Currency=USD","Period=FQ","BEST_FPERIOD_OVERRIDE=FQ","FILING_STATUS=MR","SCALING_FORMAT=MLN","Sort=A","Dates=H","DateFormat=P","Fill=—","Direction=H","UseDPDF=Y")</f>
        <v>—</v>
      </c>
      <c r="G28" s="17" t="str">
        <f>_xll.BDH("LUMN US Equity","IS_IMPAIRMENT_GOODWILL_INTANGIBL","FQ3 2019","FQ3 2019","Currency=USD","Period=FQ","BEST_FPERIOD_OVERRIDE=FQ","FILING_STATUS=MR","SCALING_FORMAT=MLN","Sort=A","Dates=H","DateFormat=P","Fill=—","Direction=H","UseDPDF=Y")</f>
        <v>—</v>
      </c>
      <c r="H28" s="17" t="str">
        <f>_xll.BDH("LUMN US Equity","IS_IMPAIRMENT_GOODWILL_INTANGIBL","FQ4 2019","FQ4 2019","Currency=USD","Period=FQ","BEST_FPERIOD_OVERRIDE=FQ","FILING_STATUS=MR","SCALING_FORMAT=MLN","Sort=A","Dates=H","DateFormat=P","Fill=—","Direction=H","UseDPDF=Y")</f>
        <v>—</v>
      </c>
      <c r="I28" s="17" t="str">
        <f>_xll.BDH("LUMN US Equity","IS_IMPAIRMENT_GOODWILL_INTANGIBL","FQ1 2020","FQ1 2020","Currency=USD","Period=FQ","BEST_FPERIOD_OVERRIDE=FQ","FILING_STATUS=MR","SCALING_FORMAT=MLN","Sort=A","Dates=H","DateFormat=P","Fill=—","Direction=H","UseDPDF=Y")</f>
        <v>—</v>
      </c>
      <c r="J28" s="17" t="str">
        <f>_xll.BDH("LUMN US Equity","IS_IMPAIRMENT_GOODWILL_INTANGIBL","FQ2 2020","FQ2 2020","Currency=USD","Period=FQ","BEST_FPERIOD_OVERRIDE=FQ","FILING_STATUS=MR","SCALING_FORMAT=MLN","Sort=A","Dates=H","DateFormat=P","Fill=—","Direction=H","UseDPDF=Y")</f>
        <v>—</v>
      </c>
      <c r="K28" s="17"/>
      <c r="L28" s="17"/>
    </row>
    <row r="29" spans="1:12" x14ac:dyDescent="0.25">
      <c r="A29" s="16" t="s">
        <v>127</v>
      </c>
      <c r="B29" s="16" t="s">
        <v>126</v>
      </c>
      <c r="C29" s="17" t="str">
        <f>_xll.BDH("LUMN US Equity","IS_LEGAL_LITIGATION_SETTLEMENT","FQ3 2018","FQ3 2018","Currency=USD","Period=FQ","BEST_FPERIOD_OVERRIDE=FQ","FILING_STATUS=MR","SCALING_FORMAT=MLN","Sort=A","Dates=H","DateFormat=P","Fill=—","Direction=H","UseDPDF=Y")</f>
        <v>—</v>
      </c>
      <c r="D29" s="17" t="str">
        <f>_xll.BDH("LUMN US Equity","IS_LEGAL_LITIGATION_SETTLEMENT","FQ4 2018","FQ4 2018","Currency=USD","Period=FQ","BEST_FPERIOD_OVERRIDE=FQ","FILING_STATUS=MR","SCALING_FORMAT=MLN","Sort=A","Dates=H","DateFormat=P","Fill=—","Direction=H","UseDPDF=Y")</f>
        <v>—</v>
      </c>
      <c r="E29" s="17" t="str">
        <f>_xll.BDH("LUMN US Equity","IS_LEGAL_LITIGATION_SETTLEMENT","FQ1 2019","FQ1 2019","Currency=USD","Period=FQ","BEST_FPERIOD_OVERRIDE=FQ","FILING_STATUS=MR","SCALING_FORMAT=MLN","Sort=A","Dates=H","DateFormat=P","Fill=—","Direction=H","UseDPDF=Y")</f>
        <v>—</v>
      </c>
      <c r="F29" s="17">
        <f>_xll.BDH("LUMN US Equity","IS_LEGAL_LITIGATION_SETTLEMENT","FQ2 2019","FQ2 2019","Currency=USD","Period=FQ","BEST_FPERIOD_OVERRIDE=FQ","FILING_STATUS=MR","SCALING_FORMAT=MLN","Sort=A","Dates=H","DateFormat=P","Fill=—","Direction=H","UseDPDF=Y")</f>
        <v>15</v>
      </c>
      <c r="G29" s="17" t="str">
        <f>_xll.BDH("LUMN US Equity","IS_LEGAL_LITIGATION_SETTLEMENT","FQ3 2019","FQ3 2019","Currency=USD","Period=FQ","BEST_FPERIOD_OVERRIDE=FQ","FILING_STATUS=MR","SCALING_FORMAT=MLN","Sort=A","Dates=H","DateFormat=P","Fill=—","Direction=H","UseDPDF=Y")</f>
        <v>—</v>
      </c>
      <c r="H29" s="17">
        <f>_xll.BDH("LUMN US Equity","IS_LEGAL_LITIGATION_SETTLEMENT","FQ4 2019","FQ4 2019","Currency=USD","Period=FQ","BEST_FPERIOD_OVERRIDE=FQ","FILING_STATUS=MR","SCALING_FORMAT=MLN","Sort=A","Dates=H","DateFormat=P","Fill=—","Direction=H","UseDPDF=Y")</f>
        <v>50</v>
      </c>
      <c r="I29" s="17" t="str">
        <f>_xll.BDH("LUMN US Equity","IS_LEGAL_LITIGATION_SETTLEMENT","FQ1 2020","FQ1 2020","Currency=USD","Period=FQ","BEST_FPERIOD_OVERRIDE=FQ","FILING_STATUS=MR","SCALING_FORMAT=MLN","Sort=A","Dates=H","DateFormat=P","Fill=—","Direction=H","UseDPDF=Y")</f>
        <v>—</v>
      </c>
      <c r="J29" s="17">
        <f>_xll.BDH("LUMN US Equity","IS_LEGAL_LITIGATION_SETTLEMENT","FQ2 2020","FQ2 2020","Currency=USD","Period=FQ","BEST_FPERIOD_OVERRIDE=FQ","FILING_STATUS=MR","SCALING_FORMAT=MLN","Sort=A","Dates=H","DateFormat=P","Fill=—","Direction=H","UseDPDF=Y")</f>
        <v>6</v>
      </c>
      <c r="K29" s="17"/>
      <c r="L29" s="17"/>
    </row>
    <row r="30" spans="1:12" x14ac:dyDescent="0.25">
      <c r="A30" s="16" t="s">
        <v>125</v>
      </c>
      <c r="B30" s="16" t="s">
        <v>124</v>
      </c>
      <c r="C30" s="17" t="str">
        <f>_xll.BDH("LUMN US Equity","IS_RESTRUCTURING_EXPENSES","FQ3 2018","FQ3 2018","Currency=USD","Period=FQ","BEST_FPERIOD_OVERRIDE=FQ","FILING_STATUS=MR","SCALING_FORMAT=MLN","Sort=A","Dates=H","DateFormat=P","Fill=—","Direction=H","UseDPDF=Y")</f>
        <v>—</v>
      </c>
      <c r="D30" s="17" t="str">
        <f>_xll.BDH("LUMN US Equity","IS_RESTRUCTURING_EXPENSES","FQ4 2018","FQ4 2018","Currency=USD","Period=FQ","BEST_FPERIOD_OVERRIDE=FQ","FILING_STATUS=MR","SCALING_FORMAT=MLN","Sort=A","Dates=H","DateFormat=P","Fill=—","Direction=H","UseDPDF=Y")</f>
        <v>—</v>
      </c>
      <c r="E30" s="17" t="str">
        <f>_xll.BDH("LUMN US Equity","IS_RESTRUCTURING_EXPENSES","FQ1 2019","FQ1 2019","Currency=USD","Period=FQ","BEST_FPERIOD_OVERRIDE=FQ","FILING_STATUS=MR","SCALING_FORMAT=MLN","Sort=A","Dates=H","DateFormat=P","Fill=—","Direction=H","UseDPDF=Y")</f>
        <v>—</v>
      </c>
      <c r="F30" s="17" t="str">
        <f>_xll.BDH("LUMN US Equity","IS_RESTRUCTURING_EXPENSES","FQ2 2019","FQ2 2019","Currency=USD","Period=FQ","BEST_FPERIOD_OVERRIDE=FQ","FILING_STATUS=MR","SCALING_FORMAT=MLN","Sort=A","Dates=H","DateFormat=P","Fill=—","Direction=H","UseDPDF=Y")</f>
        <v>—</v>
      </c>
      <c r="G30" s="17" t="str">
        <f>_xll.BDH("LUMN US Equity","IS_RESTRUCTURING_EXPENSES","FQ3 2019","FQ3 2019","Currency=USD","Period=FQ","BEST_FPERIOD_OVERRIDE=FQ","FILING_STATUS=MR","SCALING_FORMAT=MLN","Sort=A","Dates=H","DateFormat=P","Fill=—","Direction=H","UseDPDF=Y")</f>
        <v>—</v>
      </c>
      <c r="H30" s="17" t="str">
        <f>_xll.BDH("LUMN US Equity","IS_RESTRUCTURING_EXPENSES","FQ4 2019","FQ4 2019","Currency=USD","Period=FQ","BEST_FPERIOD_OVERRIDE=FQ","FILING_STATUS=MR","SCALING_FORMAT=MLN","Sort=A","Dates=H","DateFormat=P","Fill=—","Direction=H","UseDPDF=Y")</f>
        <v>—</v>
      </c>
      <c r="I30" s="17" t="str">
        <f>_xll.BDH("LUMN US Equity","IS_RESTRUCTURING_EXPENSES","FQ1 2020","FQ1 2020","Currency=USD","Period=FQ","BEST_FPERIOD_OVERRIDE=FQ","FILING_STATUS=MR","SCALING_FORMAT=MLN","Sort=A","Dates=H","DateFormat=P","Fill=—","Direction=H","UseDPDF=Y")</f>
        <v>—</v>
      </c>
      <c r="J30" s="17" t="str">
        <f>_xll.BDH("LUMN US Equity","IS_RESTRUCTURING_EXPENSES","FQ2 2020","FQ2 2020","Currency=USD","Period=FQ","BEST_FPERIOD_OVERRIDE=FQ","FILING_STATUS=MR","SCALING_FORMAT=MLN","Sort=A","Dates=H","DateFormat=P","Fill=—","Direction=H","UseDPDF=Y")</f>
        <v>—</v>
      </c>
      <c r="K30" s="17"/>
      <c r="L30" s="17"/>
    </row>
    <row r="31" spans="1:12" x14ac:dyDescent="0.25">
      <c r="A31" s="12" t="s">
        <v>123</v>
      </c>
      <c r="B31" s="12" t="s">
        <v>122</v>
      </c>
      <c r="C31" s="10">
        <f>_xll.BDH("LUMN US Equity","PRETAX_INC","FQ3 2018","FQ3 2018","Currency=USD","Period=FQ","BEST_FPERIOD_OVERRIDE=FQ","FILING_STATUS=MR","SCALING_FORMAT=MLN","FA_ADJUSTED=GAAP","Sort=A","Dates=H","DateFormat=P","Fill=—","Direction=H","UseDPDF=Y")</f>
        <v>329</v>
      </c>
      <c r="D31" s="10">
        <f>_xll.BDH("LUMN US Equity","PRETAX_INC","FQ4 2018","FQ4 2018","Currency=USD","Period=FQ","BEST_FPERIOD_OVERRIDE=FQ","FILING_STATUS=MR","SCALING_FORMAT=MLN","FA_ADJUSTED=GAAP","Sort=A","Dates=H","DateFormat=P","Fill=—","Direction=H","UseDPDF=Y")</f>
        <v>-2365</v>
      </c>
      <c r="E31" s="10">
        <f>_xll.BDH("LUMN US Equity","PRETAX_INC","FQ1 2019","FQ1 2019","Currency=USD","Period=FQ","BEST_FPERIOD_OVERRIDE=FQ","FILING_STATUS=MR","SCALING_FORMAT=MLN","FA_ADJUSTED=GAAP","Sort=A","Dates=H","DateFormat=P","Fill=—","Direction=H","UseDPDF=Y")</f>
        <v>-6027</v>
      </c>
      <c r="F31" s="10">
        <f>_xll.BDH("LUMN US Equity","PRETAX_INC","FQ2 2019","FQ2 2019","Currency=USD","Period=FQ","BEST_FPERIOD_OVERRIDE=FQ","FILING_STATUS=MR","SCALING_FORMAT=MLN","FA_ADJUSTED=GAAP","Sort=A","Dates=H","DateFormat=P","Fill=—","Direction=H","UseDPDF=Y")</f>
        <v>502</v>
      </c>
      <c r="G31" s="10">
        <f>_xll.BDH("LUMN US Equity","PRETAX_INC","FQ3 2019","FQ3 2019","Currency=USD","Period=FQ","BEST_FPERIOD_OVERRIDE=FQ","FILING_STATUS=MR","SCALING_FORMAT=MLN","FA_ADJUSTED=GAAP","Sort=A","Dates=H","DateFormat=P","Fill=—","Direction=H","UseDPDF=Y")</f>
        <v>410</v>
      </c>
      <c r="H31" s="10">
        <f>_xll.BDH("LUMN US Equity","PRETAX_INC","FQ4 2019","FQ4 2019","Currency=USD","Period=FQ","BEST_FPERIOD_OVERRIDE=FQ","FILING_STATUS=MR","SCALING_FORMAT=MLN","FA_ADJUSTED=GAAP","Sort=A","Dates=H","DateFormat=P","Fill=—","Direction=H","UseDPDF=Y")</f>
        <v>349</v>
      </c>
      <c r="I31" s="10">
        <f>_xll.BDH("LUMN US Equity","PRETAX_INC","FQ1 2020","FQ1 2020","Currency=USD","Period=FQ","BEST_FPERIOD_OVERRIDE=FQ","FILING_STATUS=MR","SCALING_FORMAT=MLN","FA_ADJUSTED=GAAP","Sort=A","Dates=H","DateFormat=P","Fill=—","Direction=H","UseDPDF=Y")</f>
        <v>433</v>
      </c>
      <c r="J31" s="10">
        <f>_xll.BDH("LUMN US Equity","PRETAX_INC","FQ2 2020","FQ2 2020","Currency=USD","Period=FQ","BEST_FPERIOD_OVERRIDE=FQ","FILING_STATUS=MR","SCALING_FORMAT=MLN","FA_ADJUSTED=GAAP","Sort=A","Dates=H","DateFormat=P","Fill=—","Direction=H","UseDPDF=Y")</f>
        <v>513</v>
      </c>
      <c r="K31" s="10">
        <v>409.286</v>
      </c>
      <c r="L31" s="10">
        <v>415.16699999999997</v>
      </c>
    </row>
    <row r="32" spans="1:12" x14ac:dyDescent="0.25">
      <c r="A32" s="16" t="s">
        <v>121</v>
      </c>
      <c r="B32" s="16" t="s">
        <v>120</v>
      </c>
      <c r="C32" s="17">
        <f>_xll.BDH("LUMN US Equity","IS_INC_TAX_EXP","FQ3 2018","FQ3 2018","Currency=USD","Period=FQ","BEST_FPERIOD_OVERRIDE=FQ","FILING_STATUS=MR","SCALING_FORMAT=MLN","FA_ADJUSTED=GAAP","Sort=A","Dates=H","DateFormat=P","Fill=—","Direction=H","UseDPDF=Y")</f>
        <v>57</v>
      </c>
      <c r="D32" s="17">
        <f>_xll.BDH("LUMN US Equity","IS_INC_TAX_EXP","FQ4 2018","FQ4 2018","Currency=USD","Period=FQ","BEST_FPERIOD_OVERRIDE=FQ","FILING_STATUS=MR","SCALING_FORMAT=MLN","FA_ADJUSTED=GAAP","Sort=A","Dates=H","DateFormat=P","Fill=—","Direction=H","UseDPDF=Y")</f>
        <v>47</v>
      </c>
      <c r="E32" s="17">
        <f>_xll.BDH("LUMN US Equity","IS_INC_TAX_EXP","FQ1 2019","FQ1 2019","Currency=USD","Period=FQ","BEST_FPERIOD_OVERRIDE=FQ","FILING_STATUS=MR","SCALING_FORMAT=MLN","FA_ADJUSTED=GAAP","Sort=A","Dates=H","DateFormat=P","Fill=—","Direction=H","UseDPDF=Y")</f>
        <v>138</v>
      </c>
      <c r="F32" s="17">
        <f>_xll.BDH("LUMN US Equity","IS_INC_TAX_EXP","FQ2 2019","FQ2 2019","Currency=USD","Period=FQ","BEST_FPERIOD_OVERRIDE=FQ","FILING_STATUS=MR","SCALING_FORMAT=MLN","FA_ADJUSTED=GAAP","Sort=A","Dates=H","DateFormat=P","Fill=—","Direction=H","UseDPDF=Y")</f>
        <v>131</v>
      </c>
      <c r="G32" s="17">
        <f>_xll.BDH("LUMN US Equity","IS_INC_TAX_EXP","FQ3 2019","FQ3 2019","Currency=USD","Period=FQ","BEST_FPERIOD_OVERRIDE=FQ","FILING_STATUS=MR","SCALING_FORMAT=MLN","FA_ADJUSTED=GAAP","Sort=A","Dates=H","DateFormat=P","Fill=—","Direction=H","UseDPDF=Y")</f>
        <v>108</v>
      </c>
      <c r="H32" s="17">
        <f>_xll.BDH("LUMN US Equity","IS_INC_TAX_EXP","FQ4 2019","FQ4 2019","Currency=USD","Period=FQ","BEST_FPERIOD_OVERRIDE=FQ","FILING_STATUS=MR","SCALING_FORMAT=MLN","FA_ADJUSTED=GAAP","Sort=A","Dates=H","DateFormat=P","Fill=—","Direction=H","UseDPDF=Y")</f>
        <v>126</v>
      </c>
      <c r="I32" s="17">
        <f>_xll.BDH("LUMN US Equity","IS_INC_TAX_EXP","FQ1 2020","FQ1 2020","Currency=USD","Period=FQ","BEST_FPERIOD_OVERRIDE=FQ","FILING_STATUS=MR","SCALING_FORMAT=MLN","FA_ADJUSTED=GAAP","Sort=A","Dates=H","DateFormat=P","Fill=—","Direction=H","UseDPDF=Y")</f>
        <v>119</v>
      </c>
      <c r="J32" s="17">
        <f>_xll.BDH("LUMN US Equity","IS_INC_TAX_EXP","FQ2 2020","FQ2 2020","Currency=USD","Period=FQ","BEST_FPERIOD_OVERRIDE=FQ","FILING_STATUS=MR","SCALING_FORMAT=MLN","FA_ADJUSTED=GAAP","Sort=A","Dates=H","DateFormat=P","Fill=—","Direction=H","UseDPDF=Y")</f>
        <v>136</v>
      </c>
      <c r="K32" s="17"/>
      <c r="L32" s="17"/>
    </row>
    <row r="33" spans="1:12" x14ac:dyDescent="0.25">
      <c r="A33" s="12" t="s">
        <v>119</v>
      </c>
      <c r="B33" s="12" t="s">
        <v>118</v>
      </c>
      <c r="C33" s="10">
        <f>_xll.BDH("LUMN US Equity","IS_INC_BEF_XO_ITEM","FQ3 2018","FQ3 2018","Currency=USD","Period=FQ","BEST_FPERIOD_OVERRIDE=FQ","FILING_STATUS=MR","SCALING_FORMAT=MLN","Sort=A","Dates=H","DateFormat=P","Fill=—","Direction=H","UseDPDF=Y")</f>
        <v>272</v>
      </c>
      <c r="D33" s="10">
        <f>_xll.BDH("LUMN US Equity","IS_INC_BEF_XO_ITEM","FQ4 2018","FQ4 2018","Currency=USD","Period=FQ","BEST_FPERIOD_OVERRIDE=FQ","FILING_STATUS=MR","SCALING_FORMAT=MLN","Sort=A","Dates=H","DateFormat=P","Fill=—","Direction=H","UseDPDF=Y")</f>
        <v>-2412</v>
      </c>
      <c r="E33" s="10">
        <f>_xll.BDH("LUMN US Equity","IS_INC_BEF_XO_ITEM","FQ1 2019","FQ1 2019","Currency=USD","Period=FQ","BEST_FPERIOD_OVERRIDE=FQ","FILING_STATUS=MR","SCALING_FORMAT=MLN","Sort=A","Dates=H","DateFormat=P","Fill=—","Direction=H","UseDPDF=Y")</f>
        <v>-6165</v>
      </c>
      <c r="F33" s="10">
        <f>_xll.BDH("LUMN US Equity","IS_INC_BEF_XO_ITEM","FQ2 2019","FQ2 2019","Currency=USD","Period=FQ","BEST_FPERIOD_OVERRIDE=FQ","FILING_STATUS=MR","SCALING_FORMAT=MLN","Sort=A","Dates=H","DateFormat=P","Fill=—","Direction=H","UseDPDF=Y")</f>
        <v>371</v>
      </c>
      <c r="G33" s="10">
        <f>_xll.BDH("LUMN US Equity","IS_INC_BEF_XO_ITEM","FQ3 2019","FQ3 2019","Currency=USD","Period=FQ","BEST_FPERIOD_OVERRIDE=FQ","FILING_STATUS=MR","SCALING_FORMAT=MLN","Sort=A","Dates=H","DateFormat=P","Fill=—","Direction=H","UseDPDF=Y")</f>
        <v>302</v>
      </c>
      <c r="H33" s="10">
        <f>_xll.BDH("LUMN US Equity","IS_INC_BEF_XO_ITEM","FQ4 2019","FQ4 2019","Currency=USD","Period=FQ","BEST_FPERIOD_OVERRIDE=FQ","FILING_STATUS=MR","SCALING_FORMAT=MLN","Sort=A","Dates=H","DateFormat=P","Fill=—","Direction=H","UseDPDF=Y")</f>
        <v>223</v>
      </c>
      <c r="I33" s="10">
        <f>_xll.BDH("LUMN US Equity","IS_INC_BEF_XO_ITEM","FQ1 2020","FQ1 2020","Currency=USD","Period=FQ","BEST_FPERIOD_OVERRIDE=FQ","FILING_STATUS=MR","SCALING_FORMAT=MLN","Sort=A","Dates=H","DateFormat=P","Fill=—","Direction=H","UseDPDF=Y")</f>
        <v>314</v>
      </c>
      <c r="J33" s="10">
        <f>_xll.BDH("LUMN US Equity","IS_INC_BEF_XO_ITEM","FQ2 2020","FQ2 2020","Currency=USD","Period=FQ","BEST_FPERIOD_OVERRIDE=FQ","FILING_STATUS=MR","SCALING_FORMAT=MLN","Sort=A","Dates=H","DateFormat=P","Fill=—","Direction=H","UseDPDF=Y")</f>
        <v>377</v>
      </c>
      <c r="K33" s="10">
        <v>288.375</v>
      </c>
      <c r="L33" s="10">
        <v>295.375</v>
      </c>
    </row>
    <row r="34" spans="1:12" x14ac:dyDescent="0.25">
      <c r="A34" s="16" t="s">
        <v>117</v>
      </c>
      <c r="B34" s="16" t="s">
        <v>97</v>
      </c>
      <c r="C34" s="17">
        <f>_xll.BDH("LUMN US Equity","XO_GL_NET_OF_TAX","FQ3 2018","FQ3 2018","Currency=USD","Period=FQ","BEST_FPERIOD_OVERRIDE=FQ","FILING_STATUS=MR","SCALING_FORMAT=MLN","Sort=A","Dates=H","DateFormat=P","Fill=—","Direction=H","UseDPDF=Y")</f>
        <v>0</v>
      </c>
      <c r="D34" s="17">
        <f>_xll.BDH("LUMN US Equity","XO_GL_NET_OF_TAX","FQ4 2018","FQ4 2018","Currency=USD","Period=FQ","BEST_FPERIOD_OVERRIDE=FQ","FILING_STATUS=MR","SCALING_FORMAT=MLN","Sort=A","Dates=H","DateFormat=P","Fill=—","Direction=H","UseDPDF=Y")</f>
        <v>0</v>
      </c>
      <c r="E34" s="17">
        <f>_xll.BDH("LUMN US Equity","XO_GL_NET_OF_TAX","FQ1 2019","FQ1 2019","Currency=USD","Period=FQ","BEST_FPERIOD_OVERRIDE=FQ","FILING_STATUS=MR","SCALING_FORMAT=MLN","Sort=A","Dates=H","DateFormat=P","Fill=—","Direction=H","UseDPDF=Y")</f>
        <v>0</v>
      </c>
      <c r="F34" s="17">
        <f>_xll.BDH("LUMN US Equity","XO_GL_NET_OF_TAX","FQ2 2019","FQ2 2019","Currency=USD","Period=FQ","BEST_FPERIOD_OVERRIDE=FQ","FILING_STATUS=MR","SCALING_FORMAT=MLN","Sort=A","Dates=H","DateFormat=P","Fill=—","Direction=H","UseDPDF=Y")</f>
        <v>0</v>
      </c>
      <c r="G34" s="17">
        <f>_xll.BDH("LUMN US Equity","XO_GL_NET_OF_TAX","FQ3 2019","FQ3 2019","Currency=USD","Period=FQ","BEST_FPERIOD_OVERRIDE=FQ","FILING_STATUS=MR","SCALING_FORMAT=MLN","Sort=A","Dates=H","DateFormat=P","Fill=—","Direction=H","UseDPDF=Y")</f>
        <v>0</v>
      </c>
      <c r="H34" s="17">
        <f>_xll.BDH("LUMN US Equity","XO_GL_NET_OF_TAX","FQ4 2019","FQ4 2019","Currency=USD","Period=FQ","BEST_FPERIOD_OVERRIDE=FQ","FILING_STATUS=MR","SCALING_FORMAT=MLN","Sort=A","Dates=H","DateFormat=P","Fill=—","Direction=H","UseDPDF=Y")</f>
        <v>0</v>
      </c>
      <c r="I34" s="17">
        <f>_xll.BDH("LUMN US Equity","XO_GL_NET_OF_TAX","FQ1 2020","FQ1 2020","Currency=USD","Period=FQ","BEST_FPERIOD_OVERRIDE=FQ","FILING_STATUS=MR","SCALING_FORMAT=MLN","Sort=A","Dates=H","DateFormat=P","Fill=—","Direction=H","UseDPDF=Y")</f>
        <v>0</v>
      </c>
      <c r="J34" s="17">
        <f>_xll.BDH("LUMN US Equity","XO_GL_NET_OF_TAX","FQ2 2020","FQ2 2020","Currency=USD","Period=FQ","BEST_FPERIOD_OVERRIDE=FQ","FILING_STATUS=MR","SCALING_FORMAT=MLN","Sort=A","Dates=H","DateFormat=P","Fill=—","Direction=H","UseDPDF=Y")</f>
        <v>0</v>
      </c>
      <c r="K34" s="17"/>
      <c r="L34" s="17"/>
    </row>
    <row r="35" spans="1:12" x14ac:dyDescent="0.25">
      <c r="A35" s="16" t="s">
        <v>116</v>
      </c>
      <c r="B35" s="16" t="s">
        <v>115</v>
      </c>
      <c r="C35" s="17">
        <f>_xll.BDH("LUMN US Equity","IS_DISCONTINUED_OPERATIONS","FQ3 2018","FQ3 2018","Currency=USD","Period=FQ","BEST_FPERIOD_OVERRIDE=FQ","FILING_STATUS=MR","SCALING_FORMAT=MLN","Sort=A","Dates=H","DateFormat=P","Fill=—","Direction=H","UseDPDF=Y")</f>
        <v>0</v>
      </c>
      <c r="D35" s="17">
        <f>_xll.BDH("LUMN US Equity","IS_DISCONTINUED_OPERATIONS","FQ4 2018","FQ4 2018","Currency=USD","Period=FQ","BEST_FPERIOD_OVERRIDE=FQ","FILING_STATUS=MR","SCALING_FORMAT=MLN","Sort=A","Dates=H","DateFormat=P","Fill=—","Direction=H","UseDPDF=Y")</f>
        <v>0</v>
      </c>
      <c r="E35" s="17">
        <f>_xll.BDH("LUMN US Equity","IS_DISCONTINUED_OPERATIONS","FQ1 2019","FQ1 2019","Currency=USD","Period=FQ","BEST_FPERIOD_OVERRIDE=FQ","FILING_STATUS=MR","SCALING_FORMAT=MLN","Sort=A","Dates=H","DateFormat=P","Fill=—","Direction=H","UseDPDF=Y")</f>
        <v>0</v>
      </c>
      <c r="F35" s="17">
        <f>_xll.BDH("LUMN US Equity","IS_DISCONTINUED_OPERATIONS","FQ2 2019","FQ2 2019","Currency=USD","Period=FQ","BEST_FPERIOD_OVERRIDE=FQ","FILING_STATUS=MR","SCALING_FORMAT=MLN","Sort=A","Dates=H","DateFormat=P","Fill=—","Direction=H","UseDPDF=Y")</f>
        <v>0</v>
      </c>
      <c r="G35" s="17">
        <f>_xll.BDH("LUMN US Equity","IS_DISCONTINUED_OPERATIONS","FQ3 2019","FQ3 2019","Currency=USD","Period=FQ","BEST_FPERIOD_OVERRIDE=FQ","FILING_STATUS=MR","SCALING_FORMAT=MLN","Sort=A","Dates=H","DateFormat=P","Fill=—","Direction=H","UseDPDF=Y")</f>
        <v>0</v>
      </c>
      <c r="H35" s="17">
        <f>_xll.BDH("LUMN US Equity","IS_DISCONTINUED_OPERATIONS","FQ4 2019","FQ4 2019","Currency=USD","Period=FQ","BEST_FPERIOD_OVERRIDE=FQ","FILING_STATUS=MR","SCALING_FORMAT=MLN","Sort=A","Dates=H","DateFormat=P","Fill=—","Direction=H","UseDPDF=Y")</f>
        <v>0</v>
      </c>
      <c r="I35" s="17">
        <f>_xll.BDH("LUMN US Equity","IS_DISCONTINUED_OPERATIONS","FQ1 2020","FQ1 2020","Currency=USD","Period=FQ","BEST_FPERIOD_OVERRIDE=FQ","FILING_STATUS=MR","SCALING_FORMAT=MLN","Sort=A","Dates=H","DateFormat=P","Fill=—","Direction=H","UseDPDF=Y")</f>
        <v>0</v>
      </c>
      <c r="J35" s="17">
        <f>_xll.BDH("LUMN US Equity","IS_DISCONTINUED_OPERATIONS","FQ2 2020","FQ2 2020","Currency=USD","Period=FQ","BEST_FPERIOD_OVERRIDE=FQ","FILING_STATUS=MR","SCALING_FORMAT=MLN","Sort=A","Dates=H","DateFormat=P","Fill=—","Direction=H","UseDPDF=Y")</f>
        <v>0</v>
      </c>
      <c r="K35" s="17"/>
      <c r="L35" s="17"/>
    </row>
    <row r="36" spans="1:12" x14ac:dyDescent="0.25">
      <c r="A36" s="16" t="s">
        <v>114</v>
      </c>
      <c r="B36" s="16" t="s">
        <v>113</v>
      </c>
      <c r="C36" s="17">
        <f>_xll.BDH("LUMN US Equity","IS_EXTRAORD_ITEMS_&amp;_ACCTG_CHNG","FQ3 2018","FQ3 2018","Currency=USD","Period=FQ","BEST_FPERIOD_OVERRIDE=FQ","FILING_STATUS=MR","SCALING_FORMAT=MLN","Sort=A","Dates=H","DateFormat=P","Fill=—","Direction=H","UseDPDF=Y")</f>
        <v>0</v>
      </c>
      <c r="D36" s="17">
        <f>_xll.BDH("LUMN US Equity","IS_EXTRAORD_ITEMS_&amp;_ACCTG_CHNG","FQ4 2018","FQ4 2018","Currency=USD","Period=FQ","BEST_FPERIOD_OVERRIDE=FQ","FILING_STATUS=MR","SCALING_FORMAT=MLN","Sort=A","Dates=H","DateFormat=P","Fill=—","Direction=H","UseDPDF=Y")</f>
        <v>0</v>
      </c>
      <c r="E36" s="17">
        <f>_xll.BDH("LUMN US Equity","IS_EXTRAORD_ITEMS_&amp;_ACCTG_CHNG","FQ1 2019","FQ1 2019","Currency=USD","Period=FQ","BEST_FPERIOD_OVERRIDE=FQ","FILING_STATUS=MR","SCALING_FORMAT=MLN","Sort=A","Dates=H","DateFormat=P","Fill=—","Direction=H","UseDPDF=Y")</f>
        <v>0</v>
      </c>
      <c r="F36" s="17">
        <f>_xll.BDH("LUMN US Equity","IS_EXTRAORD_ITEMS_&amp;_ACCTG_CHNG","FQ2 2019","FQ2 2019","Currency=USD","Period=FQ","BEST_FPERIOD_OVERRIDE=FQ","FILING_STATUS=MR","SCALING_FORMAT=MLN","Sort=A","Dates=H","DateFormat=P","Fill=—","Direction=H","UseDPDF=Y")</f>
        <v>0</v>
      </c>
      <c r="G36" s="17">
        <f>_xll.BDH("LUMN US Equity","IS_EXTRAORD_ITEMS_&amp;_ACCTG_CHNG","FQ3 2019","FQ3 2019","Currency=USD","Period=FQ","BEST_FPERIOD_OVERRIDE=FQ","FILING_STATUS=MR","SCALING_FORMAT=MLN","Sort=A","Dates=H","DateFormat=P","Fill=—","Direction=H","UseDPDF=Y")</f>
        <v>0</v>
      </c>
      <c r="H36" s="17">
        <f>_xll.BDH("LUMN US Equity","IS_EXTRAORD_ITEMS_&amp;_ACCTG_CHNG","FQ4 2019","FQ4 2019","Currency=USD","Period=FQ","BEST_FPERIOD_OVERRIDE=FQ","FILING_STATUS=MR","SCALING_FORMAT=MLN","Sort=A","Dates=H","DateFormat=P","Fill=—","Direction=H","UseDPDF=Y")</f>
        <v>0</v>
      </c>
      <c r="I36" s="17">
        <f>_xll.BDH("LUMN US Equity","IS_EXTRAORD_ITEMS_&amp;_ACCTG_CHNG","FQ1 2020","FQ1 2020","Currency=USD","Period=FQ","BEST_FPERIOD_OVERRIDE=FQ","FILING_STATUS=MR","SCALING_FORMAT=MLN","Sort=A","Dates=H","DateFormat=P","Fill=—","Direction=H","UseDPDF=Y")</f>
        <v>0</v>
      </c>
      <c r="J36" s="17">
        <f>_xll.BDH("LUMN US Equity","IS_EXTRAORD_ITEMS_&amp;_ACCTG_CHNG","FQ2 2020","FQ2 2020","Currency=USD","Period=FQ","BEST_FPERIOD_OVERRIDE=FQ","FILING_STATUS=MR","SCALING_FORMAT=MLN","Sort=A","Dates=H","DateFormat=P","Fill=—","Direction=H","UseDPDF=Y")</f>
        <v>0</v>
      </c>
      <c r="K36" s="17"/>
      <c r="L36" s="17"/>
    </row>
    <row r="37" spans="1:12" x14ac:dyDescent="0.25">
      <c r="A37" s="12" t="s">
        <v>112</v>
      </c>
      <c r="B37" s="12" t="s">
        <v>111</v>
      </c>
      <c r="C37" s="10">
        <f>_xll.BDH("LUMN US Equity","NI_INCLUDING_MINORITY_INT_RATIO","FQ3 2018","FQ3 2018","Currency=USD","Period=FQ","BEST_FPERIOD_OVERRIDE=FQ","FILING_STATUS=MR","SCALING_FORMAT=MLN","FA_ADJUSTED=GAAP","Sort=A","Dates=H","DateFormat=P","Fill=—","Direction=H","UseDPDF=Y")</f>
        <v>272</v>
      </c>
      <c r="D37" s="10">
        <f>_xll.BDH("LUMN US Equity","NI_INCLUDING_MINORITY_INT_RATIO","FQ4 2018","FQ4 2018","Currency=USD","Period=FQ","BEST_FPERIOD_OVERRIDE=FQ","FILING_STATUS=MR","SCALING_FORMAT=MLN","FA_ADJUSTED=GAAP","Sort=A","Dates=H","DateFormat=P","Fill=—","Direction=H","UseDPDF=Y")</f>
        <v>-2412</v>
      </c>
      <c r="E37" s="10">
        <f>_xll.BDH("LUMN US Equity","NI_INCLUDING_MINORITY_INT_RATIO","FQ1 2019","FQ1 2019","Currency=USD","Period=FQ","BEST_FPERIOD_OVERRIDE=FQ","FILING_STATUS=MR","SCALING_FORMAT=MLN","FA_ADJUSTED=GAAP","Sort=A","Dates=H","DateFormat=P","Fill=—","Direction=H","UseDPDF=Y")</f>
        <v>-6165</v>
      </c>
      <c r="F37" s="10">
        <f>_xll.BDH("LUMN US Equity","NI_INCLUDING_MINORITY_INT_RATIO","FQ2 2019","FQ2 2019","Currency=USD","Period=FQ","BEST_FPERIOD_OVERRIDE=FQ","FILING_STATUS=MR","SCALING_FORMAT=MLN","FA_ADJUSTED=GAAP","Sort=A","Dates=H","DateFormat=P","Fill=—","Direction=H","UseDPDF=Y")</f>
        <v>371</v>
      </c>
      <c r="G37" s="10">
        <f>_xll.BDH("LUMN US Equity","NI_INCLUDING_MINORITY_INT_RATIO","FQ3 2019","FQ3 2019","Currency=USD","Period=FQ","BEST_FPERIOD_OVERRIDE=FQ","FILING_STATUS=MR","SCALING_FORMAT=MLN","FA_ADJUSTED=GAAP","Sort=A","Dates=H","DateFormat=P","Fill=—","Direction=H","UseDPDF=Y")</f>
        <v>302</v>
      </c>
      <c r="H37" s="10">
        <f>_xll.BDH("LUMN US Equity","NI_INCLUDING_MINORITY_INT_RATIO","FQ4 2019","FQ4 2019","Currency=USD","Period=FQ","BEST_FPERIOD_OVERRIDE=FQ","FILING_STATUS=MR","SCALING_FORMAT=MLN","FA_ADJUSTED=GAAP","Sort=A","Dates=H","DateFormat=P","Fill=—","Direction=H","UseDPDF=Y")</f>
        <v>223</v>
      </c>
      <c r="I37" s="10">
        <f>_xll.BDH("LUMN US Equity","NI_INCLUDING_MINORITY_INT_RATIO","FQ1 2020","FQ1 2020","Currency=USD","Period=FQ","BEST_FPERIOD_OVERRIDE=FQ","FILING_STATUS=MR","SCALING_FORMAT=MLN","FA_ADJUSTED=GAAP","Sort=A","Dates=H","DateFormat=P","Fill=—","Direction=H","UseDPDF=Y")</f>
        <v>314</v>
      </c>
      <c r="J37" s="10">
        <f>_xll.BDH("LUMN US Equity","NI_INCLUDING_MINORITY_INT_RATIO","FQ2 2020","FQ2 2020","Currency=USD","Period=FQ","BEST_FPERIOD_OVERRIDE=FQ","FILING_STATUS=MR","SCALING_FORMAT=MLN","FA_ADJUSTED=GAAP","Sort=A","Dates=H","DateFormat=P","Fill=—","Direction=H","UseDPDF=Y")</f>
        <v>377</v>
      </c>
      <c r="K37" s="10"/>
      <c r="L37" s="10"/>
    </row>
    <row r="38" spans="1:12" x14ac:dyDescent="0.25">
      <c r="A38" s="16" t="s">
        <v>110</v>
      </c>
      <c r="B38" s="16" t="s">
        <v>109</v>
      </c>
      <c r="C38" s="17">
        <f>_xll.BDH("LUMN US Equity","MIN_NONCONTROL_INTEREST_CREDITS","FQ3 2018","FQ3 2018","Currency=USD","Period=FQ","BEST_FPERIOD_OVERRIDE=FQ","FILING_STATUS=MR","SCALING_FORMAT=MLN","FA_ADJUSTED=GAAP","Sort=A","Dates=H","DateFormat=P","Fill=—","Direction=H","UseDPDF=Y")</f>
        <v>0</v>
      </c>
      <c r="D38" s="17">
        <f>_xll.BDH("LUMN US Equity","MIN_NONCONTROL_INTEREST_CREDITS","FQ4 2018","FQ4 2018","Currency=USD","Period=FQ","BEST_FPERIOD_OVERRIDE=FQ","FILING_STATUS=MR","SCALING_FORMAT=MLN","FA_ADJUSTED=GAAP","Sort=A","Dates=H","DateFormat=P","Fill=—","Direction=H","UseDPDF=Y")</f>
        <v>0</v>
      </c>
      <c r="E38" s="17">
        <f>_xll.BDH("LUMN US Equity","MIN_NONCONTROL_INTEREST_CREDITS","FQ1 2019","FQ1 2019","Currency=USD","Period=FQ","BEST_FPERIOD_OVERRIDE=FQ","FILING_STATUS=MR","SCALING_FORMAT=MLN","FA_ADJUSTED=GAAP","Sort=A","Dates=H","DateFormat=P","Fill=—","Direction=H","UseDPDF=Y")</f>
        <v>0</v>
      </c>
      <c r="F38" s="17">
        <f>_xll.BDH("LUMN US Equity","MIN_NONCONTROL_INTEREST_CREDITS","FQ2 2019","FQ2 2019","Currency=USD","Period=FQ","BEST_FPERIOD_OVERRIDE=FQ","FILING_STATUS=MR","SCALING_FORMAT=MLN","FA_ADJUSTED=GAAP","Sort=A","Dates=H","DateFormat=P","Fill=—","Direction=H","UseDPDF=Y")</f>
        <v>0</v>
      </c>
      <c r="G38" s="17">
        <f>_xll.BDH("LUMN US Equity","MIN_NONCONTROL_INTEREST_CREDITS","FQ3 2019","FQ3 2019","Currency=USD","Period=FQ","BEST_FPERIOD_OVERRIDE=FQ","FILING_STATUS=MR","SCALING_FORMAT=MLN","FA_ADJUSTED=GAAP","Sort=A","Dates=H","DateFormat=P","Fill=—","Direction=H","UseDPDF=Y")</f>
        <v>0</v>
      </c>
      <c r="H38" s="17">
        <f>_xll.BDH("LUMN US Equity","MIN_NONCONTROL_INTEREST_CREDITS","FQ4 2019","FQ4 2019","Currency=USD","Period=FQ","BEST_FPERIOD_OVERRIDE=FQ","FILING_STATUS=MR","SCALING_FORMAT=MLN","FA_ADJUSTED=GAAP","Sort=A","Dates=H","DateFormat=P","Fill=—","Direction=H","UseDPDF=Y")</f>
        <v>0</v>
      </c>
      <c r="I38" s="17">
        <f>_xll.BDH("LUMN US Equity","MIN_NONCONTROL_INTEREST_CREDITS","FQ1 2020","FQ1 2020","Currency=USD","Period=FQ","BEST_FPERIOD_OVERRIDE=FQ","FILING_STATUS=MR","SCALING_FORMAT=MLN","FA_ADJUSTED=GAAP","Sort=A","Dates=H","DateFormat=P","Fill=—","Direction=H","UseDPDF=Y")</f>
        <v>0</v>
      </c>
      <c r="J38" s="17">
        <f>_xll.BDH("LUMN US Equity","MIN_NONCONTROL_INTEREST_CREDITS","FQ2 2020","FQ2 2020","Currency=USD","Period=FQ","BEST_FPERIOD_OVERRIDE=FQ","FILING_STATUS=MR","SCALING_FORMAT=MLN","FA_ADJUSTED=GAAP","Sort=A","Dates=H","DateFormat=P","Fill=—","Direction=H","UseDPDF=Y")</f>
        <v>0</v>
      </c>
      <c r="K38" s="17"/>
      <c r="L38" s="17"/>
    </row>
    <row r="39" spans="1:12" x14ac:dyDescent="0.25">
      <c r="A39" s="12" t="s">
        <v>108</v>
      </c>
      <c r="B39" s="12" t="s">
        <v>107</v>
      </c>
      <c r="C39" s="10">
        <f>_xll.BDH("LUMN US Equity","NET_INCOME","FQ3 2018","FQ3 2018","Currency=USD","Period=FQ","BEST_FPERIOD_OVERRIDE=FQ","FILING_STATUS=MR","SCALING_FORMAT=MLN","FA_ADJUSTED=GAAP","Sort=A","Dates=H","DateFormat=P","Fill=—","Direction=H","UseDPDF=Y")</f>
        <v>272</v>
      </c>
      <c r="D39" s="10">
        <f>_xll.BDH("LUMN US Equity","NET_INCOME","FQ4 2018","FQ4 2018","Currency=USD","Period=FQ","BEST_FPERIOD_OVERRIDE=FQ","FILING_STATUS=MR","SCALING_FORMAT=MLN","FA_ADJUSTED=GAAP","Sort=A","Dates=H","DateFormat=P","Fill=—","Direction=H","UseDPDF=Y")</f>
        <v>-2412</v>
      </c>
      <c r="E39" s="10">
        <f>_xll.BDH("LUMN US Equity","NET_INCOME","FQ1 2019","FQ1 2019","Currency=USD","Period=FQ","BEST_FPERIOD_OVERRIDE=FQ","FILING_STATUS=MR","SCALING_FORMAT=MLN","FA_ADJUSTED=GAAP","Sort=A","Dates=H","DateFormat=P","Fill=—","Direction=H","UseDPDF=Y")</f>
        <v>-6165</v>
      </c>
      <c r="F39" s="10">
        <f>_xll.BDH("LUMN US Equity","NET_INCOME","FQ2 2019","FQ2 2019","Currency=USD","Period=FQ","BEST_FPERIOD_OVERRIDE=FQ","FILING_STATUS=MR","SCALING_FORMAT=MLN","FA_ADJUSTED=GAAP","Sort=A","Dates=H","DateFormat=P","Fill=—","Direction=H","UseDPDF=Y")</f>
        <v>371</v>
      </c>
      <c r="G39" s="10">
        <f>_xll.BDH("LUMN US Equity","NET_INCOME","FQ3 2019","FQ3 2019","Currency=USD","Period=FQ","BEST_FPERIOD_OVERRIDE=FQ","FILING_STATUS=MR","SCALING_FORMAT=MLN","FA_ADJUSTED=GAAP","Sort=A","Dates=H","DateFormat=P","Fill=—","Direction=H","UseDPDF=Y")</f>
        <v>302</v>
      </c>
      <c r="H39" s="10">
        <f>_xll.BDH("LUMN US Equity","NET_INCOME","FQ4 2019","FQ4 2019","Currency=USD","Period=FQ","BEST_FPERIOD_OVERRIDE=FQ","FILING_STATUS=MR","SCALING_FORMAT=MLN","FA_ADJUSTED=GAAP","Sort=A","Dates=H","DateFormat=P","Fill=—","Direction=H","UseDPDF=Y")</f>
        <v>223</v>
      </c>
      <c r="I39" s="10">
        <f>_xll.BDH("LUMN US Equity","NET_INCOME","FQ1 2020","FQ1 2020","Currency=USD","Period=FQ","BEST_FPERIOD_OVERRIDE=FQ","FILING_STATUS=MR","SCALING_FORMAT=MLN","FA_ADJUSTED=GAAP","Sort=A","Dates=H","DateFormat=P","Fill=—","Direction=H","UseDPDF=Y")</f>
        <v>314</v>
      </c>
      <c r="J39" s="10">
        <f>_xll.BDH("LUMN US Equity","NET_INCOME","FQ2 2020","FQ2 2020","Currency=USD","Period=FQ","BEST_FPERIOD_OVERRIDE=FQ","FILING_STATUS=MR","SCALING_FORMAT=MLN","FA_ADJUSTED=GAAP","Sort=A","Dates=H","DateFormat=P","Fill=—","Direction=H","UseDPDF=Y")</f>
        <v>377</v>
      </c>
      <c r="K39" s="10">
        <v>288.375</v>
      </c>
      <c r="L39" s="10">
        <v>295.375</v>
      </c>
    </row>
    <row r="40" spans="1:12" x14ac:dyDescent="0.25">
      <c r="A40" s="16" t="s">
        <v>106</v>
      </c>
      <c r="B40" s="16" t="s">
        <v>105</v>
      </c>
      <c r="C40" s="17">
        <f>_xll.BDH("LUMN US Equity","IS_TOT_CASH_PFD_DVD","FQ3 2018","FQ3 2018","Currency=USD","Period=FQ","BEST_FPERIOD_OVERRIDE=FQ","FILING_STATUS=MR","SCALING_FORMAT=MLN","Sort=A","Dates=H","DateFormat=P","Fill=—","Direction=H","UseDPDF=Y")</f>
        <v>0</v>
      </c>
      <c r="D40" s="17">
        <f>_xll.BDH("LUMN US Equity","IS_TOT_CASH_PFD_DVD","FQ4 2018","FQ4 2018","Currency=USD","Period=FQ","BEST_FPERIOD_OVERRIDE=FQ","FILING_STATUS=MR","SCALING_FORMAT=MLN","Sort=A","Dates=H","DateFormat=P","Fill=—","Direction=H","UseDPDF=Y")</f>
        <v>0</v>
      </c>
      <c r="E40" s="17">
        <f>_xll.BDH("LUMN US Equity","IS_TOT_CASH_PFD_DVD","FQ1 2019","FQ1 2019","Currency=USD","Period=FQ","BEST_FPERIOD_OVERRIDE=FQ","FILING_STATUS=MR","SCALING_FORMAT=MLN","Sort=A","Dates=H","DateFormat=P","Fill=—","Direction=H","UseDPDF=Y")</f>
        <v>0</v>
      </c>
      <c r="F40" s="17">
        <f>_xll.BDH("LUMN US Equity","IS_TOT_CASH_PFD_DVD","FQ2 2019","FQ2 2019","Currency=USD","Period=FQ","BEST_FPERIOD_OVERRIDE=FQ","FILING_STATUS=MR","SCALING_FORMAT=MLN","Sort=A","Dates=H","DateFormat=P","Fill=—","Direction=H","UseDPDF=Y")</f>
        <v>0</v>
      </c>
      <c r="G40" s="17">
        <f>_xll.BDH("LUMN US Equity","IS_TOT_CASH_PFD_DVD","FQ3 2019","FQ3 2019","Currency=USD","Period=FQ","BEST_FPERIOD_OVERRIDE=FQ","FILING_STATUS=MR","SCALING_FORMAT=MLN","Sort=A","Dates=H","DateFormat=P","Fill=—","Direction=H","UseDPDF=Y")</f>
        <v>0</v>
      </c>
      <c r="H40" s="17">
        <f>_xll.BDH("LUMN US Equity","IS_TOT_CASH_PFD_DVD","FQ4 2019","FQ4 2019","Currency=USD","Period=FQ","BEST_FPERIOD_OVERRIDE=FQ","FILING_STATUS=MR","SCALING_FORMAT=MLN","Sort=A","Dates=H","DateFormat=P","Fill=—","Direction=H","UseDPDF=Y")</f>
        <v>0</v>
      </c>
      <c r="I40" s="17">
        <f>_xll.BDH("LUMN US Equity","IS_TOT_CASH_PFD_DVD","FQ1 2020","FQ1 2020","Currency=USD","Period=FQ","BEST_FPERIOD_OVERRIDE=FQ","FILING_STATUS=MR","SCALING_FORMAT=MLN","Sort=A","Dates=H","DateFormat=P","Fill=—","Direction=H","UseDPDF=Y")</f>
        <v>0</v>
      </c>
      <c r="J40" s="17">
        <f>_xll.BDH("LUMN US Equity","IS_TOT_CASH_PFD_DVD","FQ2 2020","FQ2 2020","Currency=USD","Period=FQ","BEST_FPERIOD_OVERRIDE=FQ","FILING_STATUS=MR","SCALING_FORMAT=MLN","Sort=A","Dates=H","DateFormat=P","Fill=—","Direction=H","UseDPDF=Y")</f>
        <v>0</v>
      </c>
      <c r="K40" s="17"/>
      <c r="L40" s="17"/>
    </row>
    <row r="41" spans="1:12" x14ac:dyDescent="0.25">
      <c r="A41" s="16" t="s">
        <v>104</v>
      </c>
      <c r="B41" s="16" t="s">
        <v>103</v>
      </c>
      <c r="C41" s="17">
        <f>_xll.BDH("LUMN US Equity","OTHER_ADJUSTMENTS","FQ3 2018","FQ3 2018","Currency=USD","Period=FQ","BEST_FPERIOD_OVERRIDE=FQ","FILING_STATUS=MR","SCALING_FORMAT=MLN","Sort=A","Dates=H","DateFormat=P","Fill=—","Direction=H","UseDPDF=Y")</f>
        <v>0</v>
      </c>
      <c r="D41" s="17">
        <f>_xll.BDH("LUMN US Equity","OTHER_ADJUSTMENTS","FQ4 2018","FQ4 2018","Currency=USD","Period=FQ","BEST_FPERIOD_OVERRIDE=FQ","FILING_STATUS=MR","SCALING_FORMAT=MLN","Sort=A","Dates=H","DateFormat=P","Fill=—","Direction=H","UseDPDF=Y")</f>
        <v>0</v>
      </c>
      <c r="E41" s="17">
        <f>_xll.BDH("LUMN US Equity","OTHER_ADJUSTMENTS","FQ1 2019","FQ1 2019","Currency=USD","Period=FQ","BEST_FPERIOD_OVERRIDE=FQ","FILING_STATUS=MR","SCALING_FORMAT=MLN","Sort=A","Dates=H","DateFormat=P","Fill=—","Direction=H","UseDPDF=Y")</f>
        <v>0</v>
      </c>
      <c r="F41" s="17">
        <f>_xll.BDH("LUMN US Equity","OTHER_ADJUSTMENTS","FQ2 2019","FQ2 2019","Currency=USD","Period=FQ","BEST_FPERIOD_OVERRIDE=FQ","FILING_STATUS=MR","SCALING_FORMAT=MLN","Sort=A","Dates=H","DateFormat=P","Fill=—","Direction=H","UseDPDF=Y")</f>
        <v>0</v>
      </c>
      <c r="G41" s="17">
        <f>_xll.BDH("LUMN US Equity","OTHER_ADJUSTMENTS","FQ3 2019","FQ3 2019","Currency=USD","Period=FQ","BEST_FPERIOD_OVERRIDE=FQ","FILING_STATUS=MR","SCALING_FORMAT=MLN","Sort=A","Dates=H","DateFormat=P","Fill=—","Direction=H","UseDPDF=Y")</f>
        <v>0</v>
      </c>
      <c r="H41" s="17">
        <f>_xll.BDH("LUMN US Equity","OTHER_ADJUSTMENTS","FQ4 2019","FQ4 2019","Currency=USD","Period=FQ","BEST_FPERIOD_OVERRIDE=FQ","FILING_STATUS=MR","SCALING_FORMAT=MLN","Sort=A","Dates=H","DateFormat=P","Fill=—","Direction=H","UseDPDF=Y")</f>
        <v>0</v>
      </c>
      <c r="I41" s="17">
        <f>_xll.BDH("LUMN US Equity","OTHER_ADJUSTMENTS","FQ1 2020","FQ1 2020","Currency=USD","Period=FQ","BEST_FPERIOD_OVERRIDE=FQ","FILING_STATUS=MR","SCALING_FORMAT=MLN","Sort=A","Dates=H","DateFormat=P","Fill=—","Direction=H","UseDPDF=Y")</f>
        <v>0</v>
      </c>
      <c r="J41" s="17">
        <f>_xll.BDH("LUMN US Equity","OTHER_ADJUSTMENTS","FQ2 2020","FQ2 2020","Currency=USD","Period=FQ","BEST_FPERIOD_OVERRIDE=FQ","FILING_STATUS=MR","SCALING_FORMAT=MLN","Sort=A","Dates=H","DateFormat=P","Fill=—","Direction=H","UseDPDF=Y")</f>
        <v>0</v>
      </c>
      <c r="K41" s="17"/>
      <c r="L41" s="17"/>
    </row>
    <row r="42" spans="1:12" x14ac:dyDescent="0.25">
      <c r="A42" s="12" t="s">
        <v>102</v>
      </c>
      <c r="B42" s="12" t="s">
        <v>47</v>
      </c>
      <c r="C42" s="10">
        <f>_xll.BDH("LUMN US Equity","EARN_FOR_COMMON","FQ3 2018","FQ3 2018","Currency=USD","Period=FQ","BEST_FPERIOD_OVERRIDE=FQ","FILING_STATUS=MR","SCALING_FORMAT=MLN","FA_ADJUSTED=GAAP","Sort=A","Dates=H","DateFormat=P","Fill=—","Direction=H","UseDPDF=Y")</f>
        <v>272</v>
      </c>
      <c r="D42" s="10">
        <f>_xll.BDH("LUMN US Equity","EARN_FOR_COMMON","FQ4 2018","FQ4 2018","Currency=USD","Period=FQ","BEST_FPERIOD_OVERRIDE=FQ","FILING_STATUS=MR","SCALING_FORMAT=MLN","FA_ADJUSTED=GAAP","Sort=A","Dates=H","DateFormat=P","Fill=—","Direction=H","UseDPDF=Y")</f>
        <v>-2412</v>
      </c>
      <c r="E42" s="10">
        <f>_xll.BDH("LUMN US Equity","EARN_FOR_COMMON","FQ1 2019","FQ1 2019","Currency=USD","Period=FQ","BEST_FPERIOD_OVERRIDE=FQ","FILING_STATUS=MR","SCALING_FORMAT=MLN","FA_ADJUSTED=GAAP","Sort=A","Dates=H","DateFormat=P","Fill=—","Direction=H","UseDPDF=Y")</f>
        <v>-6165</v>
      </c>
      <c r="F42" s="10">
        <f>_xll.BDH("LUMN US Equity","EARN_FOR_COMMON","FQ2 2019","FQ2 2019","Currency=USD","Period=FQ","BEST_FPERIOD_OVERRIDE=FQ","FILING_STATUS=MR","SCALING_FORMAT=MLN","FA_ADJUSTED=GAAP","Sort=A","Dates=H","DateFormat=P","Fill=—","Direction=H","UseDPDF=Y")</f>
        <v>371</v>
      </c>
      <c r="G42" s="10">
        <f>_xll.BDH("LUMN US Equity","EARN_FOR_COMMON","FQ3 2019","FQ3 2019","Currency=USD","Period=FQ","BEST_FPERIOD_OVERRIDE=FQ","FILING_STATUS=MR","SCALING_FORMAT=MLN","FA_ADJUSTED=GAAP","Sort=A","Dates=H","DateFormat=P","Fill=—","Direction=H","UseDPDF=Y")</f>
        <v>302</v>
      </c>
      <c r="H42" s="10">
        <f>_xll.BDH("LUMN US Equity","EARN_FOR_COMMON","FQ4 2019","FQ4 2019","Currency=USD","Period=FQ","BEST_FPERIOD_OVERRIDE=FQ","FILING_STATUS=MR","SCALING_FORMAT=MLN","FA_ADJUSTED=GAAP","Sort=A","Dates=H","DateFormat=P","Fill=—","Direction=H","UseDPDF=Y")</f>
        <v>223</v>
      </c>
      <c r="I42" s="10">
        <f>_xll.BDH("LUMN US Equity","EARN_FOR_COMMON","FQ1 2020","FQ1 2020","Currency=USD","Period=FQ","BEST_FPERIOD_OVERRIDE=FQ","FILING_STATUS=MR","SCALING_FORMAT=MLN","FA_ADJUSTED=GAAP","Sort=A","Dates=H","DateFormat=P","Fill=—","Direction=H","UseDPDF=Y")</f>
        <v>314</v>
      </c>
      <c r="J42" s="10">
        <f>_xll.BDH("LUMN US Equity","EARN_FOR_COMMON","FQ2 2020","FQ2 2020","Currency=USD","Period=FQ","BEST_FPERIOD_OVERRIDE=FQ","FILING_STATUS=MR","SCALING_FORMAT=MLN","FA_ADJUSTED=GAAP","Sort=A","Dates=H","DateFormat=P","Fill=—","Direction=H","UseDPDF=Y")</f>
        <v>377</v>
      </c>
      <c r="K42" s="10">
        <v>288.375</v>
      </c>
      <c r="L42" s="10">
        <v>295.375</v>
      </c>
    </row>
    <row r="43" spans="1:12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25">
      <c r="A44" s="12" t="s">
        <v>101</v>
      </c>
      <c r="B44" s="12" t="s">
        <v>47</v>
      </c>
      <c r="C44" s="10">
        <f>_xll.BDH("LUMN US Equity","EARN_FOR_COMMON","FQ3 2018","FQ3 2018","Currency=USD","Period=FQ","BEST_FPERIOD_OVERRIDE=FQ","FILING_STATUS=MR","SCALING_FORMAT=MLN","FA_ADJUSTED=Adjusted","Sort=A","Dates=H","DateFormat=P","Fill=—","Direction=H","UseDPDF=Y")</f>
        <v>327</v>
      </c>
      <c r="D44" s="10">
        <f>_xll.BDH("LUMN US Equity","EARN_FOR_COMMON","FQ4 2018","FQ4 2018","Currency=USD","Period=FQ","BEST_FPERIOD_OVERRIDE=FQ","FILING_STATUS=MR","SCALING_FORMAT=MLN","FA_ADJUSTED=Adjusted","Sort=A","Dates=H","DateFormat=P","Fill=—","Direction=H","UseDPDF=Y")</f>
        <v>385</v>
      </c>
      <c r="E44" s="10">
        <f>_xll.BDH("LUMN US Equity","EARN_FOR_COMMON","FQ1 2019","FQ1 2019","Currency=USD","Period=FQ","BEST_FPERIOD_OVERRIDE=FQ","FILING_STATUS=MR","SCALING_FORMAT=MLN","FA_ADJUSTED=Adjusted","Sort=A","Dates=H","DateFormat=P","Fill=—","Direction=H","UseDPDF=Y")</f>
        <v>360</v>
      </c>
      <c r="F44" s="10">
        <f>_xll.BDH("LUMN US Equity","EARN_FOR_COMMON","FQ2 2019","FQ2 2019","Currency=USD","Period=FQ","BEST_FPERIOD_OVERRIDE=FQ","FILING_STATUS=MR","SCALING_FORMAT=MLN","FA_ADJUSTED=Adjusted","Sort=A","Dates=H","DateFormat=P","Fill=—","Direction=H","UseDPDF=Y")</f>
        <v>369</v>
      </c>
      <c r="G44" s="10">
        <f>_xll.BDH("LUMN US Equity","EARN_FOR_COMMON","FQ3 2019","FQ3 2019","Currency=USD","Period=FQ","BEST_FPERIOD_OVERRIDE=FQ","FILING_STATUS=MR","SCALING_FORMAT=MLN","FA_ADJUSTED=Adjusted","Sort=A","Dates=H","DateFormat=P","Fill=—","Direction=H","UseDPDF=Y")</f>
        <v>328</v>
      </c>
      <c r="H44" s="10">
        <f>_xll.BDH("LUMN US Equity","EARN_FOR_COMMON","FQ4 2019","FQ4 2019","Currency=USD","Period=FQ","BEST_FPERIOD_OVERRIDE=FQ","FILING_STATUS=MR","SCALING_FORMAT=MLN","FA_ADJUSTED=Adjusted","Sort=A","Dates=H","DateFormat=P","Fill=—","Direction=H","UseDPDF=Y")</f>
        <v>352</v>
      </c>
      <c r="I44" s="10">
        <f>_xll.BDH("LUMN US Equity","EARN_FOR_COMMON","FQ1 2020","FQ1 2020","Currency=USD","Period=FQ","BEST_FPERIOD_OVERRIDE=FQ","FILING_STATUS=MR","SCALING_FORMAT=MLN","FA_ADJUSTED=Adjusted","Sort=A","Dates=H","DateFormat=P","Fill=—","Direction=H","UseDPDF=Y")</f>
        <v>399</v>
      </c>
      <c r="J44" s="10">
        <f>_xll.BDH("LUMN US Equity","EARN_FOR_COMMON","FQ2 2020","FQ2 2020","Currency=USD","Period=FQ","BEST_FPERIOD_OVERRIDE=FQ","FILING_STATUS=MR","SCALING_FORMAT=MLN","FA_ADJUSTED=Adjusted","Sort=A","Dates=H","DateFormat=P","Fill=—","Direction=H","UseDPDF=Y")</f>
        <v>450</v>
      </c>
      <c r="K44" s="10">
        <v>318</v>
      </c>
      <c r="L44" s="10">
        <v>317</v>
      </c>
    </row>
    <row r="45" spans="1:12" x14ac:dyDescent="0.25">
      <c r="A45" s="16" t="s">
        <v>100</v>
      </c>
      <c r="B45" s="16" t="s">
        <v>99</v>
      </c>
      <c r="C45" s="17">
        <f>_xll.BDH("LUMN US Equity","IS_NET_ABNORMAL_ITEMS","FQ3 2018","FQ3 2018","Currency=USD","Period=FQ","BEST_FPERIOD_OVERRIDE=FQ","FILING_STATUS=MR","SCALING_FORMAT=MLN","Sort=A","Dates=H","DateFormat=P","Fill=—","Direction=H","UseDPDF=Y")</f>
        <v>55</v>
      </c>
      <c r="D45" s="17">
        <f>_xll.BDH("LUMN US Equity","IS_NET_ABNORMAL_ITEMS","FQ4 2018","FQ4 2018","Currency=USD","Period=FQ","BEST_FPERIOD_OVERRIDE=FQ","FILING_STATUS=MR","SCALING_FORMAT=MLN","Sort=A","Dates=H","DateFormat=P","Fill=—","Direction=H","UseDPDF=Y")</f>
        <v>2797</v>
      </c>
      <c r="E45" s="17">
        <f>_xll.BDH("LUMN US Equity","IS_NET_ABNORMAL_ITEMS","FQ1 2019","FQ1 2019","Currency=USD","Period=FQ","BEST_FPERIOD_OVERRIDE=FQ","FILING_STATUS=MR","SCALING_FORMAT=MLN","Sort=A","Dates=H","DateFormat=P","Fill=—","Direction=H","UseDPDF=Y")</f>
        <v>6525</v>
      </c>
      <c r="F45" s="17">
        <f>_xll.BDH("LUMN US Equity","IS_NET_ABNORMAL_ITEMS","FQ2 2019","FQ2 2019","Currency=USD","Period=FQ","BEST_FPERIOD_OVERRIDE=FQ","FILING_STATUS=MR","SCALING_FORMAT=MLN","Sort=A","Dates=H","DateFormat=P","Fill=—","Direction=H","UseDPDF=Y")</f>
        <v>-2</v>
      </c>
      <c r="G45" s="17">
        <f>_xll.BDH("LUMN US Equity","IS_NET_ABNORMAL_ITEMS","FQ3 2019","FQ3 2019","Currency=USD","Period=FQ","BEST_FPERIOD_OVERRIDE=FQ","FILING_STATUS=MR","SCALING_FORMAT=MLN","Sort=A","Dates=H","DateFormat=P","Fill=—","Direction=H","UseDPDF=Y")</f>
        <v>26</v>
      </c>
      <c r="H45" s="17">
        <f>_xll.BDH("LUMN US Equity","IS_NET_ABNORMAL_ITEMS","FQ4 2019","FQ4 2019","Currency=USD","Period=FQ","BEST_FPERIOD_OVERRIDE=FQ","FILING_STATUS=MR","SCALING_FORMAT=MLN","Sort=A","Dates=H","DateFormat=P","Fill=—","Direction=H","UseDPDF=Y")</f>
        <v>129</v>
      </c>
      <c r="I45" s="17">
        <f>_xll.BDH("LUMN US Equity","IS_NET_ABNORMAL_ITEMS","FQ1 2020","FQ1 2020","Currency=USD","Period=FQ","BEST_FPERIOD_OVERRIDE=FQ","FILING_STATUS=MR","SCALING_FORMAT=MLN","Sort=A","Dates=H","DateFormat=P","Fill=—","Direction=H","UseDPDF=Y")</f>
        <v>85</v>
      </c>
      <c r="J45" s="17">
        <f>_xll.BDH("LUMN US Equity","IS_NET_ABNORMAL_ITEMS","FQ2 2020","FQ2 2020","Currency=USD","Period=FQ","BEST_FPERIOD_OVERRIDE=FQ","FILING_STATUS=MR","SCALING_FORMAT=MLN","Sort=A","Dates=H","DateFormat=P","Fill=—","Direction=H","UseDPDF=Y")</f>
        <v>73</v>
      </c>
      <c r="K45" s="17"/>
      <c r="L45" s="17"/>
    </row>
    <row r="46" spans="1:12" x14ac:dyDescent="0.25">
      <c r="A46" s="16" t="s">
        <v>98</v>
      </c>
      <c r="B46" s="16" t="s">
        <v>97</v>
      </c>
      <c r="C46" s="17">
        <f>_xll.BDH("LUMN US Equity","XO_GL_NET_OF_TAX","FQ3 2018","FQ3 2018","Currency=USD","Period=FQ","BEST_FPERIOD_OVERRIDE=FQ","FILING_STATUS=MR","SCALING_FORMAT=MLN","Sort=A","Dates=H","DateFormat=P","Fill=—","Direction=H","UseDPDF=Y")</f>
        <v>0</v>
      </c>
      <c r="D46" s="17">
        <f>_xll.BDH("LUMN US Equity","XO_GL_NET_OF_TAX","FQ4 2018","FQ4 2018","Currency=USD","Period=FQ","BEST_FPERIOD_OVERRIDE=FQ","FILING_STATUS=MR","SCALING_FORMAT=MLN","Sort=A","Dates=H","DateFormat=P","Fill=—","Direction=H","UseDPDF=Y")</f>
        <v>0</v>
      </c>
      <c r="E46" s="17">
        <f>_xll.BDH("LUMN US Equity","XO_GL_NET_OF_TAX","FQ1 2019","FQ1 2019","Currency=USD","Period=FQ","BEST_FPERIOD_OVERRIDE=FQ","FILING_STATUS=MR","SCALING_FORMAT=MLN","Sort=A","Dates=H","DateFormat=P","Fill=—","Direction=H","UseDPDF=Y")</f>
        <v>0</v>
      </c>
      <c r="F46" s="17">
        <f>_xll.BDH("LUMN US Equity","XO_GL_NET_OF_TAX","FQ2 2019","FQ2 2019","Currency=USD","Period=FQ","BEST_FPERIOD_OVERRIDE=FQ","FILING_STATUS=MR","SCALING_FORMAT=MLN","Sort=A","Dates=H","DateFormat=P","Fill=—","Direction=H","UseDPDF=Y")</f>
        <v>0</v>
      </c>
      <c r="G46" s="17">
        <f>_xll.BDH("LUMN US Equity","XO_GL_NET_OF_TAX","FQ3 2019","FQ3 2019","Currency=USD","Period=FQ","BEST_FPERIOD_OVERRIDE=FQ","FILING_STATUS=MR","SCALING_FORMAT=MLN","Sort=A","Dates=H","DateFormat=P","Fill=—","Direction=H","UseDPDF=Y")</f>
        <v>0</v>
      </c>
      <c r="H46" s="17">
        <f>_xll.BDH("LUMN US Equity","XO_GL_NET_OF_TAX","FQ4 2019","FQ4 2019","Currency=USD","Period=FQ","BEST_FPERIOD_OVERRIDE=FQ","FILING_STATUS=MR","SCALING_FORMAT=MLN","Sort=A","Dates=H","DateFormat=P","Fill=—","Direction=H","UseDPDF=Y")</f>
        <v>0</v>
      </c>
      <c r="I46" s="17">
        <f>_xll.BDH("LUMN US Equity","XO_GL_NET_OF_TAX","FQ1 2020","FQ1 2020","Currency=USD","Period=FQ","BEST_FPERIOD_OVERRIDE=FQ","FILING_STATUS=MR","SCALING_FORMAT=MLN","Sort=A","Dates=H","DateFormat=P","Fill=—","Direction=H","UseDPDF=Y")</f>
        <v>0</v>
      </c>
      <c r="J46" s="17">
        <f>_xll.BDH("LUMN US Equity","XO_GL_NET_OF_TAX","FQ2 2020","FQ2 2020","Currency=USD","Period=FQ","BEST_FPERIOD_OVERRIDE=FQ","FILING_STATUS=MR","SCALING_FORMAT=MLN","Sort=A","Dates=H","DateFormat=P","Fill=—","Direction=H","UseDPDF=Y")</f>
        <v>0</v>
      </c>
      <c r="K46" s="17"/>
      <c r="L46" s="17"/>
    </row>
    <row r="47" spans="1:12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16" t="s">
        <v>96</v>
      </c>
      <c r="B48" s="16" t="s">
        <v>95</v>
      </c>
      <c r="C48" s="17">
        <f>_xll.BDH("LUMN US Equity","IS_AVG_NUM_SH_FOR_EPS","FQ3 2018","FQ3 2018","Currency=USD","Period=FQ","BEST_FPERIOD_OVERRIDE=FQ","FILING_STATUS=MR","Sort=A","Dates=H","DateFormat=P","Fill=—","Direction=H","UseDPDF=Y")</f>
        <v>1066.904</v>
      </c>
      <c r="D48" s="17">
        <f>_xll.BDH("LUMN US Equity","IS_AVG_NUM_SH_FOR_EPS","FQ4 2018","FQ4 2018","Currency=USD","Period=FQ","BEST_FPERIOD_OVERRIDE=FQ","FILING_STATUS=MR","Sort=A","Dates=H","DateFormat=P","Fill=—","Direction=H","UseDPDF=Y")</f>
        <v>1067.2339999999999</v>
      </c>
      <c r="E48" s="17">
        <f>_xll.BDH("LUMN US Equity","IS_AVG_NUM_SH_FOR_EPS","FQ1 2019","FQ1 2019","Currency=USD","Period=FQ","BEST_FPERIOD_OVERRIDE=FQ","FILING_STATUS=MR","Sort=A","Dates=H","DateFormat=P","Fill=—","Direction=H","UseDPDF=Y")</f>
        <v>1068.8779999999999</v>
      </c>
      <c r="F48" s="17">
        <f>_xll.BDH("LUMN US Equity","IS_AVG_NUM_SH_FOR_EPS","FQ2 2019","FQ2 2019","Currency=USD","Period=FQ","BEST_FPERIOD_OVERRIDE=FQ","FILING_STATUS=MR","Sort=A","Dates=H","DateFormat=P","Fill=—","Direction=H","UseDPDF=Y")</f>
        <v>1071.3409999999999</v>
      </c>
      <c r="G48" s="17">
        <f>_xll.BDH("LUMN US Equity","IS_AVG_NUM_SH_FOR_EPS","FQ3 2019","FQ3 2019","Currency=USD","Period=FQ","BEST_FPERIOD_OVERRIDE=FQ","FILING_STATUS=MR","Sort=A","Dates=H","DateFormat=P","Fill=—","Direction=H","UseDPDF=Y")</f>
        <v>1072.5429999999999</v>
      </c>
      <c r="H48" s="17">
        <f>_xll.BDH("LUMN US Equity","IS_AVG_NUM_SH_FOR_EPS","FQ4 2019","FQ4 2019","Currency=USD","Period=FQ","BEST_FPERIOD_OVERRIDE=FQ","FILING_STATUS=MR","Sort=A","Dates=H","DateFormat=P","Fill=—","Direction=H","UseDPDF=Y")</f>
        <v>1073</v>
      </c>
      <c r="I48" s="17">
        <f>_xll.BDH("LUMN US Equity","IS_AVG_NUM_SH_FOR_EPS","FQ1 2020","FQ1 2020","Currency=USD","Period=FQ","BEST_FPERIOD_OVERRIDE=FQ","FILING_STATUS=MR","Sort=A","Dates=H","DateFormat=P","Fill=—","Direction=H","UseDPDF=Y")</f>
        <v>1075.4590000000001</v>
      </c>
      <c r="J48" s="17">
        <f>_xll.BDH("LUMN US Equity","IS_AVG_NUM_SH_FOR_EPS","FQ2 2020","FQ2 2020","Currency=USD","Period=FQ","BEST_FPERIOD_OVERRIDE=FQ","FILING_STATUS=MR","Sort=A","Dates=H","DateFormat=P","Fill=—","Direction=H","UseDPDF=Y")</f>
        <v>1079.4749999999999</v>
      </c>
      <c r="K48" s="17"/>
      <c r="L48" s="17"/>
    </row>
    <row r="49" spans="1:12" x14ac:dyDescent="0.25">
      <c r="A49" s="12" t="s">
        <v>94</v>
      </c>
      <c r="B49" s="12" t="s">
        <v>93</v>
      </c>
      <c r="C49" s="11">
        <f>_xll.BDH("LUMN US Equity","IS_EPS","FQ3 2018","FQ3 2018","Currency=USD","Period=FQ","BEST_FPERIOD_OVERRIDE=FQ","FILING_STATUS=MR","FA_ADJUSTED=GAAP","Sort=A","Dates=H","DateFormat=P","Fill=—","Direction=H","UseDPDF=Y")</f>
        <v>0.25</v>
      </c>
      <c r="D49" s="11">
        <f>_xll.BDH("LUMN US Equity","IS_EPS","FQ4 2018","FQ4 2018","Currency=USD","Period=FQ","BEST_FPERIOD_OVERRIDE=FQ","FILING_STATUS=MR","FA_ADJUSTED=GAAP","Sort=A","Dates=H","DateFormat=P","Fill=—","Direction=H","UseDPDF=Y")</f>
        <v>-2.2599999999999998</v>
      </c>
      <c r="E49" s="11">
        <f>_xll.BDH("LUMN US Equity","IS_EPS","FQ1 2019","FQ1 2019","Currency=USD","Period=FQ","BEST_FPERIOD_OVERRIDE=FQ","FILING_STATUS=MR","FA_ADJUSTED=GAAP","Sort=A","Dates=H","DateFormat=P","Fill=—","Direction=H","UseDPDF=Y")</f>
        <v>-5.77</v>
      </c>
      <c r="F49" s="11">
        <f>_xll.BDH("LUMN US Equity","IS_EPS","FQ2 2019","FQ2 2019","Currency=USD","Period=FQ","BEST_FPERIOD_OVERRIDE=FQ","FILING_STATUS=MR","FA_ADJUSTED=GAAP","Sort=A","Dates=H","DateFormat=P","Fill=—","Direction=H","UseDPDF=Y")</f>
        <v>0.35</v>
      </c>
      <c r="G49" s="11">
        <f>_xll.BDH("LUMN US Equity","IS_EPS","FQ3 2019","FQ3 2019","Currency=USD","Period=FQ","BEST_FPERIOD_OVERRIDE=FQ","FILING_STATUS=MR","FA_ADJUSTED=GAAP","Sort=A","Dates=H","DateFormat=P","Fill=—","Direction=H","UseDPDF=Y")</f>
        <v>0.28000000000000003</v>
      </c>
      <c r="H49" s="11">
        <f>_xll.BDH("LUMN US Equity","IS_EPS","FQ4 2019","FQ4 2019","Currency=USD","Period=FQ","BEST_FPERIOD_OVERRIDE=FQ","FILING_STATUS=MR","FA_ADJUSTED=GAAP","Sort=A","Dates=H","DateFormat=P","Fill=—","Direction=H","UseDPDF=Y")</f>
        <v>0.21</v>
      </c>
      <c r="I49" s="11">
        <f>_xll.BDH("LUMN US Equity","IS_EPS","FQ1 2020","FQ1 2020","Currency=USD","Period=FQ","BEST_FPERIOD_OVERRIDE=FQ","FILING_STATUS=MR","FA_ADJUSTED=GAAP","Sort=A","Dates=H","DateFormat=P","Fill=—","Direction=H","UseDPDF=Y")</f>
        <v>0.28999999999999998</v>
      </c>
      <c r="J49" s="11">
        <f>_xll.BDH("LUMN US Equity","IS_EPS","FQ2 2020","FQ2 2020","Currency=USD","Period=FQ","BEST_FPERIOD_OVERRIDE=FQ","FILING_STATUS=MR","FA_ADJUSTED=GAAP","Sort=A","Dates=H","DateFormat=P","Fill=—","Direction=H","UseDPDF=Y")</f>
        <v>0.35</v>
      </c>
      <c r="K49" s="11">
        <v>0.27500000000000002</v>
      </c>
      <c r="L49" s="11">
        <v>0.27700000000000002</v>
      </c>
    </row>
    <row r="50" spans="1:12" x14ac:dyDescent="0.25">
      <c r="A50" s="12" t="s">
        <v>92</v>
      </c>
      <c r="B50" s="12" t="s">
        <v>91</v>
      </c>
      <c r="C50" s="11">
        <f>_xll.BDH("LUMN US Equity","IS_EARN_BEF_XO_ITEMS_PER_SH","FQ3 2018","FQ3 2018","Currency=USD","Period=FQ","BEST_FPERIOD_OVERRIDE=FQ","FILING_STATUS=MR","Sort=A","Dates=H","DateFormat=P","Fill=—","Direction=H","UseDPDF=Y")</f>
        <v>0.25</v>
      </c>
      <c r="D50" s="11">
        <f>_xll.BDH("LUMN US Equity","IS_EARN_BEF_XO_ITEMS_PER_SH","FQ4 2018","FQ4 2018","Currency=USD","Period=FQ","BEST_FPERIOD_OVERRIDE=FQ","FILING_STATUS=MR","Sort=A","Dates=H","DateFormat=P","Fill=—","Direction=H","UseDPDF=Y")</f>
        <v>-2.2599999999999998</v>
      </c>
      <c r="E50" s="11">
        <f>_xll.BDH("LUMN US Equity","IS_EARN_BEF_XO_ITEMS_PER_SH","FQ1 2019","FQ1 2019","Currency=USD","Period=FQ","BEST_FPERIOD_OVERRIDE=FQ","FILING_STATUS=MR","Sort=A","Dates=H","DateFormat=P","Fill=—","Direction=H","UseDPDF=Y")</f>
        <v>-5.77</v>
      </c>
      <c r="F50" s="11">
        <f>_xll.BDH("LUMN US Equity","IS_EARN_BEF_XO_ITEMS_PER_SH","FQ2 2019","FQ2 2019","Currency=USD","Period=FQ","BEST_FPERIOD_OVERRIDE=FQ","FILING_STATUS=MR","Sort=A","Dates=H","DateFormat=P","Fill=—","Direction=H","UseDPDF=Y")</f>
        <v>0.35</v>
      </c>
      <c r="G50" s="11">
        <f>_xll.BDH("LUMN US Equity","IS_EARN_BEF_XO_ITEMS_PER_SH","FQ3 2019","FQ3 2019","Currency=USD","Period=FQ","BEST_FPERIOD_OVERRIDE=FQ","FILING_STATUS=MR","Sort=A","Dates=H","DateFormat=P","Fill=—","Direction=H","UseDPDF=Y")</f>
        <v>0.28000000000000003</v>
      </c>
      <c r="H50" s="11">
        <f>_xll.BDH("LUMN US Equity","IS_EARN_BEF_XO_ITEMS_PER_SH","FQ4 2019","FQ4 2019","Currency=USD","Period=FQ","BEST_FPERIOD_OVERRIDE=FQ","FILING_STATUS=MR","Sort=A","Dates=H","DateFormat=P","Fill=—","Direction=H","UseDPDF=Y")</f>
        <v>0.21</v>
      </c>
      <c r="I50" s="11">
        <f>_xll.BDH("LUMN US Equity","IS_EARN_BEF_XO_ITEMS_PER_SH","FQ1 2020","FQ1 2020","Currency=USD","Period=FQ","BEST_FPERIOD_OVERRIDE=FQ","FILING_STATUS=MR","Sort=A","Dates=H","DateFormat=P","Fill=—","Direction=H","UseDPDF=Y")</f>
        <v>0.28999999999999998</v>
      </c>
      <c r="J50" s="11">
        <f>_xll.BDH("LUMN US Equity","IS_EARN_BEF_XO_ITEMS_PER_SH","FQ2 2020","FQ2 2020","Currency=USD","Period=FQ","BEST_FPERIOD_OVERRIDE=FQ","FILING_STATUS=MR","Sort=A","Dates=H","DateFormat=P","Fill=—","Direction=H","UseDPDF=Y")</f>
        <v>0.35</v>
      </c>
      <c r="K50" s="11">
        <v>0.27500000000000002</v>
      </c>
      <c r="L50" s="11">
        <v>0.27700000000000002</v>
      </c>
    </row>
    <row r="51" spans="1:12" x14ac:dyDescent="0.25">
      <c r="A51" s="12" t="s">
        <v>90</v>
      </c>
      <c r="B51" s="12" t="s">
        <v>89</v>
      </c>
      <c r="C51" s="11">
        <f>_xll.BDH("LUMN US Equity","IS_BASIC_EPS_CONT_OPS","FQ3 2018","FQ3 2018","Currency=USD","Period=FQ","BEST_FPERIOD_OVERRIDE=FQ","FILING_STATUS=MR","Sort=A","Dates=H","DateFormat=P","Fill=—","Direction=H","UseDPDF=Y")</f>
        <v>0.30649999999999999</v>
      </c>
      <c r="D51" s="11">
        <f>_xll.BDH("LUMN US Equity","IS_BASIC_EPS_CONT_OPS","FQ4 2018","FQ4 2018","Currency=USD","Period=FQ","BEST_FPERIOD_OVERRIDE=FQ","FILING_STATUS=MR","Sort=A","Dates=H","DateFormat=P","Fill=—","Direction=H","UseDPDF=Y")</f>
        <v>0.36070000000000002</v>
      </c>
      <c r="E51" s="11">
        <f>_xll.BDH("LUMN US Equity","IS_BASIC_EPS_CONT_OPS","FQ1 2019","FQ1 2019","Currency=USD","Period=FQ","BEST_FPERIOD_OVERRIDE=FQ","FILING_STATUS=MR","Sort=A","Dates=H","DateFormat=P","Fill=—","Direction=H","UseDPDF=Y")</f>
        <v>0.33679999999999999</v>
      </c>
      <c r="F51" s="11">
        <f>_xll.BDH("LUMN US Equity","IS_BASIC_EPS_CONT_OPS","FQ2 2019","FQ2 2019","Currency=USD","Period=FQ","BEST_FPERIOD_OVERRIDE=FQ","FILING_STATUS=MR","Sort=A","Dates=H","DateFormat=P","Fill=—","Direction=H","UseDPDF=Y")</f>
        <v>0.34439999999999998</v>
      </c>
      <c r="G51" s="11">
        <f>_xll.BDH("LUMN US Equity","IS_BASIC_EPS_CONT_OPS","FQ3 2019","FQ3 2019","Currency=USD","Period=FQ","BEST_FPERIOD_OVERRIDE=FQ","FILING_STATUS=MR","Sort=A","Dates=H","DateFormat=P","Fill=—","Direction=H","UseDPDF=Y")</f>
        <v>0.30580000000000002</v>
      </c>
      <c r="H51" s="11">
        <f>_xll.BDH("LUMN US Equity","IS_BASIC_EPS_CONT_OPS","FQ4 2019","FQ4 2019","Currency=USD","Period=FQ","BEST_FPERIOD_OVERRIDE=FQ","FILING_STATUS=MR","Sort=A","Dates=H","DateFormat=P","Fill=—","Direction=H","UseDPDF=Y")</f>
        <v>0.3281</v>
      </c>
      <c r="I51" s="11">
        <f>_xll.BDH("LUMN US Equity","IS_BASIC_EPS_CONT_OPS","FQ1 2020","FQ1 2020","Currency=USD","Period=FQ","BEST_FPERIOD_OVERRIDE=FQ","FILING_STATUS=MR","Sort=A","Dates=H","DateFormat=P","Fill=—","Direction=H","UseDPDF=Y")</f>
        <v>0.371</v>
      </c>
      <c r="J51" s="11">
        <f>_xll.BDH("LUMN US Equity","IS_BASIC_EPS_CONT_OPS","FQ2 2020","FQ2 2020","Currency=USD","Period=FQ","BEST_FPERIOD_OVERRIDE=FQ","FILING_STATUS=MR","Sort=A","Dates=H","DateFormat=P","Fill=—","Direction=H","UseDPDF=Y")</f>
        <v>0.41689999999999999</v>
      </c>
      <c r="K51" s="11">
        <v>0.29699999999999999</v>
      </c>
      <c r="L51" s="11">
        <v>0.28899999999999998</v>
      </c>
    </row>
    <row r="52" spans="1:12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5">
      <c r="A53" s="16" t="s">
        <v>88</v>
      </c>
      <c r="B53" s="16" t="s">
        <v>87</v>
      </c>
      <c r="C53" s="17">
        <f>_xll.BDH("LUMN US Equity","IS_SH_FOR_DILUTED_EPS","FQ3 2018","FQ3 2018","Currency=USD","Period=FQ","BEST_FPERIOD_OVERRIDE=FQ","FILING_STATUS=MR","Sort=A","Dates=H","DateFormat=P","Fill=—","Direction=H","UseDPDF=Y")</f>
        <v>1072.3510000000001</v>
      </c>
      <c r="D53" s="17">
        <f>_xll.BDH("LUMN US Equity","IS_SH_FOR_DILUTED_EPS","FQ4 2018","FQ4 2018","Currency=USD","Period=FQ","BEST_FPERIOD_OVERRIDE=FQ","FILING_STATUS=MR","Sort=A","Dates=H","DateFormat=P","Fill=—","Direction=H","UseDPDF=Y")</f>
        <v>1067.2339999999999</v>
      </c>
      <c r="E53" s="17">
        <f>_xll.BDH("LUMN US Equity","IS_SH_FOR_DILUTED_EPS","FQ1 2019","FQ1 2019","Currency=USD","Period=FQ","BEST_FPERIOD_OVERRIDE=FQ","FILING_STATUS=MR","Sort=A","Dates=H","DateFormat=P","Fill=—","Direction=H","UseDPDF=Y")</f>
        <v>1068.8779999999999</v>
      </c>
      <c r="F53" s="17">
        <f>_xll.BDH("LUMN US Equity","IS_SH_FOR_DILUTED_EPS","FQ2 2019","FQ2 2019","Currency=USD","Period=FQ","BEST_FPERIOD_OVERRIDE=FQ","FILING_STATUS=MR","Sort=A","Dates=H","DateFormat=P","Fill=—","Direction=H","UseDPDF=Y")</f>
        <v>1072.8130000000001</v>
      </c>
      <c r="G53" s="17">
        <f>_xll.BDH("LUMN US Equity","IS_SH_FOR_DILUTED_EPS","FQ3 2019","FQ3 2019","Currency=USD","Period=FQ","BEST_FPERIOD_OVERRIDE=FQ","FILING_STATUS=MR","Sort=A","Dates=H","DateFormat=P","Fill=—","Direction=H","UseDPDF=Y")</f>
        <v>1074.79</v>
      </c>
      <c r="H53" s="17">
        <f>_xll.BDH("LUMN US Equity","IS_SH_FOR_DILUTED_EPS","FQ4 2019","FQ4 2019","Currency=USD","Period=FQ","BEST_FPERIOD_OVERRIDE=FQ","FILING_STATUS=MR","Sort=A","Dates=H","DateFormat=P","Fill=—","Direction=H","UseDPDF=Y")</f>
        <v>1078.175</v>
      </c>
      <c r="I53" s="17">
        <f>_xll.BDH("LUMN US Equity","IS_SH_FOR_DILUTED_EPS","FQ1 2020","FQ1 2020","Currency=USD","Period=FQ","BEST_FPERIOD_OVERRIDE=FQ","FILING_STATUS=MR","Sort=A","Dates=H","DateFormat=P","Fill=—","Direction=H","UseDPDF=Y")</f>
        <v>1081.7539999999999</v>
      </c>
      <c r="J53" s="17">
        <f>_xll.BDH("LUMN US Equity","IS_SH_FOR_DILUTED_EPS","FQ2 2020","FQ2 2020","Currency=USD","Period=FQ","BEST_FPERIOD_OVERRIDE=FQ","FILING_STATUS=MR","Sort=A","Dates=H","DateFormat=P","Fill=—","Direction=H","UseDPDF=Y")</f>
        <v>1082.567</v>
      </c>
      <c r="K53" s="17"/>
      <c r="L53" s="17"/>
    </row>
    <row r="54" spans="1:12" x14ac:dyDescent="0.25">
      <c r="A54" s="12" t="s">
        <v>86</v>
      </c>
      <c r="B54" s="12" t="s">
        <v>85</v>
      </c>
      <c r="C54" s="11">
        <f>_xll.BDH("LUMN US Equity","IS_DILUTED_EPS","FQ3 2018","FQ3 2018","Currency=USD","Period=FQ","BEST_FPERIOD_OVERRIDE=FQ","FILING_STATUS=MR","FA_ADJUSTED=GAAP","Sort=A","Dates=H","DateFormat=P","Fill=—","Direction=H","UseDPDF=Y")</f>
        <v>0.25</v>
      </c>
      <c r="D54" s="11">
        <f>_xll.BDH("LUMN US Equity","IS_DILUTED_EPS","FQ4 2018","FQ4 2018","Currency=USD","Period=FQ","BEST_FPERIOD_OVERRIDE=FQ","FILING_STATUS=MR","FA_ADJUSTED=GAAP","Sort=A","Dates=H","DateFormat=P","Fill=—","Direction=H","UseDPDF=Y")</f>
        <v>-2.2599999999999998</v>
      </c>
      <c r="E54" s="11">
        <f>_xll.BDH("LUMN US Equity","IS_DILUTED_EPS","FQ1 2019","FQ1 2019","Currency=USD","Period=FQ","BEST_FPERIOD_OVERRIDE=FQ","FILING_STATUS=MR","FA_ADJUSTED=GAAP","Sort=A","Dates=H","DateFormat=P","Fill=—","Direction=H","UseDPDF=Y")</f>
        <v>-5.77</v>
      </c>
      <c r="F54" s="11">
        <f>_xll.BDH("LUMN US Equity","IS_DILUTED_EPS","FQ2 2019","FQ2 2019","Currency=USD","Period=FQ","BEST_FPERIOD_OVERRIDE=FQ","FILING_STATUS=MR","FA_ADJUSTED=GAAP","Sort=A","Dates=H","DateFormat=P","Fill=—","Direction=H","UseDPDF=Y")</f>
        <v>0.35</v>
      </c>
      <c r="G54" s="11">
        <f>_xll.BDH("LUMN US Equity","IS_DILUTED_EPS","FQ3 2019","FQ3 2019","Currency=USD","Period=FQ","BEST_FPERIOD_OVERRIDE=FQ","FILING_STATUS=MR","FA_ADJUSTED=GAAP","Sort=A","Dates=H","DateFormat=P","Fill=—","Direction=H","UseDPDF=Y")</f>
        <v>0.28000000000000003</v>
      </c>
      <c r="H54" s="11">
        <f>_xll.BDH("LUMN US Equity","IS_DILUTED_EPS","FQ4 2019","FQ4 2019","Currency=USD","Period=FQ","BEST_FPERIOD_OVERRIDE=FQ","FILING_STATUS=MR","FA_ADJUSTED=GAAP","Sort=A","Dates=H","DateFormat=P","Fill=—","Direction=H","UseDPDF=Y")</f>
        <v>0.21</v>
      </c>
      <c r="I54" s="11">
        <f>_xll.BDH("LUMN US Equity","IS_DILUTED_EPS","FQ1 2020","FQ1 2020","Currency=USD","Period=FQ","BEST_FPERIOD_OVERRIDE=FQ","FILING_STATUS=MR","FA_ADJUSTED=GAAP","Sort=A","Dates=H","DateFormat=P","Fill=—","Direction=H","UseDPDF=Y")</f>
        <v>0.28999999999999998</v>
      </c>
      <c r="J54" s="11">
        <f>_xll.BDH("LUMN US Equity","IS_DILUTED_EPS","FQ2 2020","FQ2 2020","Currency=USD","Period=FQ","BEST_FPERIOD_OVERRIDE=FQ","FILING_STATUS=MR","FA_ADJUSTED=GAAP","Sort=A","Dates=H","DateFormat=P","Fill=—","Direction=H","UseDPDF=Y")</f>
        <v>0.35</v>
      </c>
      <c r="K54" s="11">
        <v>0.27500000000000002</v>
      </c>
      <c r="L54" s="11">
        <v>0.27700000000000002</v>
      </c>
    </row>
    <row r="55" spans="1:12" x14ac:dyDescent="0.25">
      <c r="A55" s="12" t="s">
        <v>84</v>
      </c>
      <c r="B55" s="12" t="s">
        <v>83</v>
      </c>
      <c r="C55" s="11">
        <f>_xll.BDH("LUMN US Equity","IS_DIL_EPS_BEF_XO","FQ3 2018","FQ3 2018","Currency=USD","Period=FQ","BEST_FPERIOD_OVERRIDE=FQ","FILING_STATUS=MR","Sort=A","Dates=H","DateFormat=P","Fill=—","Direction=H","UseDPDF=Y")</f>
        <v>0.25</v>
      </c>
      <c r="D55" s="11">
        <f>_xll.BDH("LUMN US Equity","IS_DIL_EPS_BEF_XO","FQ4 2018","FQ4 2018","Currency=USD","Period=FQ","BEST_FPERIOD_OVERRIDE=FQ","FILING_STATUS=MR","Sort=A","Dates=H","DateFormat=P","Fill=—","Direction=H","UseDPDF=Y")</f>
        <v>-2.2599999999999998</v>
      </c>
      <c r="E55" s="11">
        <f>_xll.BDH("LUMN US Equity","IS_DIL_EPS_BEF_XO","FQ1 2019","FQ1 2019","Currency=USD","Period=FQ","BEST_FPERIOD_OVERRIDE=FQ","FILING_STATUS=MR","Sort=A","Dates=H","DateFormat=P","Fill=—","Direction=H","UseDPDF=Y")</f>
        <v>-5.77</v>
      </c>
      <c r="F55" s="11">
        <f>_xll.BDH("LUMN US Equity","IS_DIL_EPS_BEF_XO","FQ2 2019","FQ2 2019","Currency=USD","Period=FQ","BEST_FPERIOD_OVERRIDE=FQ","FILING_STATUS=MR","Sort=A","Dates=H","DateFormat=P","Fill=—","Direction=H","UseDPDF=Y")</f>
        <v>0.35</v>
      </c>
      <c r="G55" s="11">
        <f>_xll.BDH("LUMN US Equity","IS_DIL_EPS_BEF_XO","FQ3 2019","FQ3 2019","Currency=USD","Period=FQ","BEST_FPERIOD_OVERRIDE=FQ","FILING_STATUS=MR","Sort=A","Dates=H","DateFormat=P","Fill=—","Direction=H","UseDPDF=Y")</f>
        <v>0.28000000000000003</v>
      </c>
      <c r="H55" s="11">
        <f>_xll.BDH("LUMN US Equity","IS_DIL_EPS_BEF_XO","FQ4 2019","FQ4 2019","Currency=USD","Period=FQ","BEST_FPERIOD_OVERRIDE=FQ","FILING_STATUS=MR","Sort=A","Dates=H","DateFormat=P","Fill=—","Direction=H","UseDPDF=Y")</f>
        <v>0.21</v>
      </c>
      <c r="I55" s="11">
        <f>_xll.BDH("LUMN US Equity","IS_DIL_EPS_BEF_XO","FQ1 2020","FQ1 2020","Currency=USD","Period=FQ","BEST_FPERIOD_OVERRIDE=FQ","FILING_STATUS=MR","Sort=A","Dates=H","DateFormat=P","Fill=—","Direction=H","UseDPDF=Y")</f>
        <v>0.28999999999999998</v>
      </c>
      <c r="J55" s="11">
        <f>_xll.BDH("LUMN US Equity","IS_DIL_EPS_BEF_XO","FQ2 2020","FQ2 2020","Currency=USD","Period=FQ","BEST_FPERIOD_OVERRIDE=FQ","FILING_STATUS=MR","Sort=A","Dates=H","DateFormat=P","Fill=—","Direction=H","UseDPDF=Y")</f>
        <v>0.35</v>
      </c>
      <c r="K55" s="11">
        <v>0.27500000000000002</v>
      </c>
      <c r="L55" s="11">
        <v>0.27700000000000002</v>
      </c>
    </row>
    <row r="56" spans="1:12" x14ac:dyDescent="0.25">
      <c r="A56" s="12" t="s">
        <v>82</v>
      </c>
      <c r="B56" s="12" t="s">
        <v>49</v>
      </c>
      <c r="C56" s="11">
        <f>_xll.BDH("LUMN US Equity","IS_DIL_EPS_CONT_OPS","FQ3 2018","FQ3 2018","Currency=USD","Period=FQ","BEST_FPERIOD_OVERRIDE=FQ","FILING_STATUS=MR","Sort=A","Dates=H","DateFormat=P","Fill=—","Direction=H","UseDPDF=Y")</f>
        <v>0.30130000000000001</v>
      </c>
      <c r="D56" s="11">
        <f>_xll.BDH("LUMN US Equity","IS_DIL_EPS_CONT_OPS","FQ4 2018","FQ4 2018","Currency=USD","Period=FQ","BEST_FPERIOD_OVERRIDE=FQ","FILING_STATUS=MR","Sort=A","Dates=H","DateFormat=P","Fill=—","Direction=H","UseDPDF=Y")</f>
        <v>0.36070000000000002</v>
      </c>
      <c r="E56" s="11">
        <f>_xll.BDH("LUMN US Equity","IS_DIL_EPS_CONT_OPS","FQ1 2019","FQ1 2019","Currency=USD","Period=FQ","BEST_FPERIOD_OVERRIDE=FQ","FILING_STATUS=MR","Sort=A","Dates=H","DateFormat=P","Fill=—","Direction=H","UseDPDF=Y")</f>
        <v>0.33450000000000002</v>
      </c>
      <c r="F56" s="11">
        <f>_xll.BDH("LUMN US Equity","IS_DIL_EPS_CONT_OPS","FQ2 2019","FQ2 2019","Currency=USD","Period=FQ","BEST_FPERIOD_OVERRIDE=FQ","FILING_STATUS=MR","Sort=A","Dates=H","DateFormat=P","Fill=—","Direction=H","UseDPDF=Y")</f>
        <v>0.34439999999999998</v>
      </c>
      <c r="G56" s="11">
        <f>_xll.BDH("LUMN US Equity","IS_DIL_EPS_CONT_OPS","FQ3 2019","FQ3 2019","Currency=USD","Period=FQ","BEST_FPERIOD_OVERRIDE=FQ","FILING_STATUS=MR","Sort=A","Dates=H","DateFormat=P","Fill=—","Direction=H","UseDPDF=Y")</f>
        <v>0.30420000000000003</v>
      </c>
      <c r="H56" s="11">
        <f>_xll.BDH("LUMN US Equity","IS_DIL_EPS_CONT_OPS","FQ4 2019","FQ4 2019","Currency=USD","Period=FQ","BEST_FPERIOD_OVERRIDE=FQ","FILING_STATUS=MR","Sort=A","Dates=H","DateFormat=P","Fill=—","Direction=H","UseDPDF=Y")</f>
        <v>0.3281</v>
      </c>
      <c r="I56" s="11">
        <f>_xll.BDH("LUMN US Equity","IS_DIL_EPS_CONT_OPS","FQ1 2020","FQ1 2020","Currency=USD","Period=FQ","BEST_FPERIOD_OVERRIDE=FQ","FILING_STATUS=MR","Sort=A","Dates=H","DateFormat=P","Fill=—","Direction=H","UseDPDF=Y")</f>
        <v>0.36859999999999998</v>
      </c>
      <c r="J56" s="11">
        <f>_xll.BDH("LUMN US Equity","IS_DIL_EPS_CONT_OPS","FQ2 2020","FQ2 2020","Currency=USD","Period=FQ","BEST_FPERIOD_OVERRIDE=FQ","FILING_STATUS=MR","Sort=A","Dates=H","DateFormat=P","Fill=—","Direction=H","UseDPDF=Y")</f>
        <v>0.41689999999999999</v>
      </c>
      <c r="K56" s="11">
        <v>0.29699999999999999</v>
      </c>
      <c r="L56" s="11">
        <v>0.28899999999999998</v>
      </c>
    </row>
    <row r="57" spans="1:12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x14ac:dyDescent="0.25">
      <c r="A58" s="12" t="s">
        <v>2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16" t="s">
        <v>81</v>
      </c>
      <c r="B59" s="16" t="s">
        <v>80</v>
      </c>
      <c r="C59" s="14" t="s">
        <v>79</v>
      </c>
      <c r="D59" s="14" t="s">
        <v>79</v>
      </c>
      <c r="E59" s="14" t="s">
        <v>79</v>
      </c>
      <c r="F59" s="14" t="s">
        <v>79</v>
      </c>
      <c r="G59" s="14" t="s">
        <v>79</v>
      </c>
      <c r="H59" s="14" t="s">
        <v>79</v>
      </c>
      <c r="I59" s="14" t="s">
        <v>79</v>
      </c>
      <c r="J59" s="14" t="s">
        <v>79</v>
      </c>
      <c r="K59" s="14"/>
      <c r="L59" s="14"/>
    </row>
    <row r="60" spans="1:12" x14ac:dyDescent="0.25">
      <c r="A60" s="16" t="s">
        <v>45</v>
      </c>
      <c r="B60" s="16" t="s">
        <v>45</v>
      </c>
      <c r="C60" s="17">
        <f>_xll.BDH("LUMN US Equity","EBITDA","FQ3 2018","FQ3 2018","Currency=USD","Period=FQ","BEST_FPERIOD_OVERRIDE=FQ","FILING_STATUS=MR","SCALING_FORMAT=MLN","FA_ADJUSTED=Adjusted","Sort=A","Dates=H","DateFormat=P","Fill=—","Direction=H","UseDPDF=Y")</f>
        <v>2220</v>
      </c>
      <c r="D60" s="17">
        <f>_xll.BDH("LUMN US Equity","EBITDA","FQ4 2018","FQ4 2018","Currency=USD","Period=FQ","BEST_FPERIOD_OVERRIDE=FQ","FILING_STATUS=MR","SCALING_FORMAT=MLN","FA_ADJUSTED=Adjusted","Sort=A","Dates=H","DateFormat=P","Fill=—","Direction=H","UseDPDF=Y")</f>
        <v>2264</v>
      </c>
      <c r="E60" s="17">
        <f>_xll.BDH("LUMN US Equity","EBITDA","FQ1 2019","FQ1 2019","Currency=USD","Period=FQ","BEST_FPERIOD_OVERRIDE=FQ","FILING_STATUS=MR","SCALING_FORMAT=MLN","FA_ADJUSTED=Adjusted","Sort=A","Dates=H","DateFormat=P","Fill=—","Direction=H","UseDPDF=Y")</f>
        <v>2229</v>
      </c>
      <c r="F60" s="17">
        <f>_xll.BDH("LUMN US Equity","EBITDA","FQ2 2019","FQ2 2019","Currency=USD","Period=FQ","BEST_FPERIOD_OVERRIDE=FQ","FILING_STATUS=MR","SCALING_FORMAT=MLN","FA_ADJUSTED=Adjusted","Sort=A","Dates=H","DateFormat=P","Fill=—","Direction=H","UseDPDF=Y")</f>
        <v>2392</v>
      </c>
      <c r="G60" s="17">
        <f>_xll.BDH("LUMN US Equity","EBITDA","FQ3 2019","FQ3 2019","Currency=USD","Period=FQ","BEST_FPERIOD_OVERRIDE=FQ","FILING_STATUS=MR","SCALING_FORMAT=MLN","FA_ADJUSTED=Adjusted","Sort=A","Dates=H","DateFormat=P","Fill=—","Direction=H","UseDPDF=Y")</f>
        <v>2380</v>
      </c>
      <c r="H60" s="17">
        <f>_xll.BDH("LUMN US Equity","EBITDA","FQ4 2019","FQ4 2019","Currency=USD","Period=FQ","BEST_FPERIOD_OVERRIDE=FQ","FILING_STATUS=MR","SCALING_FORMAT=MLN","FA_ADJUSTED=Adjusted","Sort=A","Dates=H","DateFormat=P","Fill=—","Direction=H","UseDPDF=Y")</f>
        <v>2391</v>
      </c>
      <c r="I60" s="17">
        <f>_xll.BDH("LUMN US Equity","EBITDA","FQ1 2020","FQ1 2020","Currency=USD","Period=FQ","BEST_FPERIOD_OVERRIDE=FQ","FILING_STATUS=MR","SCALING_FORMAT=MLN","FA_ADJUSTED=Adjusted","Sort=A","Dates=H","DateFormat=P","Fill=—","Direction=H","UseDPDF=Y")</f>
        <v>2174</v>
      </c>
      <c r="J60" s="17">
        <f>_xll.BDH("LUMN US Equity","EBITDA","FQ2 2020","FQ2 2020","Currency=USD","Period=FQ","BEST_FPERIOD_OVERRIDE=FQ","FILING_STATUS=MR","SCALING_FORMAT=MLN","FA_ADJUSTED=Adjusted","Sort=A","Dates=H","DateFormat=P","Fill=—","Direction=H","UseDPDF=Y")</f>
        <v>2154</v>
      </c>
      <c r="K60" s="17">
        <v>2153.4290000000001</v>
      </c>
      <c r="L60" s="17">
        <v>2152.154</v>
      </c>
    </row>
    <row r="61" spans="1:12" x14ac:dyDescent="0.25">
      <c r="A61" s="16" t="s">
        <v>78</v>
      </c>
      <c r="B61" s="16" t="s">
        <v>77</v>
      </c>
      <c r="C61" s="15">
        <f>_xll.BDH("LUMN US Equity","EBITDA_MARGIN","FQ3 2018","FQ3 2018","Currency=USD","Period=FQ","BEST_FPERIOD_OVERRIDE=FQ","FILING_STATUS=MR","FA_ADJUSTED=Adjusted","Sort=A","Dates=H","DateFormat=P","Fill=—","Direction=H","UseDPDF=Y")</f>
        <v>37.6892</v>
      </c>
      <c r="D61" s="15">
        <f>_xll.BDH("LUMN US Equity","EBITDA_MARGIN","FQ4 2018","FQ4 2018","Currency=USD","Period=FQ","BEST_FPERIOD_OVERRIDE=FQ","FILING_STATUS=MR","FA_ADJUSTED=Adjusted","Sort=A","Dates=H","DateFormat=P","Fill=—","Direction=H","UseDPDF=Y")</f>
        <v>37.746899999999997</v>
      </c>
      <c r="E61" s="15">
        <f>_xll.BDH("LUMN US Equity","EBITDA_MARGIN","FQ1 2019","FQ1 2019","Currency=USD","Period=FQ","BEST_FPERIOD_OVERRIDE=FQ","FILING_STATUS=MR","FA_ADJUSTED=Adjusted","Sort=A","Dates=H","DateFormat=P","Fill=—","Direction=H","UseDPDF=Y")</f>
        <v>38.961799999999997</v>
      </c>
      <c r="F61" s="15">
        <f>_xll.BDH("LUMN US Equity","EBITDA_MARGIN","FQ2 2019","FQ2 2019","Currency=USD","Period=FQ","BEST_FPERIOD_OVERRIDE=FQ","FILING_STATUS=MR","FA_ADJUSTED=Adjusted","Sort=A","Dates=H","DateFormat=P","Fill=—","Direction=H","UseDPDF=Y")</f>
        <v>40.651000000000003</v>
      </c>
      <c r="G61" s="15">
        <f>_xll.BDH("LUMN US Equity","EBITDA_MARGIN","FQ3 2019","FQ3 2019","Currency=USD","Period=FQ","BEST_FPERIOD_OVERRIDE=FQ","FILING_STATUS=MR","FA_ADJUSTED=Adjusted","Sort=A","Dates=H","DateFormat=P","Fill=—","Direction=H","UseDPDF=Y")</f>
        <v>41.760599999999997</v>
      </c>
      <c r="H61" s="15">
        <f>_xll.BDH("LUMN US Equity","EBITDA_MARGIN","FQ4 2019","FQ4 2019","Currency=USD","Period=FQ","BEST_FPERIOD_OVERRIDE=FQ","FILING_STATUS=MR","FA_ADJUSTED=Adjusted","Sort=A","Dates=H","DateFormat=P","Fill=—","Direction=H","UseDPDF=Y")</f>
        <v>42.733600000000003</v>
      </c>
      <c r="I61" s="15">
        <f>_xll.BDH("LUMN US Equity","EBITDA_MARGIN","FQ1 2020","FQ1 2020","Currency=USD","Period=FQ","BEST_FPERIOD_OVERRIDE=FQ","FILING_STATUS=MR","FA_ADJUSTED=Adjusted","Sort=A","Dates=H","DateFormat=P","Fill=—","Direction=H","UseDPDF=Y")</f>
        <v>42.871600000000001</v>
      </c>
      <c r="J61" s="15">
        <f>_xll.BDH("LUMN US Equity","EBITDA_MARGIN","FQ2 2020","FQ2 2020","Currency=USD","Period=FQ","BEST_FPERIOD_OVERRIDE=FQ","FILING_STATUS=MR","FA_ADJUSTED=Adjusted","Sort=A","Dates=H","DateFormat=P","Fill=—","Direction=H","UseDPDF=Y")</f>
        <v>42.132800000000003</v>
      </c>
      <c r="K61" s="15">
        <v>42.455454157233603</v>
      </c>
      <c r="L61" s="15">
        <v>42.621199340609202</v>
      </c>
    </row>
    <row r="62" spans="1:12" x14ac:dyDescent="0.25">
      <c r="A62" s="16" t="s">
        <v>76</v>
      </c>
      <c r="B62" s="16" t="s">
        <v>76</v>
      </c>
      <c r="C62" s="17">
        <f>_xll.BDH("LUMN US Equity","EBITA","FQ3 2018","FQ3 2018","Currency=USD","Period=FQ","BEST_FPERIOD_OVERRIDE=FQ","FILING_STATUS=MR","SCALING_FORMAT=MLN","FA_ADJUSTED=Adjusted","Sort=A","Dates=H","DateFormat=P","Fill=—","Direction=H","UseDPDF=Y")</f>
        <v>1381</v>
      </c>
      <c r="D62" s="17">
        <f>_xll.BDH("LUMN US Equity","EBITA","FQ4 2018","FQ4 2018","Currency=USD","Period=FQ","BEST_FPERIOD_OVERRIDE=FQ","FILING_STATUS=MR","SCALING_FORMAT=MLN","FA_ADJUSTED=Adjusted","Sort=A","Dates=H","DateFormat=P","Fill=—","Direction=H","UseDPDF=Y")</f>
        <v>1447</v>
      </c>
      <c r="E62" s="17">
        <f>_xll.BDH("LUMN US Equity","EBITA","FQ1 2019","FQ1 2019","Currency=USD","Period=FQ","BEST_FPERIOD_OVERRIDE=FQ","FILING_STATUS=MR","SCALING_FORMAT=MLN","FA_ADJUSTED=Adjusted","Sort=A","Dates=H","DateFormat=P","Fill=—","Direction=H","UseDPDF=Y")</f>
        <v>1470</v>
      </c>
      <c r="F62" s="17">
        <f>_xll.BDH("LUMN US Equity","EBITA","FQ2 2019","FQ2 2019","Currency=USD","Period=FQ","BEST_FPERIOD_OVERRIDE=FQ","FILING_STATUS=MR","SCALING_FORMAT=MLN","FA_ADJUSTED=Adjusted","Sort=A","Dates=H","DateFormat=P","Fill=—","Direction=H","UseDPDF=Y")</f>
        <v>1636</v>
      </c>
      <c r="G62" s="17">
        <f>_xll.BDH("LUMN US Equity","EBITA","FQ3 2019","FQ3 2019","Currency=USD","Period=FQ","BEST_FPERIOD_OVERRIDE=FQ","FILING_STATUS=MR","SCALING_FORMAT=MLN","FA_ADJUSTED=Adjusted","Sort=A","Dates=H","DateFormat=P","Fill=—","Direction=H","UseDPDF=Y")</f>
        <v>1583</v>
      </c>
      <c r="H62" s="17">
        <f>_xll.BDH("LUMN US Equity","EBITA","FQ4 2019","FQ4 2019","Currency=USD","Period=FQ","BEST_FPERIOD_OVERRIDE=FQ","FILING_STATUS=MR","SCALING_FORMAT=MLN","FA_ADJUSTED=Adjusted","Sort=A","Dates=H","DateFormat=P","Fill=—","Direction=H","UseDPDF=Y")</f>
        <v>1614</v>
      </c>
      <c r="I62" s="17">
        <f>_xll.BDH("LUMN US Equity","EBITA","FQ1 2020","FQ1 2020","Currency=USD","Period=FQ","BEST_FPERIOD_OVERRIDE=FQ","FILING_STATUS=MR","SCALING_FORMAT=MLN","FA_ADJUSTED=Adjusted","Sort=A","Dates=H","DateFormat=P","Fill=—","Direction=H","UseDPDF=Y")</f>
        <v>1445</v>
      </c>
      <c r="J62" s="17">
        <f>_xll.BDH("LUMN US Equity","EBITA","FQ2 2020","FQ2 2020","Currency=USD","Period=FQ","BEST_FPERIOD_OVERRIDE=FQ","FILING_STATUS=MR","SCALING_FORMAT=MLN","FA_ADJUSTED=Adjusted","Sort=A","Dates=H","DateFormat=P","Fill=—","Direction=H","UseDPDF=Y")</f>
        <v>1432</v>
      </c>
      <c r="K62" s="17"/>
      <c r="L62" s="17"/>
    </row>
    <row r="63" spans="1:12" x14ac:dyDescent="0.25">
      <c r="A63" s="16" t="s">
        <v>75</v>
      </c>
      <c r="B63" s="16" t="s">
        <v>75</v>
      </c>
      <c r="C63" s="17">
        <f>_xll.BDH("LUMN US Equity","EBIT","FQ3 2018","FQ3 2018","Currency=USD","Period=FQ","BEST_FPERIOD_OVERRIDE=FQ","FILING_STATUS=MR","SCALING_FORMAT=MLN","FA_ADJUSTED=Adjusted","Sort=A","Dates=H","DateFormat=P","Fill=—","Direction=H","UseDPDF=Y")</f>
        <v>935</v>
      </c>
      <c r="D63" s="17">
        <f>_xll.BDH("LUMN US Equity","EBIT","FQ4 2018","FQ4 2018","Currency=USD","Period=FQ","BEST_FPERIOD_OVERRIDE=FQ","FILING_STATUS=MR","SCALING_FORMAT=MLN","FA_ADJUSTED=Adjusted","Sort=A","Dates=H","DateFormat=P","Fill=—","Direction=H","UseDPDF=Y")</f>
        <v>1002</v>
      </c>
      <c r="E63" s="17">
        <f>_xll.BDH("LUMN US Equity","EBIT","FQ1 2019","FQ1 2019","Currency=USD","Period=FQ","BEST_FPERIOD_OVERRIDE=FQ","FILING_STATUS=MR","SCALING_FORMAT=MLN","FA_ADJUSTED=Adjusted","Sort=A","Dates=H","DateFormat=P","Fill=—","Direction=H","UseDPDF=Y")</f>
        <v>1041</v>
      </c>
      <c r="F63" s="17">
        <f>_xll.BDH("LUMN US Equity","EBIT","FQ2 2019","FQ2 2019","Currency=USD","Period=FQ","BEST_FPERIOD_OVERRIDE=FQ","FILING_STATUS=MR","SCALING_FORMAT=MLN","FA_ADJUSTED=Adjusted","Sort=A","Dates=H","DateFormat=P","Fill=—","Direction=H","UseDPDF=Y")</f>
        <v>1030</v>
      </c>
      <c r="G63" s="17">
        <f>_xll.BDH("LUMN US Equity","EBIT","FQ3 2019","FQ3 2019","Currency=USD","Period=FQ","BEST_FPERIOD_OVERRIDE=FQ","FILING_STATUS=MR","SCALING_FORMAT=MLN","FA_ADJUSTED=Adjusted","Sort=A","Dates=H","DateFormat=P","Fill=—","Direction=H","UseDPDF=Y")</f>
        <v>988</v>
      </c>
      <c r="H63" s="17">
        <f>_xll.BDH("LUMN US Equity","EBIT","FQ4 2019","FQ4 2019","Currency=USD","Period=FQ","BEST_FPERIOD_OVERRIDE=FQ","FILING_STATUS=MR","SCALING_FORMAT=MLN","FA_ADJUSTED=Adjusted","Sort=A","Dates=H","DateFormat=P","Fill=—","Direction=H","UseDPDF=Y")</f>
        <v>1020</v>
      </c>
      <c r="I63" s="17">
        <f>_xll.BDH("LUMN US Equity","EBIT","FQ1 2020","FQ1 2020","Currency=USD","Period=FQ","BEST_FPERIOD_OVERRIDE=FQ","FILING_STATUS=MR","SCALING_FORMAT=MLN","FA_ADJUSTED=Adjusted","Sort=A","Dates=H","DateFormat=P","Fill=—","Direction=H","UseDPDF=Y")</f>
        <v>1014</v>
      </c>
      <c r="J63" s="17">
        <f>_xll.BDH("LUMN US Equity","EBIT","FQ2 2020","FQ2 2020","Currency=USD","Period=FQ","BEST_FPERIOD_OVERRIDE=FQ","FILING_STATUS=MR","SCALING_FORMAT=MLN","FA_ADJUSTED=Adjusted","Sort=A","Dates=H","DateFormat=P","Fill=—","Direction=H","UseDPDF=Y")</f>
        <v>992</v>
      </c>
      <c r="K63" s="17">
        <v>1810.3330000000001</v>
      </c>
      <c r="L63" s="17">
        <v>2346.5</v>
      </c>
    </row>
    <row r="64" spans="1:12" x14ac:dyDescent="0.25">
      <c r="A64" s="16" t="s">
        <v>74</v>
      </c>
      <c r="B64" s="16" t="s">
        <v>73</v>
      </c>
      <c r="C64" s="15">
        <f>_xll.BDH("LUMN US Equity","GROSS_MARGIN","FQ3 2018","FQ3 2018","Currency=USD","Period=FQ","BEST_FPERIOD_OVERRIDE=FQ","FILING_STATUS=MR","FA_ADJUSTED=Adjusted","Sort=A","Dates=H","DateFormat=P","Fill=—","Direction=H","UseDPDF=Y")</f>
        <v>54.073599999999999</v>
      </c>
      <c r="D64" s="15">
        <f>_xll.BDH("LUMN US Equity","GROSS_MARGIN","FQ4 2018","FQ4 2018","Currency=USD","Period=FQ","BEST_FPERIOD_OVERRIDE=FQ","FILING_STATUS=MR","FA_ADJUSTED=Adjusted","Sort=A","Dates=H","DateFormat=P","Fill=—","Direction=H","UseDPDF=Y")</f>
        <v>54.0152</v>
      </c>
      <c r="E64" s="15">
        <f>_xll.BDH("LUMN US Equity","GROSS_MARGIN","FQ1 2019","FQ1 2019","Currency=USD","Period=FQ","BEST_FPERIOD_OVERRIDE=FQ","FILING_STATUS=MR","FA_ADJUSTED=Adjusted","Sort=A","Dates=H","DateFormat=P","Fill=—","Direction=H","UseDPDF=Y")</f>
        <v>57.619300000000003</v>
      </c>
      <c r="F64" s="15">
        <f>_xll.BDH("LUMN US Equity","GROSS_MARGIN","FQ2 2019","FQ2 2019","Currency=USD","Period=FQ","BEST_FPERIOD_OVERRIDE=FQ","FILING_STATUS=MR","FA_ADJUSTED=Adjusted","Sort=A","Dates=H","DateFormat=P","Fill=—","Direction=H","UseDPDF=Y")</f>
        <v>58.269799999999996</v>
      </c>
      <c r="G64" s="15">
        <f>_xll.BDH("LUMN US Equity","GROSS_MARGIN","FQ3 2019","FQ3 2019","Currency=USD","Period=FQ","BEST_FPERIOD_OVERRIDE=FQ","FILING_STATUS=MR","FA_ADJUSTED=Adjusted","Sort=A","Dates=H","DateFormat=P","Fill=—","Direction=H","UseDPDF=Y")</f>
        <v>53.799500000000002</v>
      </c>
      <c r="H64" s="15">
        <f>_xll.BDH("LUMN US Equity","GROSS_MARGIN","FQ4 2019","FQ4 2019","Currency=USD","Period=FQ","BEST_FPERIOD_OVERRIDE=FQ","FILING_STATUS=MR","FA_ADJUSTED=Adjusted","Sort=A","Dates=H","DateFormat=P","Fill=—","Direction=H","UseDPDF=Y")</f>
        <v>54.739699999999999</v>
      </c>
      <c r="I64" s="15">
        <f>_xll.BDH("LUMN US Equity","GROSS_MARGIN","FQ1 2020","FQ1 2020","Currency=USD","Period=FQ","BEST_FPERIOD_OVERRIDE=FQ","FILING_STATUS=MR","FA_ADJUSTED=Adjusted","Sort=A","Dates=H","DateFormat=P","Fill=—","Direction=H","UseDPDF=Y")</f>
        <v>57.249400000000001</v>
      </c>
      <c r="J64" s="15">
        <f>_xll.BDH("LUMN US Equity","GROSS_MARGIN","FQ2 2020","FQ2 2020","Currency=USD","Period=FQ","BEST_FPERIOD_OVERRIDE=FQ","FILING_STATUS=MR","FA_ADJUSTED=Adjusted","Sort=A","Dates=H","DateFormat=P","Fill=—","Direction=H","UseDPDF=Y")</f>
        <v>57.010800000000003</v>
      </c>
      <c r="K64" s="15">
        <v>56.552999999999997</v>
      </c>
      <c r="L64" s="15">
        <v>56.902000000000001</v>
      </c>
    </row>
    <row r="65" spans="1:12" x14ac:dyDescent="0.25">
      <c r="A65" s="16" t="s">
        <v>72</v>
      </c>
      <c r="B65" s="16" t="s">
        <v>71</v>
      </c>
      <c r="C65" s="15">
        <f>_xll.BDH("LUMN US Equity","OPER_MARGIN","FQ3 2018","FQ3 2018","Currency=USD","Period=FQ","BEST_FPERIOD_OVERRIDE=FQ","FILING_STATUS=MR","FA_ADJUSTED=Adjusted","Sort=A","Dates=H","DateFormat=P","Fill=—","Direction=H","UseDPDF=Y")</f>
        <v>16.070799999999998</v>
      </c>
      <c r="D65" s="15">
        <f>_xll.BDH("LUMN US Equity","OPER_MARGIN","FQ4 2018","FQ4 2018","Currency=USD","Period=FQ","BEST_FPERIOD_OVERRIDE=FQ","FILING_STATUS=MR","FA_ADJUSTED=Adjusted","Sort=A","Dates=H","DateFormat=P","Fill=—","Direction=H","UseDPDF=Y")</f>
        <v>17.3416</v>
      </c>
      <c r="E65" s="15">
        <f>_xll.BDH("LUMN US Equity","OPER_MARGIN","FQ1 2019","FQ1 2019","Currency=USD","Period=FQ","BEST_FPERIOD_OVERRIDE=FQ","FILING_STATUS=MR","FA_ADJUSTED=Adjusted","Sort=A","Dates=H","DateFormat=P","Fill=—","Direction=H","UseDPDF=Y")</f>
        <v>19.181899999999999</v>
      </c>
      <c r="F65" s="15">
        <f>_xll.BDH("LUMN US Equity","OPER_MARGIN","FQ2 2019","FQ2 2019","Currency=USD","Period=FQ","BEST_FPERIOD_OVERRIDE=FQ","FILING_STATUS=MR","FA_ADJUSTED=Adjusted","Sort=A","Dates=H","DateFormat=P","Fill=—","Direction=H","UseDPDF=Y")</f>
        <v>19.162800000000001</v>
      </c>
      <c r="G65" s="15">
        <f>_xll.BDH("LUMN US Equity","OPER_MARGIN","FQ3 2019","FQ3 2019","Currency=USD","Period=FQ","BEST_FPERIOD_OVERRIDE=FQ","FILING_STATUS=MR","FA_ADJUSTED=Adjusted","Sort=A","Dates=H","DateFormat=P","Fill=—","Direction=H","UseDPDF=Y")</f>
        <v>17.623999999999999</v>
      </c>
      <c r="H65" s="15">
        <f>_xll.BDH("LUMN US Equity","OPER_MARGIN","FQ4 2019","FQ4 2019","Currency=USD","Period=FQ","BEST_FPERIOD_OVERRIDE=FQ","FILING_STATUS=MR","FA_ADJUSTED=Adjusted","Sort=A","Dates=H","DateFormat=P","Fill=—","Direction=H","UseDPDF=Y")</f>
        <v>18.3124</v>
      </c>
      <c r="I65" s="15">
        <f>_xll.BDH("LUMN US Equity","OPER_MARGIN","FQ1 2020","FQ1 2020","Currency=USD","Period=FQ","BEST_FPERIOD_OVERRIDE=FQ","FILING_STATUS=MR","FA_ADJUSTED=Adjusted","Sort=A","Dates=H","DateFormat=P","Fill=—","Direction=H","UseDPDF=Y")</f>
        <v>19.395600000000002</v>
      </c>
      <c r="J65" s="15">
        <f>_xll.BDH("LUMN US Equity","OPER_MARGIN","FQ2 2020","FQ2 2020","Currency=USD","Period=FQ","BEST_FPERIOD_OVERRIDE=FQ","FILING_STATUS=MR","FA_ADJUSTED=Adjusted","Sort=A","Dates=H","DateFormat=P","Fill=—","Direction=H","UseDPDF=Y")</f>
        <v>19.106300000000001</v>
      </c>
      <c r="K65" s="15">
        <v>35.246084364383698</v>
      </c>
      <c r="L65" s="15">
        <v>45.993697109208398</v>
      </c>
    </row>
    <row r="66" spans="1:12" x14ac:dyDescent="0.25">
      <c r="A66" s="16" t="s">
        <v>70</v>
      </c>
      <c r="B66" s="16" t="s">
        <v>69</v>
      </c>
      <c r="C66" s="15">
        <f>_xll.BDH("LUMN US Equity","PROF_MARGIN","FQ3 2018","FQ3 2018","Currency=USD","Period=FQ","BEST_FPERIOD_OVERRIDE=FQ","FILING_STATUS=MR","FA_ADJUSTED=Adjusted","Sort=A","Dates=H","DateFormat=P","Fill=—","Direction=H","UseDPDF=Y")</f>
        <v>5.6204999999999998</v>
      </c>
      <c r="D66" s="15">
        <f>_xll.BDH("LUMN US Equity","PROF_MARGIN","FQ4 2018","FQ4 2018","Currency=USD","Period=FQ","BEST_FPERIOD_OVERRIDE=FQ","FILING_STATUS=MR","FA_ADJUSTED=Adjusted","Sort=A","Dates=H","DateFormat=P","Fill=—","Direction=H","UseDPDF=Y")</f>
        <v>6.6631999999999998</v>
      </c>
      <c r="E66" s="15">
        <f>_xll.BDH("LUMN US Equity","PROF_MARGIN","FQ1 2019","FQ1 2019","Currency=USD","Period=FQ","BEST_FPERIOD_OVERRIDE=FQ","FILING_STATUS=MR","FA_ADJUSTED=Adjusted","Sort=A","Dates=H","DateFormat=P","Fill=—","Direction=H","UseDPDF=Y")</f>
        <v>6.6334999999999997</v>
      </c>
      <c r="F66" s="15">
        <f>_xll.BDH("LUMN US Equity","PROF_MARGIN","FQ2 2019","FQ2 2019","Currency=USD","Period=FQ","BEST_FPERIOD_OVERRIDE=FQ","FILING_STATUS=MR","FA_ADJUSTED=Adjusted","Sort=A","Dates=H","DateFormat=P","Fill=—","Direction=H","UseDPDF=Y")</f>
        <v>6.8651</v>
      </c>
      <c r="G66" s="15">
        <f>_xll.BDH("LUMN US Equity","PROF_MARGIN","FQ3 2019","FQ3 2019","Currency=USD","Period=FQ","BEST_FPERIOD_OVERRIDE=FQ","FILING_STATUS=MR","FA_ADJUSTED=Adjusted","Sort=A","Dates=H","DateFormat=P","Fill=—","Direction=H","UseDPDF=Y")</f>
        <v>5.8509000000000002</v>
      </c>
      <c r="H66" s="15">
        <f>_xll.BDH("LUMN US Equity","PROF_MARGIN","FQ4 2019","FQ4 2019","Currency=USD","Period=FQ","BEST_FPERIOD_OVERRIDE=FQ","FILING_STATUS=MR","FA_ADJUSTED=Adjusted","Sort=A","Dates=H","DateFormat=P","Fill=—","Direction=H","UseDPDF=Y")</f>
        <v>6.3196000000000003</v>
      </c>
      <c r="I66" s="15">
        <f>_xll.BDH("LUMN US Equity","PROF_MARGIN","FQ1 2020","FQ1 2020","Currency=USD","Period=FQ","BEST_FPERIOD_OVERRIDE=FQ","FILING_STATUS=MR","FA_ADJUSTED=Adjusted","Sort=A","Dates=H","DateFormat=P","Fill=—","Direction=H","UseDPDF=Y")</f>
        <v>7.6319999999999997</v>
      </c>
      <c r="J66" s="15">
        <f>_xll.BDH("LUMN US Equity","PROF_MARGIN","FQ2 2020","FQ2 2020","Currency=USD","Period=FQ","BEST_FPERIOD_OVERRIDE=FQ","FILING_STATUS=MR","FA_ADJUSTED=Adjusted","Sort=A","Dates=H","DateFormat=P","Fill=—","Direction=H","UseDPDF=Y")</f>
        <v>8.6671999999999993</v>
      </c>
      <c r="K66" s="15">
        <v>6.1912669259600399</v>
      </c>
      <c r="L66" s="15">
        <v>6.2135103275598</v>
      </c>
    </row>
    <row r="67" spans="1:12" x14ac:dyDescent="0.25">
      <c r="A67" s="16" t="s">
        <v>68</v>
      </c>
      <c r="B67" s="16" t="s">
        <v>67</v>
      </c>
      <c r="C67" s="15" t="str">
        <f>_xll.BDH("LUMN US Equity","ACTUAL_SALES_PER_EMPL","FQ3 2018","FQ3 2018","Currency=USD","Period=FQ","BEST_FPERIOD_OVERRIDE=FQ","FILING_STATUS=MR","FA_ADJUSTED=Adjusted","Sort=A","Dates=H","DateFormat=P","Fill=—","Direction=H","UseDPDF=Y")</f>
        <v>—</v>
      </c>
      <c r="D67" s="15">
        <f>_xll.BDH("LUMN US Equity","ACTUAL_SALES_PER_EMPL","FQ4 2018","FQ4 2018","Currency=USD","Period=FQ","BEST_FPERIOD_OVERRIDE=FQ","FILING_STATUS=MR","FA_ADJUSTED=Adjusted","Sort=A","Dates=H","DateFormat=P","Fill=—","Direction=H","UseDPDF=Y")</f>
        <v>128400</v>
      </c>
      <c r="E67" s="15" t="str">
        <f>_xll.BDH("LUMN US Equity","ACTUAL_SALES_PER_EMPL","FQ1 2019","FQ1 2019","Currency=USD","Period=FQ","BEST_FPERIOD_OVERRIDE=FQ","FILING_STATUS=MR","FA_ADJUSTED=Adjusted","Sort=A","Dates=H","DateFormat=P","Fill=—","Direction=H","UseDPDF=Y")</f>
        <v>—</v>
      </c>
      <c r="F67" s="15">
        <f>_xll.BDH("LUMN US Equity","ACTUAL_SALES_PER_EMPL","FQ2 2019","FQ2 2019","Currency=USD","Period=FQ","BEST_FPERIOD_OVERRIDE=FQ","FILING_STATUS=MR","FA_ADJUSTED=Adjusted","Sort=A","Dates=H","DateFormat=P","Fill=—","Direction=H","UseDPDF=Y")</f>
        <v>125000</v>
      </c>
      <c r="G67" s="15" t="str">
        <f>_xll.BDH("LUMN US Equity","ACTUAL_SALES_PER_EMPL","FQ3 2019","FQ3 2019","Currency=USD","Period=FQ","BEST_FPERIOD_OVERRIDE=FQ","FILING_STATUS=MR","FA_ADJUSTED=Adjusted","Sort=A","Dates=H","DateFormat=P","Fill=—","Direction=H","UseDPDF=Y")</f>
        <v>—</v>
      </c>
      <c r="H67" s="15">
        <f>_xll.BDH("LUMN US Equity","ACTUAL_SALES_PER_EMPL","FQ4 2019","FQ4 2019","Currency=USD","Period=FQ","BEST_FPERIOD_OVERRIDE=FQ","FILING_STATUS=MR","FA_ADJUSTED=Adjusted","Sort=A","Dates=H","DateFormat=P","Fill=—","Direction=H","UseDPDF=Y")</f>
        <v>131058.8235</v>
      </c>
      <c r="I67" s="15" t="str">
        <f>_xll.BDH("LUMN US Equity","ACTUAL_SALES_PER_EMPL","FQ1 2020","FQ1 2020","Currency=USD","Period=FQ","BEST_FPERIOD_OVERRIDE=FQ","FILING_STATUS=MR","FA_ADJUSTED=Adjusted","Sort=A","Dates=H","DateFormat=P","Fill=—","Direction=H","UseDPDF=Y")</f>
        <v>—</v>
      </c>
      <c r="J67" s="15">
        <f>_xll.BDH("LUMN US Equity","ACTUAL_SALES_PER_EMPL","FQ2 2020","FQ2 2020","Currency=USD","Period=FQ","BEST_FPERIOD_OVERRIDE=FQ","FILING_STATUS=MR","FA_ADJUSTED=Adjusted","Sort=A","Dates=H","DateFormat=P","Fill=—","Direction=H","UseDPDF=Y")</f>
        <v>129800</v>
      </c>
      <c r="K67" s="15"/>
      <c r="L67" s="15"/>
    </row>
    <row r="68" spans="1:12" x14ac:dyDescent="0.25">
      <c r="A68" s="16" t="s">
        <v>66</v>
      </c>
      <c r="B68" s="16" t="s">
        <v>65</v>
      </c>
      <c r="C68" s="15">
        <f>_xll.BDH("LUMN US Equity","EQY_DPS","FQ3 2018","FQ3 2018","Currency=USD","Period=FQ","BEST_FPERIOD_OVERRIDE=FQ","FILING_STATUS=MR","Sort=A","Dates=H","DateFormat=P","Fill=—","Direction=H","UseDPDF=Y")</f>
        <v>0.54</v>
      </c>
      <c r="D68" s="15">
        <f>_xll.BDH("LUMN US Equity","EQY_DPS","FQ4 2018","FQ4 2018","Currency=USD","Period=FQ","BEST_FPERIOD_OVERRIDE=FQ","FILING_STATUS=MR","Sort=A","Dates=H","DateFormat=P","Fill=—","Direction=H","UseDPDF=Y")</f>
        <v>0.54</v>
      </c>
      <c r="E68" s="15">
        <f>_xll.BDH("LUMN US Equity","EQY_DPS","FQ1 2019","FQ1 2019","Currency=USD","Period=FQ","BEST_FPERIOD_OVERRIDE=FQ","FILING_STATUS=MR","Sort=A","Dates=H","DateFormat=P","Fill=—","Direction=H","UseDPDF=Y")</f>
        <v>0.25</v>
      </c>
      <c r="F68" s="15">
        <f>_xll.BDH("LUMN US Equity","EQY_DPS","FQ2 2019","FQ2 2019","Currency=USD","Period=FQ","BEST_FPERIOD_OVERRIDE=FQ","FILING_STATUS=MR","Sort=A","Dates=H","DateFormat=P","Fill=—","Direction=H","UseDPDF=Y")</f>
        <v>0.25</v>
      </c>
      <c r="G68" s="15">
        <f>_xll.BDH("LUMN US Equity","EQY_DPS","FQ3 2019","FQ3 2019","Currency=USD","Period=FQ","BEST_FPERIOD_OVERRIDE=FQ","FILING_STATUS=MR","Sort=A","Dates=H","DateFormat=P","Fill=—","Direction=H","UseDPDF=Y")</f>
        <v>0.25</v>
      </c>
      <c r="H68" s="15">
        <f>_xll.BDH("LUMN US Equity","EQY_DPS","FQ4 2019","FQ4 2019","Currency=USD","Period=FQ","BEST_FPERIOD_OVERRIDE=FQ","FILING_STATUS=MR","Sort=A","Dates=H","DateFormat=P","Fill=—","Direction=H","UseDPDF=Y")</f>
        <v>0.25</v>
      </c>
      <c r="I68" s="15">
        <f>_xll.BDH("LUMN US Equity","EQY_DPS","FQ1 2020","FQ1 2020","Currency=USD","Period=FQ","BEST_FPERIOD_OVERRIDE=FQ","FILING_STATUS=MR","Sort=A","Dates=H","DateFormat=P","Fill=—","Direction=H","UseDPDF=Y")</f>
        <v>0.25</v>
      </c>
      <c r="J68" s="15">
        <f>_xll.BDH("LUMN US Equity","EQY_DPS","FQ2 2020","FQ2 2020","Currency=USD","Period=FQ","BEST_FPERIOD_OVERRIDE=FQ","FILING_STATUS=MR","Sort=A","Dates=H","DateFormat=P","Fill=—","Direction=H","UseDPDF=Y")</f>
        <v>0.25</v>
      </c>
      <c r="K68" s="15">
        <v>0.25</v>
      </c>
      <c r="L68" s="15">
        <v>0.25</v>
      </c>
    </row>
    <row r="69" spans="1:12" x14ac:dyDescent="0.25">
      <c r="A69" s="16" t="s">
        <v>64</v>
      </c>
      <c r="B69" s="16" t="s">
        <v>63</v>
      </c>
      <c r="C69" s="17">
        <f>_xll.BDH("LUMN US Equity","IS_TOT_CASH_COM_DVD","FQ3 2018","FQ3 2018","Currency=USD","Period=FQ","BEST_FPERIOD_OVERRIDE=FQ","FILING_STATUS=MR","SCALING_FORMAT=MLN","Sort=A","Dates=H","DateFormat=P","Fill=—","Direction=H","UseDPDF=Y")</f>
        <v>576.12819999999999</v>
      </c>
      <c r="D69" s="17">
        <f>_xll.BDH("LUMN US Equity","IS_TOT_CASH_COM_DVD","FQ4 2018","FQ4 2018","Currency=USD","Period=FQ","BEST_FPERIOD_OVERRIDE=FQ","FILING_STATUS=MR","SCALING_FORMAT=MLN","Sort=A","Dates=H","DateFormat=P","Fill=—","Direction=H","UseDPDF=Y")</f>
        <v>576.30640000000005</v>
      </c>
      <c r="E69" s="17">
        <f>_xll.BDH("LUMN US Equity","IS_TOT_CASH_COM_DVD","FQ1 2019","FQ1 2019","Currency=USD","Period=FQ","BEST_FPERIOD_OVERRIDE=FQ","FILING_STATUS=MR","SCALING_FORMAT=MLN","Sort=A","Dates=H","DateFormat=P","Fill=—","Direction=H","UseDPDF=Y")</f>
        <v>267.21949999999998</v>
      </c>
      <c r="F69" s="17">
        <f>_xll.BDH("LUMN US Equity","IS_TOT_CASH_COM_DVD","FQ2 2019","FQ2 2019","Currency=USD","Period=FQ","BEST_FPERIOD_OVERRIDE=FQ","FILING_STATUS=MR","SCALING_FORMAT=MLN","Sort=A","Dates=H","DateFormat=P","Fill=—","Direction=H","UseDPDF=Y")</f>
        <v>267.83519999999999</v>
      </c>
      <c r="G69" s="17">
        <f>_xll.BDH("LUMN US Equity","IS_TOT_CASH_COM_DVD","FQ3 2019","FQ3 2019","Currency=USD","Period=FQ","BEST_FPERIOD_OVERRIDE=FQ","FILING_STATUS=MR","SCALING_FORMAT=MLN","Sort=A","Dates=H","DateFormat=P","Fill=—","Direction=H","UseDPDF=Y")</f>
        <v>268.13569999999999</v>
      </c>
      <c r="H69" s="17">
        <f>_xll.BDH("LUMN US Equity","IS_TOT_CASH_COM_DVD","FQ4 2019","FQ4 2019","Currency=USD","Period=FQ","BEST_FPERIOD_OVERRIDE=FQ","FILING_STATUS=MR","SCALING_FORMAT=MLN","Sort=A","Dates=H","DateFormat=P","Fill=—","Direction=H","UseDPDF=Y")</f>
        <v>268.25</v>
      </c>
      <c r="I69" s="17">
        <f>_xll.BDH("LUMN US Equity","IS_TOT_CASH_COM_DVD","FQ1 2020","FQ1 2020","Currency=USD","Period=FQ","BEST_FPERIOD_OVERRIDE=FQ","FILING_STATUS=MR","SCALING_FORMAT=MLN","Sort=A","Dates=H","DateFormat=P","Fill=—","Direction=H","UseDPDF=Y")</f>
        <v>268.8648</v>
      </c>
      <c r="J69" s="17">
        <f>_xll.BDH("LUMN US Equity","IS_TOT_CASH_COM_DVD","FQ2 2020","FQ2 2020","Currency=USD","Period=FQ","BEST_FPERIOD_OVERRIDE=FQ","FILING_STATUS=MR","SCALING_FORMAT=MLN","Sort=A","Dates=H","DateFormat=P","Fill=—","Direction=H","UseDPDF=Y")</f>
        <v>269.86869999999999</v>
      </c>
      <c r="K69" s="17"/>
      <c r="L69" s="17"/>
    </row>
    <row r="70" spans="1:12" x14ac:dyDescent="0.25">
      <c r="A70" s="16" t="s">
        <v>62</v>
      </c>
      <c r="B70" s="16" t="s">
        <v>61</v>
      </c>
      <c r="C70" s="17" t="str">
        <f>_xll.BDH("LUMN US Equity","IS_CAP_INT_EXP","FQ3 2018","FQ3 2018","Currency=USD","Period=FQ","BEST_FPERIOD_OVERRIDE=FQ","FILING_STATUS=MR","SCALING_FORMAT=MLN","Sort=A","Dates=H","DateFormat=P","Fill=—","Direction=H","UseDPDF=Y")</f>
        <v>—</v>
      </c>
      <c r="D70" s="17" t="str">
        <f>_xll.BDH("LUMN US Equity","IS_CAP_INT_EXP","FQ4 2018","FQ4 2018","Currency=USD","Period=FQ","BEST_FPERIOD_OVERRIDE=FQ","FILING_STATUS=MR","SCALING_FORMAT=MLN","Sort=A","Dates=H","DateFormat=P","Fill=—","Direction=H","UseDPDF=Y")</f>
        <v>—</v>
      </c>
      <c r="E70" s="17">
        <f>_xll.BDH("LUMN US Equity","IS_CAP_INT_EXP","FQ1 2019","FQ1 2019","Currency=USD","Period=FQ","BEST_FPERIOD_OVERRIDE=FQ","FILING_STATUS=MR","SCALING_FORMAT=MLN","Sort=A","Dates=H","DateFormat=P","Fill=—","Direction=H","UseDPDF=Y")</f>
        <v>15</v>
      </c>
      <c r="F70" s="17">
        <f>_xll.BDH("LUMN US Equity","IS_CAP_INT_EXP","FQ2 2019","FQ2 2019","Currency=USD","Period=FQ","BEST_FPERIOD_OVERRIDE=FQ","FILING_STATUS=MR","SCALING_FORMAT=MLN","Sort=A","Dates=H","DateFormat=P","Fill=—","Direction=H","UseDPDF=Y")</f>
        <v>17</v>
      </c>
      <c r="G70" s="17" t="str">
        <f>_xll.BDH("LUMN US Equity","IS_CAP_INT_EXP","FQ3 2019","FQ3 2019","Currency=USD","Period=FQ","BEST_FPERIOD_OVERRIDE=FQ","FILING_STATUS=MR","SCALING_FORMAT=MLN","Sort=A","Dates=H","DateFormat=P","Fill=—","Direction=H","UseDPDF=Y")</f>
        <v>—</v>
      </c>
      <c r="H70" s="17" t="str">
        <f>_xll.BDH("LUMN US Equity","IS_CAP_INT_EXP","FQ4 2019","FQ4 2019","Currency=USD","Period=FQ","BEST_FPERIOD_OVERRIDE=FQ","FILING_STATUS=MR","SCALING_FORMAT=MLN","Sort=A","Dates=H","DateFormat=P","Fill=—","Direction=H","UseDPDF=Y")</f>
        <v>—</v>
      </c>
      <c r="I70" s="17">
        <f>_xll.BDH("LUMN US Equity","IS_CAP_INT_EXP","FQ1 2020","FQ1 2020","Currency=USD","Period=FQ","BEST_FPERIOD_OVERRIDE=FQ","FILING_STATUS=MR","SCALING_FORMAT=MLN","Sort=A","Dates=H","DateFormat=P","Fill=—","Direction=H","UseDPDF=Y")</f>
        <v>23</v>
      </c>
      <c r="J70" s="17">
        <f>_xll.BDH("LUMN US Equity","IS_CAP_INT_EXP","FQ2 2020","FQ2 2020","Currency=USD","Period=FQ","BEST_FPERIOD_OVERRIDE=FQ","FILING_STATUS=MR","SCALING_FORMAT=MLN","Sort=A","Dates=H","DateFormat=P","Fill=—","Direction=H","UseDPDF=Y")</f>
        <v>20</v>
      </c>
      <c r="K70" s="17"/>
      <c r="L70" s="17"/>
    </row>
    <row r="71" spans="1:12" x14ac:dyDescent="0.25">
      <c r="A71" s="16" t="s">
        <v>60</v>
      </c>
      <c r="B71" s="16" t="s">
        <v>59</v>
      </c>
      <c r="C71" s="17">
        <f>_xll.BDH("LUMN US Equity","IS_DEPR_EXP","FQ3 2018","FQ3 2018","Currency=USD","Period=FQ","BEST_FPERIOD_OVERRIDE=FQ","FILING_STATUS=MR","SCALING_FORMAT=MLN","Sort=A","Dates=H","DateFormat=P","Fill=—","Direction=H","UseDPDF=Y")</f>
        <v>839</v>
      </c>
      <c r="D71" s="17">
        <f>_xll.BDH("LUMN US Equity","IS_DEPR_EXP","FQ4 2018","FQ4 2018","Currency=USD","Period=FQ","BEST_FPERIOD_OVERRIDE=FQ","FILING_STATUS=MR","SCALING_FORMAT=MLN","Sort=A","Dates=H","DateFormat=P","Fill=—","Direction=H","UseDPDF=Y")</f>
        <v>817</v>
      </c>
      <c r="E71" s="17">
        <f>_xll.BDH("LUMN US Equity","IS_DEPR_EXP","FQ1 2019","FQ1 2019","Currency=USD","Period=FQ","BEST_FPERIOD_OVERRIDE=FQ","FILING_STATUS=MR","SCALING_FORMAT=MLN","Sort=A","Dates=H","DateFormat=P","Fill=—","Direction=H","UseDPDF=Y")</f>
        <v>759</v>
      </c>
      <c r="F71" s="17">
        <f>_xll.BDH("LUMN US Equity","IS_DEPR_EXP","FQ2 2019","FQ2 2019","Currency=USD","Period=FQ","BEST_FPERIOD_OVERRIDE=FQ","FILING_STATUS=MR","SCALING_FORMAT=MLN","Sort=A","Dates=H","DateFormat=P","Fill=—","Direction=H","UseDPDF=Y")</f>
        <v>756</v>
      </c>
      <c r="G71" s="17">
        <f>_xll.BDH("LUMN US Equity","IS_DEPR_EXP","FQ3 2019","FQ3 2019","Currency=USD","Period=FQ","BEST_FPERIOD_OVERRIDE=FQ","FILING_STATUS=MR","SCALING_FORMAT=MLN","Sort=A","Dates=H","DateFormat=P","Fill=—","Direction=H","UseDPDF=Y")</f>
        <v>797</v>
      </c>
      <c r="H71" s="17">
        <f>_xll.BDH("LUMN US Equity","IS_DEPR_EXP","FQ4 2019","FQ4 2019","Currency=USD","Period=FQ","BEST_FPERIOD_OVERRIDE=FQ","FILING_STATUS=MR","SCALING_FORMAT=MLN","Sort=A","Dates=H","DateFormat=P","Fill=—","Direction=H","UseDPDF=Y")</f>
        <v>777</v>
      </c>
      <c r="I71" s="17">
        <f>_xll.BDH("LUMN US Equity","IS_DEPR_EXP","FQ1 2020","FQ1 2020","Currency=USD","Period=FQ","BEST_FPERIOD_OVERRIDE=FQ","FILING_STATUS=MR","SCALING_FORMAT=MLN","Sort=A","Dates=H","DateFormat=P","Fill=—","Direction=H","UseDPDF=Y")</f>
        <v>729</v>
      </c>
      <c r="J71" s="17">
        <f>_xll.BDH("LUMN US Equity","IS_DEPR_EXP","FQ2 2020","FQ2 2020","Currency=USD","Period=FQ","BEST_FPERIOD_OVERRIDE=FQ","FILING_STATUS=MR","SCALING_FORMAT=MLN","Sort=A","Dates=H","DateFormat=P","Fill=—","Direction=H","UseDPDF=Y")</f>
        <v>722</v>
      </c>
      <c r="K71" s="17"/>
      <c r="L71" s="17"/>
    </row>
    <row r="72" spans="1:12" x14ac:dyDescent="0.25">
      <c r="A72" s="16" t="s">
        <v>58</v>
      </c>
      <c r="B72" s="16" t="s">
        <v>57</v>
      </c>
      <c r="C72" s="17" t="str">
        <f>_xll.BDH("LUMN US Equity","BS_CURR_RENTAL_EXPENSE","FQ3 2018","FQ3 2018","Currency=USD","Period=FQ","BEST_FPERIOD_OVERRIDE=FQ","FILING_STATUS=MR","SCALING_FORMAT=MLN","Sort=A","Dates=H","DateFormat=P","Fill=—","Direction=H","UseDPDF=Y")</f>
        <v>—</v>
      </c>
      <c r="D72" s="17" t="str">
        <f>_xll.BDH("LUMN US Equity","BS_CURR_RENTAL_EXPENSE","FQ4 2018","FQ4 2018","Currency=USD","Period=FQ","BEST_FPERIOD_OVERRIDE=FQ","FILING_STATUS=MR","SCALING_FORMAT=MLN","Sort=A","Dates=H","DateFormat=P","Fill=—","Direction=H","UseDPDF=Y")</f>
        <v>—</v>
      </c>
      <c r="E72" s="17" t="str">
        <f>_xll.BDH("LUMN US Equity","BS_CURR_RENTAL_EXPENSE","FQ1 2019","FQ1 2019","Currency=USD","Period=FQ","BEST_FPERIOD_OVERRIDE=FQ","FILING_STATUS=MR","SCALING_FORMAT=MLN","Sort=A","Dates=H","DateFormat=P","Fill=—","Direction=H","UseDPDF=Y")</f>
        <v>—</v>
      </c>
      <c r="F72" s="17">
        <f>_xll.BDH("LUMN US Equity","BS_CURR_RENTAL_EXPENSE","FQ2 2019","FQ2 2019","Currency=USD","Period=FQ","BEST_FPERIOD_OVERRIDE=FQ","FILING_STATUS=MR","SCALING_FORMAT=MLN","Sort=A","Dates=H","DateFormat=P","Fill=—","Direction=H","UseDPDF=Y")</f>
        <v>166</v>
      </c>
      <c r="G72" s="17">
        <f>_xll.BDH("LUMN US Equity","BS_CURR_RENTAL_EXPENSE","FQ3 2019","FQ3 2019","Currency=USD","Period=FQ","BEST_FPERIOD_OVERRIDE=FQ","FILING_STATUS=MR","SCALING_FORMAT=MLN","Sort=A","Dates=H","DateFormat=P","Fill=—","Direction=H","UseDPDF=Y")</f>
        <v>157</v>
      </c>
      <c r="H72" s="17">
        <f>_xll.BDH("LUMN US Equity","BS_CURR_RENTAL_EXPENSE","FQ4 2019","FQ4 2019","Currency=USD","Period=FQ","BEST_FPERIOD_OVERRIDE=FQ","FILING_STATUS=MR","SCALING_FORMAT=MLN","Sort=A","Dates=H","DateFormat=P","Fill=—","Direction=H","UseDPDF=Y")</f>
        <v>161</v>
      </c>
      <c r="I72" s="17" t="str">
        <f>_xll.BDH("LUMN US Equity","BS_CURR_RENTAL_EXPENSE","FQ1 2020","FQ1 2020","Currency=USD","Period=FQ","BEST_FPERIOD_OVERRIDE=FQ","FILING_STATUS=MR","SCALING_FORMAT=MLN","Sort=A","Dates=H","DateFormat=P","Fill=—","Direction=H","UseDPDF=Y")</f>
        <v>—</v>
      </c>
      <c r="J72" s="17" t="str">
        <f>_xll.BDH("LUMN US Equity","BS_CURR_RENTAL_EXPENSE","FQ2 2020","FQ2 2020","Currency=USD","Period=FQ","BEST_FPERIOD_OVERRIDE=FQ","FILING_STATUS=MR","SCALING_FORMAT=MLN","Sort=A","Dates=H","DateFormat=P","Fill=—","Direction=H","UseDPDF=Y")</f>
        <v>—</v>
      </c>
      <c r="K72" s="17"/>
      <c r="L72" s="17"/>
    </row>
    <row r="73" spans="1:12" x14ac:dyDescent="0.25">
      <c r="A73" s="18" t="s">
        <v>56</v>
      </c>
      <c r="B73" s="18"/>
      <c r="C73" s="18" t="s">
        <v>3</v>
      </c>
      <c r="D73" s="18"/>
      <c r="E73" s="18"/>
      <c r="F73" s="18"/>
      <c r="G73" s="18"/>
      <c r="H73" s="18"/>
      <c r="I73" s="18"/>
      <c r="J73" s="18"/>
      <c r="K73" s="18"/>
      <c r="L7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E143-0538-4EC6-8ADD-36CB95843365}">
  <dimension ref="A1:L97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12" width="11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 x14ac:dyDescent="0.25">
      <c r="A2" s="2" t="s">
        <v>343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169</v>
      </c>
      <c r="B4" s="4"/>
      <c r="C4" s="5" t="s">
        <v>342</v>
      </c>
      <c r="D4" s="5" t="s">
        <v>341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</row>
    <row r="5" spans="1:12" x14ac:dyDescent="0.25">
      <c r="A5" s="6" t="s">
        <v>16</v>
      </c>
      <c r="B5" s="6"/>
      <c r="C5" s="7" t="s">
        <v>340</v>
      </c>
      <c r="D5" s="7" t="s">
        <v>339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</row>
    <row r="6" spans="1:12" x14ac:dyDescent="0.25">
      <c r="A6" s="12" t="s">
        <v>277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6" t="s">
        <v>338</v>
      </c>
      <c r="B7" s="16" t="s">
        <v>337</v>
      </c>
      <c r="C7" s="17">
        <f>_xll.BDH("LUMN US Equity","C&amp;CE_AND_STI_DETAILED","FQ1 2018","FQ1 2018","Currency=USD","Period=FQ","BEST_FPERIOD_OVERRIDE=FQ","FILING_STATUS=MR","SCALING_FORMAT=MLN","Sort=A","Dates=H","DateFormat=P","Fill=—","Direction=H","UseDPDF=Y")</f>
        <v>501</v>
      </c>
      <c r="D7" s="17">
        <f>_xll.BDH("LUMN US Equity","C&amp;CE_AND_STI_DETAILED","FQ2 2018","FQ2 2018","Currency=USD","Period=FQ","BEST_FPERIOD_OVERRIDE=FQ","FILING_STATUS=MR","SCALING_FORMAT=MLN","Sort=A","Dates=H","DateFormat=P","Fill=—","Direction=H","UseDPDF=Y")</f>
        <v>700</v>
      </c>
      <c r="E7" s="17">
        <f>_xll.BDH("LUMN US Equity","C&amp;CE_AND_STI_DETAILED","FQ3 2018","FQ3 2018","Currency=USD","Period=FQ","BEST_FPERIOD_OVERRIDE=FQ","FILING_STATUS=MR","SCALING_FORMAT=MLN","Sort=A","Dates=H","DateFormat=P","Fill=—","Direction=H","UseDPDF=Y")</f>
        <v>390</v>
      </c>
      <c r="F7" s="17">
        <f>_xll.BDH("LUMN US Equity","C&amp;CE_AND_STI_DETAILED","FQ4 2018","FQ4 2018","Currency=USD","Period=FQ","BEST_FPERIOD_OVERRIDE=FQ","FILING_STATUS=MR","SCALING_FORMAT=MLN","Sort=A","Dates=H","DateFormat=P","Fill=—","Direction=H","UseDPDF=Y")</f>
        <v>488</v>
      </c>
      <c r="G7" s="17">
        <f>_xll.BDH("LUMN US Equity","C&amp;CE_AND_STI_DETAILED","FQ1 2019","FQ1 2019","Currency=USD","Period=FQ","BEST_FPERIOD_OVERRIDE=FQ","FILING_STATUS=MR","SCALING_FORMAT=MLN","Sort=A","Dates=H","DateFormat=P","Fill=—","Direction=H","UseDPDF=Y")</f>
        <v>441</v>
      </c>
      <c r="H7" s="17">
        <f>_xll.BDH("LUMN US Equity","C&amp;CE_AND_STI_DETAILED","FQ2 2019","FQ2 2019","Currency=USD","Period=FQ","BEST_FPERIOD_OVERRIDE=FQ","FILING_STATUS=MR","SCALING_FORMAT=MLN","Sort=A","Dates=H","DateFormat=P","Fill=—","Direction=H","UseDPDF=Y")</f>
        <v>410</v>
      </c>
      <c r="I7" s="17">
        <f>_xll.BDH("LUMN US Equity","C&amp;CE_AND_STI_DETAILED","FQ3 2019","FQ3 2019","Currency=USD","Period=FQ","BEST_FPERIOD_OVERRIDE=FQ","FILING_STATUS=MR","SCALING_FORMAT=MLN","Sort=A","Dates=H","DateFormat=P","Fill=—","Direction=H","UseDPDF=Y")</f>
        <v>1404</v>
      </c>
      <c r="J7" s="17">
        <f>_xll.BDH("LUMN US Equity","C&amp;CE_AND_STI_DETAILED","FQ4 2019","FQ4 2019","Currency=USD","Period=FQ","BEST_FPERIOD_OVERRIDE=FQ","FILING_STATUS=MR","SCALING_FORMAT=MLN","Sort=A","Dates=H","DateFormat=P","Fill=—","Direction=H","UseDPDF=Y")</f>
        <v>1690</v>
      </c>
      <c r="K7" s="17">
        <f>_xll.BDH("LUMN US Equity","C&amp;CE_AND_STI_DETAILED","FQ1 2020","FQ1 2020","Currency=USD","Period=FQ","BEST_FPERIOD_OVERRIDE=FQ","FILING_STATUS=MR","SCALING_FORMAT=MLN","Sort=A","Dates=H","DateFormat=P","Fill=—","Direction=H","UseDPDF=Y")</f>
        <v>1564</v>
      </c>
      <c r="L7" s="17">
        <f>_xll.BDH("LUMN US Equity","C&amp;CE_AND_STI_DETAILED","FQ2 2020","FQ2 2020","Currency=USD","Period=FQ","BEST_FPERIOD_OVERRIDE=FQ","FILING_STATUS=MR","SCALING_FORMAT=MLN","Sort=A","Dates=H","DateFormat=P","Fill=—","Direction=H","UseDPDF=Y")</f>
        <v>1763</v>
      </c>
    </row>
    <row r="8" spans="1:12" x14ac:dyDescent="0.25">
      <c r="A8" s="16" t="s">
        <v>336</v>
      </c>
      <c r="B8" s="16" t="s">
        <v>335</v>
      </c>
      <c r="C8" s="17">
        <f>_xll.BDH("LUMN US Equity","BS_CASH_NEAR_CASH_ITEM","FQ1 2018","FQ1 2018","Currency=USD","Period=FQ","BEST_FPERIOD_OVERRIDE=FQ","FILING_STATUS=MR","SCALING_FORMAT=MLN","Sort=A","Dates=H","DateFormat=P","Fill=—","Direction=H","UseDPDF=Y")</f>
        <v>501</v>
      </c>
      <c r="D8" s="17">
        <f>_xll.BDH("LUMN US Equity","BS_CASH_NEAR_CASH_ITEM","FQ2 2018","FQ2 2018","Currency=USD","Period=FQ","BEST_FPERIOD_OVERRIDE=FQ","FILING_STATUS=MR","SCALING_FORMAT=MLN","Sort=A","Dates=H","DateFormat=P","Fill=—","Direction=H","UseDPDF=Y")</f>
        <v>700</v>
      </c>
      <c r="E8" s="17">
        <f>_xll.BDH("LUMN US Equity","BS_CASH_NEAR_CASH_ITEM","FQ3 2018","FQ3 2018","Currency=USD","Period=FQ","BEST_FPERIOD_OVERRIDE=FQ","FILING_STATUS=MR","SCALING_FORMAT=MLN","Sort=A","Dates=H","DateFormat=P","Fill=—","Direction=H","UseDPDF=Y")</f>
        <v>390</v>
      </c>
      <c r="F8" s="17">
        <f>_xll.BDH("LUMN US Equity","BS_CASH_NEAR_CASH_ITEM","FQ4 2018","FQ4 2018","Currency=USD","Period=FQ","BEST_FPERIOD_OVERRIDE=FQ","FILING_STATUS=MR","SCALING_FORMAT=MLN","Sort=A","Dates=H","DateFormat=P","Fill=—","Direction=H","UseDPDF=Y")</f>
        <v>488</v>
      </c>
      <c r="G8" s="17">
        <f>_xll.BDH("LUMN US Equity","BS_CASH_NEAR_CASH_ITEM","FQ1 2019","FQ1 2019","Currency=USD","Period=FQ","BEST_FPERIOD_OVERRIDE=FQ","FILING_STATUS=MR","SCALING_FORMAT=MLN","Sort=A","Dates=H","DateFormat=P","Fill=—","Direction=H","UseDPDF=Y")</f>
        <v>441</v>
      </c>
      <c r="H8" s="17">
        <f>_xll.BDH("LUMN US Equity","BS_CASH_NEAR_CASH_ITEM","FQ2 2019","FQ2 2019","Currency=USD","Period=FQ","BEST_FPERIOD_OVERRIDE=FQ","FILING_STATUS=MR","SCALING_FORMAT=MLN","Sort=A","Dates=H","DateFormat=P","Fill=—","Direction=H","UseDPDF=Y")</f>
        <v>410</v>
      </c>
      <c r="I8" s="17">
        <f>_xll.BDH("LUMN US Equity","BS_CASH_NEAR_CASH_ITEM","FQ3 2019","FQ3 2019","Currency=USD","Period=FQ","BEST_FPERIOD_OVERRIDE=FQ","FILING_STATUS=MR","SCALING_FORMAT=MLN","Sort=A","Dates=H","DateFormat=P","Fill=—","Direction=H","UseDPDF=Y")</f>
        <v>1404</v>
      </c>
      <c r="J8" s="17">
        <f>_xll.BDH("LUMN US Equity","BS_CASH_NEAR_CASH_ITEM","FQ4 2019","FQ4 2019","Currency=USD","Period=FQ","BEST_FPERIOD_OVERRIDE=FQ","FILING_STATUS=MR","SCALING_FORMAT=MLN","Sort=A","Dates=H","DateFormat=P","Fill=—","Direction=H","UseDPDF=Y")</f>
        <v>1690</v>
      </c>
      <c r="K8" s="17">
        <f>_xll.BDH("LUMN US Equity","BS_CASH_NEAR_CASH_ITEM","FQ1 2020","FQ1 2020","Currency=USD","Period=FQ","BEST_FPERIOD_OVERRIDE=FQ","FILING_STATUS=MR","SCALING_FORMAT=MLN","Sort=A","Dates=H","DateFormat=P","Fill=—","Direction=H","UseDPDF=Y")</f>
        <v>1564</v>
      </c>
      <c r="L8" s="17">
        <f>_xll.BDH("LUMN US Equity","BS_CASH_NEAR_CASH_ITEM","FQ2 2020","FQ2 2020","Currency=USD","Period=FQ","BEST_FPERIOD_OVERRIDE=FQ","FILING_STATUS=MR","SCALING_FORMAT=MLN","Sort=A","Dates=H","DateFormat=P","Fill=—","Direction=H","UseDPDF=Y")</f>
        <v>1763</v>
      </c>
    </row>
    <row r="9" spans="1:12" x14ac:dyDescent="0.25">
      <c r="A9" s="16" t="s">
        <v>334</v>
      </c>
      <c r="B9" s="16" t="s">
        <v>333</v>
      </c>
      <c r="C9" s="17">
        <f>_xll.BDH("LUMN US Equity","BS_MKT_SEC_OTHER_ST_INVEST","FQ1 2018","FQ1 2018","Currency=USD","Period=FQ","BEST_FPERIOD_OVERRIDE=FQ","FILING_STATUS=MR","SCALING_FORMAT=MLN","Sort=A","Dates=H","DateFormat=P","Fill=—","Direction=H","UseDPDF=Y")</f>
        <v>0</v>
      </c>
      <c r="D9" s="17">
        <f>_xll.BDH("LUMN US Equity","BS_MKT_SEC_OTHER_ST_INVEST","FQ2 2018","FQ2 2018","Currency=USD","Period=FQ","BEST_FPERIOD_OVERRIDE=FQ","FILING_STATUS=MR","SCALING_FORMAT=MLN","Sort=A","Dates=H","DateFormat=P","Fill=—","Direction=H","UseDPDF=Y")</f>
        <v>0</v>
      </c>
      <c r="E9" s="17">
        <f>_xll.BDH("LUMN US Equity","BS_MKT_SEC_OTHER_ST_INVEST","FQ3 2018","FQ3 2018","Currency=USD","Period=FQ","BEST_FPERIOD_OVERRIDE=FQ","FILING_STATUS=MR","SCALING_FORMAT=MLN","Sort=A","Dates=H","DateFormat=P","Fill=—","Direction=H","UseDPDF=Y")</f>
        <v>0</v>
      </c>
      <c r="F9" s="17">
        <f>_xll.BDH("LUMN US Equity","BS_MKT_SEC_OTHER_ST_INVEST","FQ4 2018","FQ4 2018","Currency=USD","Period=FQ","BEST_FPERIOD_OVERRIDE=FQ","FILING_STATUS=MR","SCALING_FORMAT=MLN","Sort=A","Dates=H","DateFormat=P","Fill=—","Direction=H","UseDPDF=Y")</f>
        <v>0</v>
      </c>
      <c r="G9" s="17">
        <f>_xll.BDH("LUMN US Equity","BS_MKT_SEC_OTHER_ST_INVEST","FQ1 2019","FQ1 2019","Currency=USD","Period=FQ","BEST_FPERIOD_OVERRIDE=FQ","FILING_STATUS=MR","SCALING_FORMAT=MLN","Sort=A","Dates=H","DateFormat=P","Fill=—","Direction=H","UseDPDF=Y")</f>
        <v>0</v>
      </c>
      <c r="H9" s="17">
        <f>_xll.BDH("LUMN US Equity","BS_MKT_SEC_OTHER_ST_INVEST","FQ2 2019","FQ2 2019","Currency=USD","Period=FQ","BEST_FPERIOD_OVERRIDE=FQ","FILING_STATUS=MR","SCALING_FORMAT=MLN","Sort=A","Dates=H","DateFormat=P","Fill=—","Direction=H","UseDPDF=Y")</f>
        <v>0</v>
      </c>
      <c r="I9" s="17">
        <f>_xll.BDH("LUMN US Equity","BS_MKT_SEC_OTHER_ST_INVEST","FQ3 2019","FQ3 2019","Currency=USD","Period=FQ","BEST_FPERIOD_OVERRIDE=FQ","FILING_STATUS=MR","SCALING_FORMAT=MLN","Sort=A","Dates=H","DateFormat=P","Fill=—","Direction=H","UseDPDF=Y")</f>
        <v>0</v>
      </c>
      <c r="J9" s="17">
        <f>_xll.BDH("LUMN US Equity","BS_MKT_SEC_OTHER_ST_INVEST","FQ4 2019","FQ4 2019","Currency=USD","Period=FQ","BEST_FPERIOD_OVERRIDE=FQ","FILING_STATUS=MR","SCALING_FORMAT=MLN","Sort=A","Dates=H","DateFormat=P","Fill=—","Direction=H","UseDPDF=Y")</f>
        <v>0</v>
      </c>
      <c r="K9" s="17">
        <f>_xll.BDH("LUMN US Equity","BS_MKT_SEC_OTHER_ST_INVEST","FQ1 2020","FQ1 2020","Currency=USD","Period=FQ","BEST_FPERIOD_OVERRIDE=FQ","FILING_STATUS=MR","SCALING_FORMAT=MLN","Sort=A","Dates=H","DateFormat=P","Fill=—","Direction=H","UseDPDF=Y")</f>
        <v>0</v>
      </c>
      <c r="L9" s="17">
        <f>_xll.BDH("LUMN US Equity","BS_MKT_SEC_OTHER_ST_INVEST","FQ2 2020","FQ2 2020","Currency=USD","Period=FQ","BEST_FPERIOD_OVERRIDE=FQ","FILING_STATUS=MR","SCALING_FORMAT=MLN","Sort=A","Dates=H","DateFormat=P","Fill=—","Direction=H","UseDPDF=Y")</f>
        <v>0</v>
      </c>
    </row>
    <row r="10" spans="1:12" x14ac:dyDescent="0.25">
      <c r="A10" s="16" t="s">
        <v>332</v>
      </c>
      <c r="B10" s="16" t="s">
        <v>331</v>
      </c>
      <c r="C10" s="17">
        <f>_xll.BDH("LUMN US Equity","BS_ACCT_NOTE_RCV","FQ1 2018","FQ1 2018","Currency=USD","Period=FQ","BEST_FPERIOD_OVERRIDE=FQ","FILING_STATUS=MR","SCALING_FORMAT=MLN","Sort=A","Dates=H","DateFormat=P","Fill=—","Direction=H","UseDPDF=Y")</f>
        <v>2432</v>
      </c>
      <c r="D10" s="17">
        <f>_xll.BDH("LUMN US Equity","BS_ACCT_NOTE_RCV","FQ2 2018","FQ2 2018","Currency=USD","Period=FQ","BEST_FPERIOD_OVERRIDE=FQ","FILING_STATUS=MR","SCALING_FORMAT=MLN","Sort=A","Dates=H","DateFormat=P","Fill=—","Direction=H","UseDPDF=Y")</f>
        <v>2471</v>
      </c>
      <c r="E10" s="17">
        <f>_xll.BDH("LUMN US Equity","BS_ACCT_NOTE_RCV","FQ3 2018","FQ3 2018","Currency=USD","Period=FQ","BEST_FPERIOD_OVERRIDE=FQ","FILING_STATUS=MR","SCALING_FORMAT=MLN","Sort=A","Dates=H","DateFormat=P","Fill=—","Direction=H","UseDPDF=Y")</f>
        <v>2465</v>
      </c>
      <c r="F10" s="17">
        <f>_xll.BDH("LUMN US Equity","BS_ACCT_NOTE_RCV","FQ4 2018","FQ4 2018","Currency=USD","Period=FQ","BEST_FPERIOD_OVERRIDE=FQ","FILING_STATUS=MR","SCALING_FORMAT=MLN","Sort=A","Dates=H","DateFormat=P","Fill=—","Direction=H","UseDPDF=Y")</f>
        <v>2398</v>
      </c>
      <c r="G10" s="17">
        <f>_xll.BDH("LUMN US Equity","BS_ACCT_NOTE_RCV","FQ1 2019","FQ1 2019","Currency=USD","Period=FQ","BEST_FPERIOD_OVERRIDE=FQ","FILING_STATUS=MR","SCALING_FORMAT=MLN","Sort=A","Dates=H","DateFormat=P","Fill=—","Direction=H","UseDPDF=Y")</f>
        <v>2347</v>
      </c>
      <c r="H10" s="17">
        <f>_xll.BDH("LUMN US Equity","BS_ACCT_NOTE_RCV","FQ2 2019","FQ2 2019","Currency=USD","Period=FQ","BEST_FPERIOD_OVERRIDE=FQ","FILING_STATUS=MR","SCALING_FORMAT=MLN","Sort=A","Dates=H","DateFormat=P","Fill=—","Direction=H","UseDPDF=Y")</f>
        <v>2446</v>
      </c>
      <c r="I10" s="17">
        <f>_xll.BDH("LUMN US Equity","BS_ACCT_NOTE_RCV","FQ3 2019","FQ3 2019","Currency=USD","Period=FQ","BEST_FPERIOD_OVERRIDE=FQ","FILING_STATUS=MR","SCALING_FORMAT=MLN","Sort=A","Dates=H","DateFormat=P","Fill=—","Direction=H","UseDPDF=Y")</f>
        <v>2290</v>
      </c>
      <c r="J10" s="17">
        <f>_xll.BDH("LUMN US Equity","BS_ACCT_NOTE_RCV","FQ4 2019","FQ4 2019","Currency=USD","Period=FQ","BEST_FPERIOD_OVERRIDE=FQ","FILING_STATUS=MR","SCALING_FORMAT=MLN","Sort=A","Dates=H","DateFormat=P","Fill=—","Direction=H","UseDPDF=Y")</f>
        <v>2259</v>
      </c>
      <c r="K10" s="17">
        <f>_xll.BDH("LUMN US Equity","BS_ACCT_NOTE_RCV","FQ1 2020","FQ1 2020","Currency=USD","Period=FQ","BEST_FPERIOD_OVERRIDE=FQ","FILING_STATUS=MR","SCALING_FORMAT=MLN","Sort=A","Dates=H","DateFormat=P","Fill=—","Direction=H","UseDPDF=Y")</f>
        <v>2175</v>
      </c>
      <c r="L10" s="17">
        <f>_xll.BDH("LUMN US Equity","BS_ACCT_NOTE_RCV","FQ2 2020","FQ2 2020","Currency=USD","Period=FQ","BEST_FPERIOD_OVERRIDE=FQ","FILING_STATUS=MR","SCALING_FORMAT=MLN","Sort=A","Dates=H","DateFormat=P","Fill=—","Direction=H","UseDPDF=Y")</f>
        <v>2182</v>
      </c>
    </row>
    <row r="11" spans="1:12" x14ac:dyDescent="0.25">
      <c r="A11" s="16" t="s">
        <v>330</v>
      </c>
      <c r="B11" s="16" t="s">
        <v>329</v>
      </c>
      <c r="C11" s="17">
        <f>_xll.BDH("LUMN US Equity","BS_ACCTS_REC_EXCL_NOTES_REC","FQ1 2018","FQ1 2018","Currency=USD","Period=FQ","BEST_FPERIOD_OVERRIDE=FQ","FILING_STATUS=MR","SCALING_FORMAT=MLN","Sort=A","Dates=H","DateFormat=P","Fill=—","Direction=H","UseDPDF=Y")</f>
        <v>2432</v>
      </c>
      <c r="D11" s="17">
        <f>_xll.BDH("LUMN US Equity","BS_ACCTS_REC_EXCL_NOTES_REC","FQ2 2018","FQ2 2018","Currency=USD","Period=FQ","BEST_FPERIOD_OVERRIDE=FQ","FILING_STATUS=MR","SCALING_FORMAT=MLN","Sort=A","Dates=H","DateFormat=P","Fill=—","Direction=H","UseDPDF=Y")</f>
        <v>2471</v>
      </c>
      <c r="E11" s="17">
        <f>_xll.BDH("LUMN US Equity","BS_ACCTS_REC_EXCL_NOTES_REC","FQ3 2018","FQ3 2018","Currency=USD","Period=FQ","BEST_FPERIOD_OVERRIDE=FQ","FILING_STATUS=MR","SCALING_FORMAT=MLN","Sort=A","Dates=H","DateFormat=P","Fill=—","Direction=H","UseDPDF=Y")</f>
        <v>2465</v>
      </c>
      <c r="F11" s="17">
        <f>_xll.BDH("LUMN US Equity","BS_ACCTS_REC_EXCL_NOTES_REC","FQ4 2018","FQ4 2018","Currency=USD","Period=FQ","BEST_FPERIOD_OVERRIDE=FQ","FILING_STATUS=MR","SCALING_FORMAT=MLN","Sort=A","Dates=H","DateFormat=P","Fill=—","Direction=H","UseDPDF=Y")</f>
        <v>2398</v>
      </c>
      <c r="G11" s="17">
        <f>_xll.BDH("LUMN US Equity","BS_ACCTS_REC_EXCL_NOTES_REC","FQ1 2019","FQ1 2019","Currency=USD","Period=FQ","BEST_FPERIOD_OVERRIDE=FQ","FILING_STATUS=MR","SCALING_FORMAT=MLN","Sort=A","Dates=H","DateFormat=P","Fill=—","Direction=H","UseDPDF=Y")</f>
        <v>2347</v>
      </c>
      <c r="H11" s="17">
        <f>_xll.BDH("LUMN US Equity","BS_ACCTS_REC_EXCL_NOTES_REC","FQ2 2019","FQ2 2019","Currency=USD","Period=FQ","BEST_FPERIOD_OVERRIDE=FQ","FILING_STATUS=MR","SCALING_FORMAT=MLN","Sort=A","Dates=H","DateFormat=P","Fill=—","Direction=H","UseDPDF=Y")</f>
        <v>2446</v>
      </c>
      <c r="I11" s="17">
        <f>_xll.BDH("LUMN US Equity","BS_ACCTS_REC_EXCL_NOTES_REC","FQ3 2019","FQ3 2019","Currency=USD","Period=FQ","BEST_FPERIOD_OVERRIDE=FQ","FILING_STATUS=MR","SCALING_FORMAT=MLN","Sort=A","Dates=H","DateFormat=P","Fill=—","Direction=H","UseDPDF=Y")</f>
        <v>2290</v>
      </c>
      <c r="J11" s="17">
        <f>_xll.BDH("LUMN US Equity","BS_ACCTS_REC_EXCL_NOTES_REC","FQ4 2019","FQ4 2019","Currency=USD","Period=FQ","BEST_FPERIOD_OVERRIDE=FQ","FILING_STATUS=MR","SCALING_FORMAT=MLN","Sort=A","Dates=H","DateFormat=P","Fill=—","Direction=H","UseDPDF=Y")</f>
        <v>2259</v>
      </c>
      <c r="K11" s="17">
        <f>_xll.BDH("LUMN US Equity","BS_ACCTS_REC_EXCL_NOTES_REC","FQ1 2020","FQ1 2020","Currency=USD","Period=FQ","BEST_FPERIOD_OVERRIDE=FQ","FILING_STATUS=MR","SCALING_FORMAT=MLN","Sort=A","Dates=H","DateFormat=P","Fill=—","Direction=H","UseDPDF=Y")</f>
        <v>2175</v>
      </c>
      <c r="L11" s="17">
        <f>_xll.BDH("LUMN US Equity","BS_ACCTS_REC_EXCL_NOTES_REC","FQ2 2020","FQ2 2020","Currency=USD","Period=FQ","BEST_FPERIOD_OVERRIDE=FQ","FILING_STATUS=MR","SCALING_FORMAT=MLN","Sort=A","Dates=H","DateFormat=P","Fill=—","Direction=H","UseDPDF=Y")</f>
        <v>2182</v>
      </c>
    </row>
    <row r="12" spans="1:12" x14ac:dyDescent="0.25">
      <c r="A12" s="16" t="s">
        <v>328</v>
      </c>
      <c r="B12" s="16" t="s">
        <v>327</v>
      </c>
      <c r="C12" s="17">
        <f>_xll.BDH("LUMN US Equity","NOTES_RECEIVABLE","FQ1 2018","FQ1 2018","Currency=USD","Period=FQ","BEST_FPERIOD_OVERRIDE=FQ","FILING_STATUS=MR","SCALING_FORMAT=MLN","Sort=A","Dates=H","DateFormat=P","Fill=—","Direction=H","UseDPDF=Y")</f>
        <v>0</v>
      </c>
      <c r="D12" s="17">
        <f>_xll.BDH("LUMN US Equity","NOTES_RECEIVABLE","FQ2 2018","FQ2 2018","Currency=USD","Period=FQ","BEST_FPERIOD_OVERRIDE=FQ","FILING_STATUS=MR","SCALING_FORMAT=MLN","Sort=A","Dates=H","DateFormat=P","Fill=—","Direction=H","UseDPDF=Y")</f>
        <v>0</v>
      </c>
      <c r="E12" s="17">
        <f>_xll.BDH("LUMN US Equity","NOTES_RECEIVABLE","FQ3 2018","FQ3 2018","Currency=USD","Period=FQ","BEST_FPERIOD_OVERRIDE=FQ","FILING_STATUS=MR","SCALING_FORMAT=MLN","Sort=A","Dates=H","DateFormat=P","Fill=—","Direction=H","UseDPDF=Y")</f>
        <v>0</v>
      </c>
      <c r="F12" s="17">
        <f>_xll.BDH("LUMN US Equity","NOTES_RECEIVABLE","FQ4 2018","FQ4 2018","Currency=USD","Period=FQ","BEST_FPERIOD_OVERRIDE=FQ","FILING_STATUS=MR","SCALING_FORMAT=MLN","Sort=A","Dates=H","DateFormat=P","Fill=—","Direction=H","UseDPDF=Y")</f>
        <v>0</v>
      </c>
      <c r="G12" s="17">
        <f>_xll.BDH("LUMN US Equity","NOTES_RECEIVABLE","FQ1 2019","FQ1 2019","Currency=USD","Period=FQ","BEST_FPERIOD_OVERRIDE=FQ","FILING_STATUS=MR","SCALING_FORMAT=MLN","Sort=A","Dates=H","DateFormat=P","Fill=—","Direction=H","UseDPDF=Y")</f>
        <v>0</v>
      </c>
      <c r="H12" s="17">
        <f>_xll.BDH("LUMN US Equity","NOTES_RECEIVABLE","FQ2 2019","FQ2 2019","Currency=USD","Period=FQ","BEST_FPERIOD_OVERRIDE=FQ","FILING_STATUS=MR","SCALING_FORMAT=MLN","Sort=A","Dates=H","DateFormat=P","Fill=—","Direction=H","UseDPDF=Y")</f>
        <v>0</v>
      </c>
      <c r="I12" s="17">
        <f>_xll.BDH("LUMN US Equity","NOTES_RECEIVABLE","FQ3 2019","FQ3 2019","Currency=USD","Period=FQ","BEST_FPERIOD_OVERRIDE=FQ","FILING_STATUS=MR","SCALING_FORMAT=MLN","Sort=A","Dates=H","DateFormat=P","Fill=—","Direction=H","UseDPDF=Y")</f>
        <v>0</v>
      </c>
      <c r="J12" s="17">
        <f>_xll.BDH("LUMN US Equity","NOTES_RECEIVABLE","FQ4 2019","FQ4 2019","Currency=USD","Period=FQ","BEST_FPERIOD_OVERRIDE=FQ","FILING_STATUS=MR","SCALING_FORMAT=MLN","Sort=A","Dates=H","DateFormat=P","Fill=—","Direction=H","UseDPDF=Y")</f>
        <v>0</v>
      </c>
      <c r="K12" s="17">
        <f>_xll.BDH("LUMN US Equity","NOTES_RECEIVABLE","FQ1 2020","FQ1 2020","Currency=USD","Period=FQ","BEST_FPERIOD_OVERRIDE=FQ","FILING_STATUS=MR","SCALING_FORMAT=MLN","Sort=A","Dates=H","DateFormat=P","Fill=—","Direction=H","UseDPDF=Y")</f>
        <v>0</v>
      </c>
      <c r="L12" s="17">
        <f>_xll.BDH("LUMN US Equity","NOTES_RECEIVABLE","FQ2 2020","FQ2 2020","Currency=USD","Period=FQ","BEST_FPERIOD_OVERRIDE=FQ","FILING_STATUS=MR","SCALING_FORMAT=MLN","Sort=A","Dates=H","DateFormat=P","Fill=—","Direction=H","UseDPDF=Y")</f>
        <v>0</v>
      </c>
    </row>
    <row r="13" spans="1:12" x14ac:dyDescent="0.25">
      <c r="A13" s="16" t="s">
        <v>326</v>
      </c>
      <c r="B13" s="16" t="s">
        <v>325</v>
      </c>
      <c r="C13" s="17" t="str">
        <f>_xll.BDH("LUMN US Equity","BS_UNBILLED_REVENUES","FQ1 2018","FQ1 2018","Currency=USD","Period=FQ","BEST_FPERIOD_OVERRIDE=FQ","FILING_STATUS=MR","SCALING_FORMAT=MLN","Sort=A","Dates=H","DateFormat=P","Fill=—","Direction=H","UseDPDF=Y")</f>
        <v>—</v>
      </c>
      <c r="D13" s="17" t="str">
        <f>_xll.BDH("LUMN US Equity","BS_UNBILLED_REVENUES","FQ2 2018","FQ2 2018","Currency=USD","Period=FQ","BEST_FPERIOD_OVERRIDE=FQ","FILING_STATUS=MR","SCALING_FORMAT=MLN","Sort=A","Dates=H","DateFormat=P","Fill=—","Direction=H","UseDPDF=Y")</f>
        <v>—</v>
      </c>
      <c r="E13" s="17" t="str">
        <f>_xll.BDH("LUMN US Equity","BS_UNBILLED_REVENUES","FQ3 2018","FQ3 2018","Currency=USD","Period=FQ","BEST_FPERIOD_OVERRIDE=FQ","FILING_STATUS=MR","SCALING_FORMAT=MLN","Sort=A","Dates=H","DateFormat=P","Fill=—","Direction=H","UseDPDF=Y")</f>
        <v>—</v>
      </c>
      <c r="F13" s="17" t="str">
        <f>_xll.BDH("LUMN US Equity","BS_UNBILLED_REVENUES","FQ4 2018","FQ4 2018","Currency=USD","Period=FQ","BEST_FPERIOD_OVERRIDE=FQ","FILING_STATUS=MR","SCALING_FORMAT=MLN","Sort=A","Dates=H","DateFormat=P","Fill=—","Direction=H","UseDPDF=Y")</f>
        <v>—</v>
      </c>
      <c r="G13" s="17">
        <f>_xll.BDH("LUMN US Equity","BS_UNBILLED_REVENUES","FQ1 2019","FQ1 2019","Currency=USD","Period=FQ","BEST_FPERIOD_OVERRIDE=FQ","FILING_STATUS=MR","SCALING_FORMAT=MLN","Sort=A","Dates=H","DateFormat=P","Fill=—","Direction=H","UseDPDF=Y")</f>
        <v>58</v>
      </c>
      <c r="H13" s="17">
        <f>_xll.BDH("LUMN US Equity","BS_UNBILLED_REVENUES","FQ2 2019","FQ2 2019","Currency=USD","Period=FQ","BEST_FPERIOD_OVERRIDE=FQ","FILING_STATUS=MR","SCALING_FORMAT=MLN","Sort=A","Dates=H","DateFormat=P","Fill=—","Direction=H","UseDPDF=Y")</f>
        <v>57</v>
      </c>
      <c r="I13" s="17">
        <f>_xll.BDH("LUMN US Equity","BS_UNBILLED_REVENUES","FQ3 2019","FQ3 2019","Currency=USD","Period=FQ","BEST_FPERIOD_OVERRIDE=FQ","FILING_STATUS=MR","SCALING_FORMAT=MLN","Sort=A","Dates=H","DateFormat=P","Fill=—","Direction=H","UseDPDF=Y")</f>
        <v>51</v>
      </c>
      <c r="J13" s="17" t="str">
        <f>_xll.BDH("LUMN US Equity","BS_UNBILLED_REVENUES","FQ4 2019","FQ4 2019","Currency=USD","Period=FQ","BEST_FPERIOD_OVERRIDE=FQ","FILING_STATUS=MR","SCALING_FORMAT=MLN","Sort=A","Dates=H","DateFormat=P","Fill=—","Direction=H","UseDPDF=Y")</f>
        <v>—</v>
      </c>
      <c r="K13" s="17">
        <f>_xll.BDH("LUMN US Equity","BS_UNBILLED_REVENUES","FQ1 2020","FQ1 2020","Currency=USD","Period=FQ","BEST_FPERIOD_OVERRIDE=FQ","FILING_STATUS=MR","SCALING_FORMAT=MLN","Sort=A","Dates=H","DateFormat=P","Fill=—","Direction=H","UseDPDF=Y")</f>
        <v>33</v>
      </c>
      <c r="L13" s="17">
        <f>_xll.BDH("LUMN US Equity","BS_UNBILLED_REVENUES","FQ2 2020","FQ2 2020","Currency=USD","Period=FQ","BEST_FPERIOD_OVERRIDE=FQ","FILING_STATUS=MR","SCALING_FORMAT=MLN","Sort=A","Dates=H","DateFormat=P","Fill=—","Direction=H","UseDPDF=Y")</f>
        <v>33</v>
      </c>
    </row>
    <row r="14" spans="1:12" x14ac:dyDescent="0.25">
      <c r="A14" s="16" t="s">
        <v>324</v>
      </c>
      <c r="B14" s="16" t="s">
        <v>323</v>
      </c>
      <c r="C14" s="17">
        <f>_xll.BDH("LUMN US Equity","BS_INVENTORIES","FQ1 2018","FQ1 2018","Currency=USD","Period=FQ","BEST_FPERIOD_OVERRIDE=FQ","FILING_STATUS=MR","SCALING_FORMAT=MLN","Sort=A","Dates=H","DateFormat=P","Fill=—","Direction=H","UseDPDF=Y")</f>
        <v>0</v>
      </c>
      <c r="D14" s="17">
        <f>_xll.BDH("LUMN US Equity","BS_INVENTORIES","FQ2 2018","FQ2 2018","Currency=USD","Period=FQ","BEST_FPERIOD_OVERRIDE=FQ","FILING_STATUS=MR","SCALING_FORMAT=MLN","Sort=A","Dates=H","DateFormat=P","Fill=—","Direction=H","UseDPDF=Y")</f>
        <v>0</v>
      </c>
      <c r="E14" s="17">
        <f>_xll.BDH("LUMN US Equity","BS_INVENTORIES","FQ3 2018","FQ3 2018","Currency=USD","Period=FQ","BEST_FPERIOD_OVERRIDE=FQ","FILING_STATUS=MR","SCALING_FORMAT=MLN","Sort=A","Dates=H","DateFormat=P","Fill=—","Direction=H","UseDPDF=Y")</f>
        <v>0</v>
      </c>
      <c r="F14" s="17">
        <f>_xll.BDH("LUMN US Equity","BS_INVENTORIES","FQ4 2018","FQ4 2018","Currency=USD","Period=FQ","BEST_FPERIOD_OVERRIDE=FQ","FILING_STATUS=MR","SCALING_FORMAT=MLN","Sort=A","Dates=H","DateFormat=P","Fill=—","Direction=H","UseDPDF=Y")</f>
        <v>0</v>
      </c>
      <c r="G14" s="17">
        <f>_xll.BDH("LUMN US Equity","BS_INVENTORIES","FQ1 2019","FQ1 2019","Currency=USD","Period=FQ","BEST_FPERIOD_OVERRIDE=FQ","FILING_STATUS=MR","SCALING_FORMAT=MLN","Sort=A","Dates=H","DateFormat=P","Fill=—","Direction=H","UseDPDF=Y")</f>
        <v>0</v>
      </c>
      <c r="H14" s="17">
        <f>_xll.BDH("LUMN US Equity","BS_INVENTORIES","FQ2 2019","FQ2 2019","Currency=USD","Period=FQ","BEST_FPERIOD_OVERRIDE=FQ","FILING_STATUS=MR","SCALING_FORMAT=MLN","Sort=A","Dates=H","DateFormat=P","Fill=—","Direction=H","UseDPDF=Y")</f>
        <v>0</v>
      </c>
      <c r="I14" s="17">
        <f>_xll.BDH("LUMN US Equity","BS_INVENTORIES","FQ3 2019","FQ3 2019","Currency=USD","Period=FQ","BEST_FPERIOD_OVERRIDE=FQ","FILING_STATUS=MR","SCALING_FORMAT=MLN","Sort=A","Dates=H","DateFormat=P","Fill=—","Direction=H","UseDPDF=Y")</f>
        <v>0</v>
      </c>
      <c r="J14" s="17">
        <f>_xll.BDH("LUMN US Equity","BS_INVENTORIES","FQ4 2019","FQ4 2019","Currency=USD","Period=FQ","BEST_FPERIOD_OVERRIDE=FQ","FILING_STATUS=MR","SCALING_FORMAT=MLN","Sort=A","Dates=H","DateFormat=P","Fill=—","Direction=H","UseDPDF=Y")</f>
        <v>0</v>
      </c>
      <c r="K14" s="17">
        <f>_xll.BDH("LUMN US Equity","BS_INVENTORIES","FQ1 2020","FQ1 2020","Currency=USD","Period=FQ","BEST_FPERIOD_OVERRIDE=FQ","FILING_STATUS=MR","SCALING_FORMAT=MLN","Sort=A","Dates=H","DateFormat=P","Fill=—","Direction=H","UseDPDF=Y")</f>
        <v>0</v>
      </c>
      <c r="L14" s="17">
        <f>_xll.BDH("LUMN US Equity","BS_INVENTORIES","FQ2 2020","FQ2 2020","Currency=USD","Period=FQ","BEST_FPERIOD_OVERRIDE=FQ","FILING_STATUS=MR","SCALING_FORMAT=MLN","Sort=A","Dates=H","DateFormat=P","Fill=—","Direction=H","UseDPDF=Y")</f>
        <v>0</v>
      </c>
    </row>
    <row r="15" spans="1:12" x14ac:dyDescent="0.25">
      <c r="A15" s="16" t="s">
        <v>322</v>
      </c>
      <c r="B15" s="16" t="s">
        <v>321</v>
      </c>
      <c r="C15" s="17">
        <f>_xll.BDH("LUMN US Equity","INVTRY_RAW_MATERIALS","FQ1 2018","FQ1 2018","Currency=USD","Period=FQ","BEST_FPERIOD_OVERRIDE=FQ","FILING_STATUS=MR","SCALING_FORMAT=MLN","Sort=A","Dates=H","DateFormat=P","Fill=—","Direction=H","UseDPDF=Y")</f>
        <v>0</v>
      </c>
      <c r="D15" s="17">
        <f>_xll.BDH("LUMN US Equity","INVTRY_RAW_MATERIALS","FQ2 2018","FQ2 2018","Currency=USD","Period=FQ","BEST_FPERIOD_OVERRIDE=FQ","FILING_STATUS=MR","SCALING_FORMAT=MLN","Sort=A","Dates=H","DateFormat=P","Fill=—","Direction=H","UseDPDF=Y")</f>
        <v>0</v>
      </c>
      <c r="E15" s="17">
        <f>_xll.BDH("LUMN US Equity","INVTRY_RAW_MATERIALS","FQ3 2018","FQ3 2018","Currency=USD","Period=FQ","BEST_FPERIOD_OVERRIDE=FQ","FILING_STATUS=MR","SCALING_FORMAT=MLN","Sort=A","Dates=H","DateFormat=P","Fill=—","Direction=H","UseDPDF=Y")</f>
        <v>0</v>
      </c>
      <c r="F15" s="17">
        <f>_xll.BDH("LUMN US Equity","INVTRY_RAW_MATERIALS","FQ4 2018","FQ4 2018","Currency=USD","Period=FQ","BEST_FPERIOD_OVERRIDE=FQ","FILING_STATUS=MR","SCALING_FORMAT=MLN","Sort=A","Dates=H","DateFormat=P","Fill=—","Direction=H","UseDPDF=Y")</f>
        <v>0</v>
      </c>
      <c r="G15" s="17">
        <f>_xll.BDH("LUMN US Equity","INVTRY_RAW_MATERIALS","FQ1 2019","FQ1 2019","Currency=USD","Period=FQ","BEST_FPERIOD_OVERRIDE=FQ","FILING_STATUS=MR","SCALING_FORMAT=MLN","Sort=A","Dates=H","DateFormat=P","Fill=—","Direction=H","UseDPDF=Y")</f>
        <v>0</v>
      </c>
      <c r="H15" s="17">
        <f>_xll.BDH("LUMN US Equity","INVTRY_RAW_MATERIALS","FQ2 2019","FQ2 2019","Currency=USD","Period=FQ","BEST_FPERIOD_OVERRIDE=FQ","FILING_STATUS=MR","SCALING_FORMAT=MLN","Sort=A","Dates=H","DateFormat=P","Fill=—","Direction=H","UseDPDF=Y")</f>
        <v>0</v>
      </c>
      <c r="I15" s="17">
        <f>_xll.BDH("LUMN US Equity","INVTRY_RAW_MATERIALS","FQ3 2019","FQ3 2019","Currency=USD","Period=FQ","BEST_FPERIOD_OVERRIDE=FQ","FILING_STATUS=MR","SCALING_FORMAT=MLN","Sort=A","Dates=H","DateFormat=P","Fill=—","Direction=H","UseDPDF=Y")</f>
        <v>0</v>
      </c>
      <c r="J15" s="17">
        <f>_xll.BDH("LUMN US Equity","INVTRY_RAW_MATERIALS","FQ4 2019","FQ4 2019","Currency=USD","Period=FQ","BEST_FPERIOD_OVERRIDE=FQ","FILING_STATUS=MR","SCALING_FORMAT=MLN","Sort=A","Dates=H","DateFormat=P","Fill=—","Direction=H","UseDPDF=Y")</f>
        <v>0</v>
      </c>
      <c r="K15" s="17">
        <f>_xll.BDH("LUMN US Equity","INVTRY_RAW_MATERIALS","FQ1 2020","FQ1 2020","Currency=USD","Period=FQ","BEST_FPERIOD_OVERRIDE=FQ","FILING_STATUS=MR","SCALING_FORMAT=MLN","Sort=A","Dates=H","DateFormat=P","Fill=—","Direction=H","UseDPDF=Y")</f>
        <v>0</v>
      </c>
      <c r="L15" s="17">
        <f>_xll.BDH("LUMN US Equity","INVTRY_RAW_MATERIALS","FQ2 2020","FQ2 2020","Currency=USD","Period=FQ","BEST_FPERIOD_OVERRIDE=FQ","FILING_STATUS=MR","SCALING_FORMAT=MLN","Sort=A","Dates=H","DateFormat=P","Fill=—","Direction=H","UseDPDF=Y")</f>
        <v>0</v>
      </c>
    </row>
    <row r="16" spans="1:12" x14ac:dyDescent="0.25">
      <c r="A16" s="16" t="s">
        <v>320</v>
      </c>
      <c r="B16" s="16" t="s">
        <v>319</v>
      </c>
      <c r="C16" s="17">
        <f>_xll.BDH("LUMN US Equity","INVTRY_IN_PROGRESS","FQ1 2018","FQ1 2018","Currency=USD","Period=FQ","BEST_FPERIOD_OVERRIDE=FQ","FILING_STATUS=MR","SCALING_FORMAT=MLN","Sort=A","Dates=H","DateFormat=P","Fill=—","Direction=H","UseDPDF=Y")</f>
        <v>0</v>
      </c>
      <c r="D16" s="17">
        <f>_xll.BDH("LUMN US Equity","INVTRY_IN_PROGRESS","FQ2 2018","FQ2 2018","Currency=USD","Period=FQ","BEST_FPERIOD_OVERRIDE=FQ","FILING_STATUS=MR","SCALING_FORMAT=MLN","Sort=A","Dates=H","DateFormat=P","Fill=—","Direction=H","UseDPDF=Y")</f>
        <v>0</v>
      </c>
      <c r="E16" s="17">
        <f>_xll.BDH("LUMN US Equity","INVTRY_IN_PROGRESS","FQ3 2018","FQ3 2018","Currency=USD","Period=FQ","BEST_FPERIOD_OVERRIDE=FQ","FILING_STATUS=MR","SCALING_FORMAT=MLN","Sort=A","Dates=H","DateFormat=P","Fill=—","Direction=H","UseDPDF=Y")</f>
        <v>0</v>
      </c>
      <c r="F16" s="17">
        <f>_xll.BDH("LUMN US Equity","INVTRY_IN_PROGRESS","FQ4 2018","FQ4 2018","Currency=USD","Period=FQ","BEST_FPERIOD_OVERRIDE=FQ","FILING_STATUS=MR","SCALING_FORMAT=MLN","Sort=A","Dates=H","DateFormat=P","Fill=—","Direction=H","UseDPDF=Y")</f>
        <v>0</v>
      </c>
      <c r="G16" s="17">
        <f>_xll.BDH("LUMN US Equity","INVTRY_IN_PROGRESS","FQ1 2019","FQ1 2019","Currency=USD","Period=FQ","BEST_FPERIOD_OVERRIDE=FQ","FILING_STATUS=MR","SCALING_FORMAT=MLN","Sort=A","Dates=H","DateFormat=P","Fill=—","Direction=H","UseDPDF=Y")</f>
        <v>0</v>
      </c>
      <c r="H16" s="17">
        <f>_xll.BDH("LUMN US Equity","INVTRY_IN_PROGRESS","FQ2 2019","FQ2 2019","Currency=USD","Period=FQ","BEST_FPERIOD_OVERRIDE=FQ","FILING_STATUS=MR","SCALING_FORMAT=MLN","Sort=A","Dates=H","DateFormat=P","Fill=—","Direction=H","UseDPDF=Y")</f>
        <v>0</v>
      </c>
      <c r="I16" s="17">
        <f>_xll.BDH("LUMN US Equity","INVTRY_IN_PROGRESS","FQ3 2019","FQ3 2019","Currency=USD","Period=FQ","BEST_FPERIOD_OVERRIDE=FQ","FILING_STATUS=MR","SCALING_FORMAT=MLN","Sort=A","Dates=H","DateFormat=P","Fill=—","Direction=H","UseDPDF=Y")</f>
        <v>0</v>
      </c>
      <c r="J16" s="17">
        <f>_xll.BDH("LUMN US Equity","INVTRY_IN_PROGRESS","FQ4 2019","FQ4 2019","Currency=USD","Period=FQ","BEST_FPERIOD_OVERRIDE=FQ","FILING_STATUS=MR","SCALING_FORMAT=MLN","Sort=A","Dates=H","DateFormat=P","Fill=—","Direction=H","UseDPDF=Y")</f>
        <v>0</v>
      </c>
      <c r="K16" s="17">
        <f>_xll.BDH("LUMN US Equity","INVTRY_IN_PROGRESS","FQ1 2020","FQ1 2020","Currency=USD","Period=FQ","BEST_FPERIOD_OVERRIDE=FQ","FILING_STATUS=MR","SCALING_FORMAT=MLN","Sort=A","Dates=H","DateFormat=P","Fill=—","Direction=H","UseDPDF=Y")</f>
        <v>0</v>
      </c>
      <c r="L16" s="17">
        <f>_xll.BDH("LUMN US Equity","INVTRY_IN_PROGRESS","FQ2 2020","FQ2 2020","Currency=USD","Period=FQ","BEST_FPERIOD_OVERRIDE=FQ","FILING_STATUS=MR","SCALING_FORMAT=MLN","Sort=A","Dates=H","DateFormat=P","Fill=—","Direction=H","UseDPDF=Y")</f>
        <v>0</v>
      </c>
    </row>
    <row r="17" spans="1:12" x14ac:dyDescent="0.25">
      <c r="A17" s="16" t="s">
        <v>318</v>
      </c>
      <c r="B17" s="16" t="s">
        <v>317</v>
      </c>
      <c r="C17" s="17">
        <f>_xll.BDH("LUMN US Equity","INVTRY_FINISHED_GOODS","FQ1 2018","FQ1 2018","Currency=USD","Period=FQ","BEST_FPERIOD_OVERRIDE=FQ","FILING_STATUS=MR","SCALING_FORMAT=MLN","Sort=A","Dates=H","DateFormat=P","Fill=—","Direction=H","UseDPDF=Y")</f>
        <v>0</v>
      </c>
      <c r="D17" s="17">
        <f>_xll.BDH("LUMN US Equity","INVTRY_FINISHED_GOODS","FQ2 2018","FQ2 2018","Currency=USD","Period=FQ","BEST_FPERIOD_OVERRIDE=FQ","FILING_STATUS=MR","SCALING_FORMAT=MLN","Sort=A","Dates=H","DateFormat=P","Fill=—","Direction=H","UseDPDF=Y")</f>
        <v>0</v>
      </c>
      <c r="E17" s="17">
        <f>_xll.BDH("LUMN US Equity","INVTRY_FINISHED_GOODS","FQ3 2018","FQ3 2018","Currency=USD","Period=FQ","BEST_FPERIOD_OVERRIDE=FQ","FILING_STATUS=MR","SCALING_FORMAT=MLN","Sort=A","Dates=H","DateFormat=P","Fill=—","Direction=H","UseDPDF=Y")</f>
        <v>0</v>
      </c>
      <c r="F17" s="17">
        <f>_xll.BDH("LUMN US Equity","INVTRY_FINISHED_GOODS","FQ4 2018","FQ4 2018","Currency=USD","Period=FQ","BEST_FPERIOD_OVERRIDE=FQ","FILING_STATUS=MR","SCALING_FORMAT=MLN","Sort=A","Dates=H","DateFormat=P","Fill=—","Direction=H","UseDPDF=Y")</f>
        <v>0</v>
      </c>
      <c r="G17" s="17">
        <f>_xll.BDH("LUMN US Equity","INVTRY_FINISHED_GOODS","FQ1 2019","FQ1 2019","Currency=USD","Period=FQ","BEST_FPERIOD_OVERRIDE=FQ","FILING_STATUS=MR","SCALING_FORMAT=MLN","Sort=A","Dates=H","DateFormat=P","Fill=—","Direction=H","UseDPDF=Y")</f>
        <v>0</v>
      </c>
      <c r="H17" s="17">
        <f>_xll.BDH("LUMN US Equity","INVTRY_FINISHED_GOODS","FQ2 2019","FQ2 2019","Currency=USD","Period=FQ","BEST_FPERIOD_OVERRIDE=FQ","FILING_STATUS=MR","SCALING_FORMAT=MLN","Sort=A","Dates=H","DateFormat=P","Fill=—","Direction=H","UseDPDF=Y")</f>
        <v>0</v>
      </c>
      <c r="I17" s="17">
        <f>_xll.BDH("LUMN US Equity","INVTRY_FINISHED_GOODS","FQ3 2019","FQ3 2019","Currency=USD","Period=FQ","BEST_FPERIOD_OVERRIDE=FQ","FILING_STATUS=MR","SCALING_FORMAT=MLN","Sort=A","Dates=H","DateFormat=P","Fill=—","Direction=H","UseDPDF=Y")</f>
        <v>0</v>
      </c>
      <c r="J17" s="17">
        <f>_xll.BDH("LUMN US Equity","INVTRY_FINISHED_GOODS","FQ4 2019","FQ4 2019","Currency=USD","Period=FQ","BEST_FPERIOD_OVERRIDE=FQ","FILING_STATUS=MR","SCALING_FORMAT=MLN","Sort=A","Dates=H","DateFormat=P","Fill=—","Direction=H","UseDPDF=Y")</f>
        <v>0</v>
      </c>
      <c r="K17" s="17">
        <f>_xll.BDH("LUMN US Equity","INVTRY_FINISHED_GOODS","FQ1 2020","FQ1 2020","Currency=USD","Period=FQ","BEST_FPERIOD_OVERRIDE=FQ","FILING_STATUS=MR","SCALING_FORMAT=MLN","Sort=A","Dates=H","DateFormat=P","Fill=—","Direction=H","UseDPDF=Y")</f>
        <v>0</v>
      </c>
      <c r="L17" s="17">
        <f>_xll.BDH("LUMN US Equity","INVTRY_FINISHED_GOODS","FQ2 2020","FQ2 2020","Currency=USD","Period=FQ","BEST_FPERIOD_OVERRIDE=FQ","FILING_STATUS=MR","SCALING_FORMAT=MLN","Sort=A","Dates=H","DateFormat=P","Fill=—","Direction=H","UseDPDF=Y")</f>
        <v>0</v>
      </c>
    </row>
    <row r="18" spans="1:12" x14ac:dyDescent="0.25">
      <c r="A18" s="16" t="s">
        <v>316</v>
      </c>
      <c r="B18" s="16" t="s">
        <v>315</v>
      </c>
      <c r="C18" s="17">
        <f>_xll.BDH("LUMN US Equity","BS_OTHER_INV","FQ1 2018","FQ1 2018","Currency=USD","Period=FQ","BEST_FPERIOD_OVERRIDE=FQ","FILING_STATUS=MR","SCALING_FORMAT=MLN","Sort=A","Dates=H","DateFormat=P","Fill=—","Direction=H","UseDPDF=Y")</f>
        <v>0</v>
      </c>
      <c r="D18" s="17">
        <f>_xll.BDH("LUMN US Equity","BS_OTHER_INV","FQ2 2018","FQ2 2018","Currency=USD","Period=FQ","BEST_FPERIOD_OVERRIDE=FQ","FILING_STATUS=MR","SCALING_FORMAT=MLN","Sort=A","Dates=H","DateFormat=P","Fill=—","Direction=H","UseDPDF=Y")</f>
        <v>0</v>
      </c>
      <c r="E18" s="17">
        <f>_xll.BDH("LUMN US Equity","BS_OTHER_INV","FQ3 2018","FQ3 2018","Currency=USD","Period=FQ","BEST_FPERIOD_OVERRIDE=FQ","FILING_STATUS=MR","SCALING_FORMAT=MLN","Sort=A","Dates=H","DateFormat=P","Fill=—","Direction=H","UseDPDF=Y")</f>
        <v>0</v>
      </c>
      <c r="F18" s="17">
        <f>_xll.BDH("LUMN US Equity","BS_OTHER_INV","FQ4 2018","FQ4 2018","Currency=USD","Period=FQ","BEST_FPERIOD_OVERRIDE=FQ","FILING_STATUS=MR","SCALING_FORMAT=MLN","Sort=A","Dates=H","DateFormat=P","Fill=—","Direction=H","UseDPDF=Y")</f>
        <v>0</v>
      </c>
      <c r="G18" s="17">
        <f>_xll.BDH("LUMN US Equity","BS_OTHER_INV","FQ1 2019","FQ1 2019","Currency=USD","Period=FQ","BEST_FPERIOD_OVERRIDE=FQ","FILING_STATUS=MR","SCALING_FORMAT=MLN","Sort=A","Dates=H","DateFormat=P","Fill=—","Direction=H","UseDPDF=Y")</f>
        <v>0</v>
      </c>
      <c r="H18" s="17">
        <f>_xll.BDH("LUMN US Equity","BS_OTHER_INV","FQ2 2019","FQ2 2019","Currency=USD","Period=FQ","BEST_FPERIOD_OVERRIDE=FQ","FILING_STATUS=MR","SCALING_FORMAT=MLN","Sort=A","Dates=H","DateFormat=P","Fill=—","Direction=H","UseDPDF=Y")</f>
        <v>0</v>
      </c>
      <c r="I18" s="17">
        <f>_xll.BDH("LUMN US Equity","BS_OTHER_INV","FQ3 2019","FQ3 2019","Currency=USD","Period=FQ","BEST_FPERIOD_OVERRIDE=FQ","FILING_STATUS=MR","SCALING_FORMAT=MLN","Sort=A","Dates=H","DateFormat=P","Fill=—","Direction=H","UseDPDF=Y")</f>
        <v>0</v>
      </c>
      <c r="J18" s="17">
        <f>_xll.BDH("LUMN US Equity","BS_OTHER_INV","FQ4 2019","FQ4 2019","Currency=USD","Period=FQ","BEST_FPERIOD_OVERRIDE=FQ","FILING_STATUS=MR","SCALING_FORMAT=MLN","Sort=A","Dates=H","DateFormat=P","Fill=—","Direction=H","UseDPDF=Y")</f>
        <v>0</v>
      </c>
      <c r="K18" s="17">
        <f>_xll.BDH("LUMN US Equity","BS_OTHER_INV","FQ1 2020","FQ1 2020","Currency=USD","Period=FQ","BEST_FPERIOD_OVERRIDE=FQ","FILING_STATUS=MR","SCALING_FORMAT=MLN","Sort=A","Dates=H","DateFormat=P","Fill=—","Direction=H","UseDPDF=Y")</f>
        <v>0</v>
      </c>
      <c r="L18" s="17">
        <f>_xll.BDH("LUMN US Equity","BS_OTHER_INV","FQ2 2020","FQ2 2020","Currency=USD","Period=FQ","BEST_FPERIOD_OVERRIDE=FQ","FILING_STATUS=MR","SCALING_FORMAT=MLN","Sort=A","Dates=H","DateFormat=P","Fill=—","Direction=H","UseDPDF=Y")</f>
        <v>0</v>
      </c>
    </row>
    <row r="19" spans="1:12" x14ac:dyDescent="0.25">
      <c r="A19" s="16" t="s">
        <v>314</v>
      </c>
      <c r="B19" s="16" t="s">
        <v>313</v>
      </c>
      <c r="C19" s="17">
        <f>_xll.BDH("LUMN US Equity","OTHER_CURRENT_ASSETS_DETAILED","FQ1 2018","FQ1 2018","Currency=USD","Period=FQ","BEST_FPERIOD_OVERRIDE=FQ","FILING_STATUS=MR","SCALING_FORMAT=MLN","Sort=A","Dates=H","DateFormat=P","Fill=—","Direction=H","UseDPDF=Y")</f>
        <v>1250</v>
      </c>
      <c r="D19" s="17">
        <f>_xll.BDH("LUMN US Equity","OTHER_CURRENT_ASSETS_DETAILED","FQ2 2018","FQ2 2018","Currency=USD","Period=FQ","BEST_FPERIOD_OVERRIDE=FQ","FILING_STATUS=MR","SCALING_FORMAT=MLN","Sort=A","Dates=H","DateFormat=P","Fill=—","Direction=H","UseDPDF=Y")</f>
        <v>1280</v>
      </c>
      <c r="E19" s="17">
        <f>_xll.BDH("LUMN US Equity","OTHER_CURRENT_ASSETS_DETAILED","FQ3 2018","FQ3 2018","Currency=USD","Period=FQ","BEST_FPERIOD_OVERRIDE=FQ","FILING_STATUS=MR","SCALING_FORMAT=MLN","Sort=A","Dates=H","DateFormat=P","Fill=—","Direction=H","UseDPDF=Y")</f>
        <v>1259</v>
      </c>
      <c r="F19" s="17">
        <f>_xll.BDH("LUMN US Equity","OTHER_CURRENT_ASSETS_DETAILED","FQ4 2018","FQ4 2018","Currency=USD","Period=FQ","BEST_FPERIOD_OVERRIDE=FQ","FILING_STATUS=MR","SCALING_FORMAT=MLN","Sort=A","Dates=H","DateFormat=P","Fill=—","Direction=H","UseDPDF=Y")</f>
        <v>934</v>
      </c>
      <c r="G19" s="17">
        <f>_xll.BDH("LUMN US Equity","OTHER_CURRENT_ASSETS_DETAILED","FQ1 2019","FQ1 2019","Currency=USD","Period=FQ","BEST_FPERIOD_OVERRIDE=FQ","FILING_STATUS=MR","SCALING_FORMAT=MLN","Sort=A","Dates=H","DateFormat=P","Fill=—","Direction=H","UseDPDF=Y")</f>
        <v>974</v>
      </c>
      <c r="H19" s="17">
        <f>_xll.BDH("LUMN US Equity","OTHER_CURRENT_ASSETS_DETAILED","FQ2 2019","FQ2 2019","Currency=USD","Period=FQ","BEST_FPERIOD_OVERRIDE=FQ","FILING_STATUS=MR","SCALING_FORMAT=MLN","Sort=A","Dates=H","DateFormat=P","Fill=—","Direction=H","UseDPDF=Y")</f>
        <v>965</v>
      </c>
      <c r="I19" s="17">
        <f>_xll.BDH("LUMN US Equity","OTHER_CURRENT_ASSETS_DETAILED","FQ3 2019","FQ3 2019","Currency=USD","Period=FQ","BEST_FPERIOD_OVERRIDE=FQ","FILING_STATUS=MR","SCALING_FORMAT=MLN","Sort=A","Dates=H","DateFormat=P","Fill=—","Direction=H","UseDPDF=Y")</f>
        <v>844</v>
      </c>
      <c r="J19" s="17">
        <f>_xll.BDH("LUMN US Equity","OTHER_CURRENT_ASSETS_DETAILED","FQ4 2019","FQ4 2019","Currency=USD","Period=FQ","BEST_FPERIOD_OVERRIDE=FQ","FILING_STATUS=MR","SCALING_FORMAT=MLN","Sort=A","Dates=H","DateFormat=P","Fill=—","Direction=H","UseDPDF=Y")</f>
        <v>819</v>
      </c>
      <c r="K19" s="17">
        <f>_xll.BDH("LUMN US Equity","OTHER_CURRENT_ASSETS_DETAILED","FQ1 2020","FQ1 2020","Currency=USD","Period=FQ","BEST_FPERIOD_OVERRIDE=FQ","FILING_STATUS=MR","SCALING_FORMAT=MLN","Sort=A","Dates=H","DateFormat=P","Fill=—","Direction=H","UseDPDF=Y")</f>
        <v>918</v>
      </c>
      <c r="L19" s="17">
        <f>_xll.BDH("LUMN US Equity","OTHER_CURRENT_ASSETS_DETAILED","FQ2 2020","FQ2 2020","Currency=USD","Period=FQ","BEST_FPERIOD_OVERRIDE=FQ","FILING_STATUS=MR","SCALING_FORMAT=MLN","Sort=A","Dates=H","DateFormat=P","Fill=—","Direction=H","UseDPDF=Y")</f>
        <v>880</v>
      </c>
    </row>
    <row r="20" spans="1:12" x14ac:dyDescent="0.25">
      <c r="A20" s="16" t="s">
        <v>312</v>
      </c>
      <c r="B20" s="16" t="s">
        <v>311</v>
      </c>
      <c r="C20" s="17" t="str">
        <f>_xll.BDH("LUMN US Equity","BS_PREPAY","FQ1 2018","FQ1 2018","Currency=USD","Period=FQ","BEST_FPERIOD_OVERRIDE=FQ","FILING_STATUS=MR","SCALING_FORMAT=MLN","Sort=A","Dates=H","DateFormat=P","Fill=—","Direction=H","UseDPDF=Y")</f>
        <v>—</v>
      </c>
      <c r="D20" s="17" t="str">
        <f>_xll.BDH("LUMN US Equity","BS_PREPAY","FQ2 2018","FQ2 2018","Currency=USD","Period=FQ","BEST_FPERIOD_OVERRIDE=FQ","FILING_STATUS=MR","SCALING_FORMAT=MLN","Sort=A","Dates=H","DateFormat=P","Fill=—","Direction=H","UseDPDF=Y")</f>
        <v>—</v>
      </c>
      <c r="E20" s="17" t="str">
        <f>_xll.BDH("LUMN US Equity","BS_PREPAY","FQ3 2018","FQ3 2018","Currency=USD","Period=FQ","BEST_FPERIOD_OVERRIDE=FQ","FILING_STATUS=MR","SCALING_FORMAT=MLN","Sort=A","Dates=H","DateFormat=P","Fill=—","Direction=H","UseDPDF=Y")</f>
        <v>—</v>
      </c>
      <c r="F20" s="17" t="str">
        <f>_xll.BDH("LUMN US Equity","BS_PREPAY","FQ4 2018","FQ4 2018","Currency=USD","Period=FQ","BEST_FPERIOD_OVERRIDE=FQ","FILING_STATUS=MR","SCALING_FORMAT=MLN","Sort=A","Dates=H","DateFormat=P","Fill=—","Direction=H","UseDPDF=Y")</f>
        <v>—</v>
      </c>
      <c r="G20" s="17">
        <f>_xll.BDH("LUMN US Equity","BS_PREPAY","FQ1 2019","FQ1 2019","Currency=USD","Period=FQ","BEST_FPERIOD_OVERRIDE=FQ","FILING_STATUS=MR","SCALING_FORMAT=MLN","Sort=A","Dates=H","DateFormat=P","Fill=—","Direction=H","UseDPDF=Y")</f>
        <v>386</v>
      </c>
      <c r="H20" s="17">
        <f>_xll.BDH("LUMN US Equity","BS_PREPAY","FQ2 2019","FQ2 2019","Currency=USD","Period=FQ","BEST_FPERIOD_OVERRIDE=FQ","FILING_STATUS=MR","SCALING_FORMAT=MLN","Sort=A","Dates=H","DateFormat=P","Fill=—","Direction=H","UseDPDF=Y")</f>
        <v>371</v>
      </c>
      <c r="I20" s="17">
        <f>_xll.BDH("LUMN US Equity","BS_PREPAY","FQ3 2019","FQ3 2019","Currency=USD","Period=FQ","BEST_FPERIOD_OVERRIDE=FQ","FILING_STATUS=MR","SCALING_FORMAT=MLN","Sort=A","Dates=H","DateFormat=P","Fill=—","Direction=H","UseDPDF=Y")</f>
        <v>352</v>
      </c>
      <c r="J20" s="17" t="str">
        <f>_xll.BDH("LUMN US Equity","BS_PREPAY","FQ4 2019","FQ4 2019","Currency=USD","Period=FQ","BEST_FPERIOD_OVERRIDE=FQ","FILING_STATUS=MR","SCALING_FORMAT=MLN","Sort=A","Dates=H","DateFormat=P","Fill=—","Direction=H","UseDPDF=Y")</f>
        <v>—</v>
      </c>
      <c r="K20" s="17">
        <f>_xll.BDH("LUMN US Equity","BS_PREPAY","FQ1 2020","FQ1 2020","Currency=USD","Period=FQ","BEST_FPERIOD_OVERRIDE=FQ","FILING_STATUS=MR","SCALING_FORMAT=MLN","Sort=A","Dates=H","DateFormat=P","Fill=—","Direction=H","UseDPDF=Y")</f>
        <v>333</v>
      </c>
      <c r="L20" s="17">
        <f>_xll.BDH("LUMN US Equity","BS_PREPAY","FQ2 2020","FQ2 2020","Currency=USD","Period=FQ","BEST_FPERIOD_OVERRIDE=FQ","FILING_STATUS=MR","SCALING_FORMAT=MLN","Sort=A","Dates=H","DateFormat=P","Fill=—","Direction=H","UseDPDF=Y")</f>
        <v>340</v>
      </c>
    </row>
    <row r="21" spans="1:12" x14ac:dyDescent="0.25">
      <c r="A21" s="16" t="s">
        <v>283</v>
      </c>
      <c r="B21" s="16" t="s">
        <v>310</v>
      </c>
      <c r="C21" s="17" t="str">
        <f>_xll.BDH("LUMN US Equity","BS_DERIV_&amp;_HEDGING_ASSETS_ST","FQ1 2018","FQ1 2018","Currency=USD","Period=FQ","BEST_FPERIOD_OVERRIDE=FQ","FILING_STATUS=MR","SCALING_FORMAT=MLN","Sort=A","Dates=H","DateFormat=P","Fill=—","Direction=H","UseDPDF=Y")</f>
        <v>—</v>
      </c>
      <c r="D21" s="17" t="str">
        <f>_xll.BDH("LUMN US Equity","BS_DERIV_&amp;_HEDGING_ASSETS_ST","FQ2 2018","FQ2 2018","Currency=USD","Period=FQ","BEST_FPERIOD_OVERRIDE=FQ","FILING_STATUS=MR","SCALING_FORMAT=MLN","Sort=A","Dates=H","DateFormat=P","Fill=—","Direction=H","UseDPDF=Y")</f>
        <v>—</v>
      </c>
      <c r="E21" s="17" t="str">
        <f>_xll.BDH("LUMN US Equity","BS_DERIV_&amp;_HEDGING_ASSETS_ST","FQ3 2018","FQ3 2018","Currency=USD","Period=FQ","BEST_FPERIOD_OVERRIDE=FQ","FILING_STATUS=MR","SCALING_FORMAT=MLN","Sort=A","Dates=H","DateFormat=P","Fill=—","Direction=H","UseDPDF=Y")</f>
        <v>—</v>
      </c>
      <c r="F21" s="17">
        <f>_xll.BDH("LUMN US Equity","BS_DERIV_&amp;_HEDGING_ASSETS_ST","FQ4 2018","FQ4 2018","Currency=USD","Period=FQ","BEST_FPERIOD_OVERRIDE=FQ","FILING_STATUS=MR","SCALING_FORMAT=MLN","Sort=A","Dates=H","DateFormat=P","Fill=—","Direction=H","UseDPDF=Y")</f>
        <v>0</v>
      </c>
      <c r="G21" s="17" t="str">
        <f>_xll.BDH("LUMN US Equity","BS_DERIV_&amp;_HEDGING_ASSETS_ST","FQ1 2019","FQ1 2019","Currency=USD","Period=FQ","BEST_FPERIOD_OVERRIDE=FQ","FILING_STATUS=MR","SCALING_FORMAT=MLN","Sort=A","Dates=H","DateFormat=P","Fill=—","Direction=H","UseDPDF=Y")</f>
        <v>—</v>
      </c>
      <c r="H21" s="17" t="str">
        <f>_xll.BDH("LUMN US Equity","BS_DERIV_&amp;_HEDGING_ASSETS_ST","FQ2 2019","FQ2 2019","Currency=USD","Period=FQ","BEST_FPERIOD_OVERRIDE=FQ","FILING_STATUS=MR","SCALING_FORMAT=MLN","Sort=A","Dates=H","DateFormat=P","Fill=—","Direction=H","UseDPDF=Y")</f>
        <v>—</v>
      </c>
      <c r="I21" s="17" t="str">
        <f>_xll.BDH("LUMN US Equity","BS_DERIV_&amp;_HEDGING_ASSETS_ST","FQ3 2019","FQ3 2019","Currency=USD","Period=FQ","BEST_FPERIOD_OVERRIDE=FQ","FILING_STATUS=MR","SCALING_FORMAT=MLN","Sort=A","Dates=H","DateFormat=P","Fill=—","Direction=H","UseDPDF=Y")</f>
        <v>—</v>
      </c>
      <c r="J21" s="17">
        <f>_xll.BDH("LUMN US Equity","BS_DERIV_&amp;_HEDGING_ASSETS_ST","FQ4 2019","FQ4 2019","Currency=USD","Period=FQ","BEST_FPERIOD_OVERRIDE=FQ","FILING_STATUS=MR","SCALING_FORMAT=MLN","Sort=A","Dates=H","DateFormat=P","Fill=—","Direction=H","UseDPDF=Y")</f>
        <v>0</v>
      </c>
      <c r="K21" s="17" t="str">
        <f>_xll.BDH("LUMN US Equity","BS_DERIV_&amp;_HEDGING_ASSETS_ST","FQ1 2020","FQ1 2020","Currency=USD","Period=FQ","BEST_FPERIOD_OVERRIDE=FQ","FILING_STATUS=MR","SCALING_FORMAT=MLN","Sort=A","Dates=H","DateFormat=P","Fill=—","Direction=H","UseDPDF=Y")</f>
        <v>—</v>
      </c>
      <c r="L21" s="17" t="str">
        <f>_xll.BDH("LUMN US Equity","BS_DERIV_&amp;_HEDGING_ASSETS_ST","FQ2 2020","FQ2 2020","Currency=USD","Period=FQ","BEST_FPERIOD_OVERRIDE=FQ","FILING_STATUS=MR","SCALING_FORMAT=MLN","Sort=A","Dates=H","DateFormat=P","Fill=—","Direction=H","UseDPDF=Y")</f>
        <v>—</v>
      </c>
    </row>
    <row r="22" spans="1:12" x14ac:dyDescent="0.25">
      <c r="A22" s="16" t="s">
        <v>309</v>
      </c>
      <c r="B22" s="16" t="s">
        <v>308</v>
      </c>
      <c r="C22" s="17">
        <f>_xll.BDH("LUMN US Equity","BS_ASSETS_HELD_FOR_SALE_ST","FQ1 2018","FQ1 2018","Currency=USD","Period=FQ","BEST_FPERIOD_OVERRIDE=FQ","FILING_STATUS=MR","SCALING_FORMAT=MLN","Sort=A","Dates=H","DateFormat=P","Fill=—","Direction=H","UseDPDF=Y")</f>
        <v>140</v>
      </c>
      <c r="D22" s="17">
        <f>_xll.BDH("LUMN US Equity","BS_ASSETS_HELD_FOR_SALE_ST","FQ2 2018","FQ2 2018","Currency=USD","Period=FQ","BEST_FPERIOD_OVERRIDE=FQ","FILING_STATUS=MR","SCALING_FORMAT=MLN","Sort=A","Dates=H","DateFormat=P","Fill=—","Direction=H","UseDPDF=Y")</f>
        <v>15</v>
      </c>
      <c r="E22" s="17">
        <f>_xll.BDH("LUMN US Equity","BS_ASSETS_HELD_FOR_SALE_ST","FQ3 2018","FQ3 2018","Currency=USD","Period=FQ","BEST_FPERIOD_OVERRIDE=FQ","FILING_STATUS=MR","SCALING_FORMAT=MLN","Sort=A","Dates=H","DateFormat=P","Fill=—","Direction=H","UseDPDF=Y")</f>
        <v>19</v>
      </c>
      <c r="F22" s="17">
        <f>_xll.BDH("LUMN US Equity","BS_ASSETS_HELD_FOR_SALE_ST","FQ4 2018","FQ4 2018","Currency=USD","Period=FQ","BEST_FPERIOD_OVERRIDE=FQ","FILING_STATUS=MR","SCALING_FORMAT=MLN","Sort=A","Dates=H","DateFormat=P","Fill=—","Direction=H","UseDPDF=Y")</f>
        <v>12</v>
      </c>
      <c r="G22" s="17">
        <f>_xll.BDH("LUMN US Equity","BS_ASSETS_HELD_FOR_SALE_ST","FQ1 2019","FQ1 2019","Currency=USD","Period=FQ","BEST_FPERIOD_OVERRIDE=FQ","FILING_STATUS=MR","SCALING_FORMAT=MLN","Sort=A","Dates=H","DateFormat=P","Fill=—","Direction=H","UseDPDF=Y")</f>
        <v>3</v>
      </c>
      <c r="H22" s="17">
        <f>_xll.BDH("LUMN US Equity","BS_ASSETS_HELD_FOR_SALE_ST","FQ2 2019","FQ2 2019","Currency=USD","Period=FQ","BEST_FPERIOD_OVERRIDE=FQ","FILING_STATUS=MR","SCALING_FORMAT=MLN","Sort=A","Dates=H","DateFormat=P","Fill=—","Direction=H","UseDPDF=Y")</f>
        <v>8</v>
      </c>
      <c r="I22" s="17">
        <f>_xll.BDH("LUMN US Equity","BS_ASSETS_HELD_FOR_SALE_ST","FQ3 2019","FQ3 2019","Currency=USD","Period=FQ","BEST_FPERIOD_OVERRIDE=FQ","FILING_STATUS=MR","SCALING_FORMAT=MLN","Sort=A","Dates=H","DateFormat=P","Fill=—","Direction=H","UseDPDF=Y")</f>
        <v>8</v>
      </c>
      <c r="J22" s="17">
        <f>_xll.BDH("LUMN US Equity","BS_ASSETS_HELD_FOR_SALE_ST","FQ4 2019","FQ4 2019","Currency=USD","Period=FQ","BEST_FPERIOD_OVERRIDE=FQ","FILING_STATUS=MR","SCALING_FORMAT=MLN","Sort=A","Dates=H","DateFormat=P","Fill=—","Direction=H","UseDPDF=Y")</f>
        <v>8</v>
      </c>
      <c r="K22" s="17">
        <f>_xll.BDH("LUMN US Equity","BS_ASSETS_HELD_FOR_SALE_ST","FQ1 2020","FQ1 2020","Currency=USD","Period=FQ","BEST_FPERIOD_OVERRIDE=FQ","FILING_STATUS=MR","SCALING_FORMAT=MLN","Sort=A","Dates=H","DateFormat=P","Fill=—","Direction=H","UseDPDF=Y")</f>
        <v>7</v>
      </c>
      <c r="L22" s="17" t="str">
        <f>_xll.BDH("LUMN US Equity","BS_ASSETS_HELD_FOR_SALE_ST","FQ2 2020","FQ2 2020","Currency=USD","Period=FQ","BEST_FPERIOD_OVERRIDE=FQ","FILING_STATUS=MR","SCALING_FORMAT=MLN","Sort=A","Dates=H","DateFormat=P","Fill=—","Direction=H","UseDPDF=Y")</f>
        <v>—</v>
      </c>
    </row>
    <row r="23" spans="1:12" x14ac:dyDescent="0.25">
      <c r="A23" s="16" t="s">
        <v>307</v>
      </c>
      <c r="B23" s="16" t="s">
        <v>306</v>
      </c>
      <c r="C23" s="17" t="str">
        <f>_xll.BDH("LUMN US Equity","BS_DEFERRED_TAX_ASSETS_ST","FQ1 2018","FQ1 2018","Currency=USD","Period=FQ","BEST_FPERIOD_OVERRIDE=FQ","FILING_STATUS=MR","SCALING_FORMAT=MLN","Sort=A","Dates=H","DateFormat=P","Fill=—","Direction=H","UseDPDF=Y")</f>
        <v>—</v>
      </c>
      <c r="D23" s="17">
        <f>_xll.BDH("LUMN US Equity","BS_DEFERRED_TAX_ASSETS_ST","FQ2 2018","FQ2 2018","Currency=USD","Period=FQ","BEST_FPERIOD_OVERRIDE=FQ","FILING_STATUS=MR","SCALING_FORMAT=MLN","Sort=A","Dates=H","DateFormat=P","Fill=—","Direction=H","UseDPDF=Y")</f>
        <v>0</v>
      </c>
      <c r="E23" s="17">
        <f>_xll.BDH("LUMN US Equity","BS_DEFERRED_TAX_ASSETS_ST","FQ3 2018","FQ3 2018","Currency=USD","Period=FQ","BEST_FPERIOD_OVERRIDE=FQ","FILING_STATUS=MR","SCALING_FORMAT=MLN","Sort=A","Dates=H","DateFormat=P","Fill=—","Direction=H","UseDPDF=Y")</f>
        <v>0</v>
      </c>
      <c r="F23" s="17" t="str">
        <f>_xll.BDH("LUMN US Equity","BS_DEFERRED_TAX_ASSETS_ST","FQ4 2018","FQ4 2018","Currency=USD","Period=FQ","BEST_FPERIOD_OVERRIDE=FQ","FILING_STATUS=MR","SCALING_FORMAT=MLN","Sort=A","Dates=H","DateFormat=P","Fill=—","Direction=H","UseDPDF=Y")</f>
        <v>—</v>
      </c>
      <c r="G23" s="17" t="str">
        <f>_xll.BDH("LUMN US Equity","BS_DEFERRED_TAX_ASSETS_ST","FQ1 2019","FQ1 2019","Currency=USD","Period=FQ","BEST_FPERIOD_OVERRIDE=FQ","FILING_STATUS=MR","SCALING_FORMAT=MLN","Sort=A","Dates=H","DateFormat=P","Fill=—","Direction=H","UseDPDF=Y")</f>
        <v>—</v>
      </c>
      <c r="H23" s="17" t="str">
        <f>_xll.BDH("LUMN US Equity","BS_DEFERRED_TAX_ASSETS_ST","FQ2 2019","FQ2 2019","Currency=USD","Period=FQ","BEST_FPERIOD_OVERRIDE=FQ","FILING_STATUS=MR","SCALING_FORMAT=MLN","Sort=A","Dates=H","DateFormat=P","Fill=—","Direction=H","UseDPDF=Y")</f>
        <v>—</v>
      </c>
      <c r="I23" s="17">
        <f>_xll.BDH("LUMN US Equity","BS_DEFERRED_TAX_ASSETS_ST","FQ3 2019","FQ3 2019","Currency=USD","Period=FQ","BEST_FPERIOD_OVERRIDE=FQ","FILING_STATUS=MR","SCALING_FORMAT=MLN","Sort=A","Dates=H","DateFormat=P","Fill=—","Direction=H","UseDPDF=Y")</f>
        <v>0</v>
      </c>
      <c r="J23" s="17" t="str">
        <f>_xll.BDH("LUMN US Equity","BS_DEFERRED_TAX_ASSETS_ST","FQ4 2019","FQ4 2019","Currency=USD","Period=FQ","BEST_FPERIOD_OVERRIDE=FQ","FILING_STATUS=MR","SCALING_FORMAT=MLN","Sort=A","Dates=H","DateFormat=P","Fill=—","Direction=H","UseDPDF=Y")</f>
        <v>—</v>
      </c>
      <c r="K23" s="17" t="str">
        <f>_xll.BDH("LUMN US Equity","BS_DEFERRED_TAX_ASSETS_ST","FQ1 2020","FQ1 2020","Currency=USD","Period=FQ","BEST_FPERIOD_OVERRIDE=FQ","FILING_STATUS=MR","SCALING_FORMAT=MLN","Sort=A","Dates=H","DateFormat=P","Fill=—","Direction=H","UseDPDF=Y")</f>
        <v>—</v>
      </c>
      <c r="L23" s="17" t="str">
        <f>_xll.BDH("LUMN US Equity","BS_DEFERRED_TAX_ASSETS_ST","FQ2 2020","FQ2 2020","Currency=USD","Period=FQ","BEST_FPERIOD_OVERRIDE=FQ","FILING_STATUS=MR","SCALING_FORMAT=MLN","Sort=A","Dates=H","DateFormat=P","Fill=—","Direction=H","UseDPDF=Y")</f>
        <v>—</v>
      </c>
    </row>
    <row r="24" spans="1:12" x14ac:dyDescent="0.25">
      <c r="A24" s="16" t="s">
        <v>305</v>
      </c>
      <c r="B24" s="16" t="s">
        <v>304</v>
      </c>
      <c r="C24" s="17" t="str">
        <f>_xll.BDH("LUMN US Equity","BS_TAXES_RECEIVABLE_SHORT_TERM","FQ1 2018","FQ1 2018","Currency=USD","Period=FQ","BEST_FPERIOD_OVERRIDE=FQ","FILING_STATUS=MR","SCALING_FORMAT=MLN","Sort=A","Dates=H","DateFormat=P","Fill=—","Direction=H","UseDPDF=Y")</f>
        <v>—</v>
      </c>
      <c r="D24" s="17">
        <f>_xll.BDH("LUMN US Equity","BS_TAXES_RECEIVABLE_SHORT_TERM","FQ2 2018","FQ2 2018","Currency=USD","Period=FQ","BEST_FPERIOD_OVERRIDE=FQ","FILING_STATUS=MR","SCALING_FORMAT=MLN","Sort=A","Dates=H","DateFormat=P","Fill=—","Direction=H","UseDPDF=Y")</f>
        <v>0</v>
      </c>
      <c r="E24" s="17">
        <f>_xll.BDH("LUMN US Equity","BS_TAXES_RECEIVABLE_SHORT_TERM","FQ3 2018","FQ3 2018","Currency=USD","Period=FQ","BEST_FPERIOD_OVERRIDE=FQ","FILING_STATUS=MR","SCALING_FORMAT=MLN","Sort=A","Dates=H","DateFormat=P","Fill=—","Direction=H","UseDPDF=Y")</f>
        <v>0</v>
      </c>
      <c r="F24" s="17">
        <f>_xll.BDH("LUMN US Equity","BS_TAXES_RECEIVABLE_SHORT_TERM","FQ4 2018","FQ4 2018","Currency=USD","Period=FQ","BEST_FPERIOD_OVERRIDE=FQ","FILING_STATUS=MR","SCALING_FORMAT=MLN","Sort=A","Dates=H","DateFormat=P","Fill=—","Direction=H","UseDPDF=Y")</f>
        <v>0</v>
      </c>
      <c r="G24" s="17">
        <f>_xll.BDH("LUMN US Equity","BS_TAXES_RECEIVABLE_SHORT_TERM","FQ1 2019","FQ1 2019","Currency=USD","Period=FQ","BEST_FPERIOD_OVERRIDE=FQ","FILING_STATUS=MR","SCALING_FORMAT=MLN","Sort=A","Dates=H","DateFormat=P","Fill=—","Direction=H","UseDPDF=Y")</f>
        <v>69</v>
      </c>
      <c r="H24" s="17">
        <f>_xll.BDH("LUMN US Equity","BS_TAXES_RECEIVABLE_SHORT_TERM","FQ2 2019","FQ2 2019","Currency=USD","Period=FQ","BEST_FPERIOD_OVERRIDE=FQ","FILING_STATUS=MR","SCALING_FORMAT=MLN","Sort=A","Dates=H","DateFormat=P","Fill=—","Direction=H","UseDPDF=Y")</f>
        <v>87</v>
      </c>
      <c r="I24" s="17">
        <f>_xll.BDH("LUMN US Equity","BS_TAXES_RECEIVABLE_SHORT_TERM","FQ3 2019","FQ3 2019","Currency=USD","Period=FQ","BEST_FPERIOD_OVERRIDE=FQ","FILING_STATUS=MR","SCALING_FORMAT=MLN","Sort=A","Dates=H","DateFormat=P","Fill=—","Direction=H","UseDPDF=Y")</f>
        <v>5</v>
      </c>
      <c r="J24" s="17">
        <f>_xll.BDH("LUMN US Equity","BS_TAXES_RECEIVABLE_SHORT_TERM","FQ4 2019","FQ4 2019","Currency=USD","Period=FQ","BEST_FPERIOD_OVERRIDE=FQ","FILING_STATUS=MR","SCALING_FORMAT=MLN","Sort=A","Dates=H","DateFormat=P","Fill=—","Direction=H","UseDPDF=Y")</f>
        <v>0</v>
      </c>
      <c r="K24" s="17">
        <f>_xll.BDH("LUMN US Equity","BS_TAXES_RECEIVABLE_SHORT_TERM","FQ1 2020","FQ1 2020","Currency=USD","Period=FQ","BEST_FPERIOD_OVERRIDE=FQ","FILING_STATUS=MR","SCALING_FORMAT=MLN","Sort=A","Dates=H","DateFormat=P","Fill=—","Direction=H","UseDPDF=Y")</f>
        <v>73</v>
      </c>
      <c r="L24" s="17">
        <f>_xll.BDH("LUMN US Equity","BS_TAXES_RECEIVABLE_SHORT_TERM","FQ2 2020","FQ2 2020","Currency=USD","Period=FQ","BEST_FPERIOD_OVERRIDE=FQ","FILING_STATUS=MR","SCALING_FORMAT=MLN","Sort=A","Dates=H","DateFormat=P","Fill=—","Direction=H","UseDPDF=Y")</f>
        <v>69</v>
      </c>
    </row>
    <row r="25" spans="1:12" x14ac:dyDescent="0.25">
      <c r="A25" s="16" t="s">
        <v>303</v>
      </c>
      <c r="B25" s="16" t="s">
        <v>302</v>
      </c>
      <c r="C25" s="17">
        <f>_xll.BDH("LUMN US Equity","BS_OTHER_CUR_ASSET_LESS_PREPAY","FQ1 2018","FQ1 2018","Currency=USD","Period=FQ","BEST_FPERIOD_OVERRIDE=FQ","FILING_STATUS=MR","SCALING_FORMAT=MLN","Sort=A","Dates=H","DateFormat=P","Fill=—","Direction=H","UseDPDF=Y")</f>
        <v>1110</v>
      </c>
      <c r="D25" s="17">
        <f>_xll.BDH("LUMN US Equity","BS_OTHER_CUR_ASSET_LESS_PREPAY","FQ2 2018","FQ2 2018","Currency=USD","Period=FQ","BEST_FPERIOD_OVERRIDE=FQ","FILING_STATUS=MR","SCALING_FORMAT=MLN","Sort=A","Dates=H","DateFormat=P","Fill=—","Direction=H","UseDPDF=Y")</f>
        <v>1265</v>
      </c>
      <c r="E25" s="17">
        <f>_xll.BDH("LUMN US Equity","BS_OTHER_CUR_ASSET_LESS_PREPAY","FQ3 2018","FQ3 2018","Currency=USD","Period=FQ","BEST_FPERIOD_OVERRIDE=FQ","FILING_STATUS=MR","SCALING_FORMAT=MLN","Sort=A","Dates=H","DateFormat=P","Fill=—","Direction=H","UseDPDF=Y")</f>
        <v>1240</v>
      </c>
      <c r="F25" s="17">
        <f>_xll.BDH("LUMN US Equity","BS_OTHER_CUR_ASSET_LESS_PREPAY","FQ4 2018","FQ4 2018","Currency=USD","Period=FQ","BEST_FPERIOD_OVERRIDE=FQ","FILING_STATUS=MR","SCALING_FORMAT=MLN","Sort=A","Dates=H","DateFormat=P","Fill=—","Direction=H","UseDPDF=Y")</f>
        <v>922</v>
      </c>
      <c r="G25" s="17">
        <f>_xll.BDH("LUMN US Equity","BS_OTHER_CUR_ASSET_LESS_PREPAY","FQ1 2019","FQ1 2019","Currency=USD","Period=FQ","BEST_FPERIOD_OVERRIDE=FQ","FILING_STATUS=MR","SCALING_FORMAT=MLN","Sort=A","Dates=H","DateFormat=P","Fill=—","Direction=H","UseDPDF=Y")</f>
        <v>516</v>
      </c>
      <c r="H25" s="17">
        <f>_xll.BDH("LUMN US Equity","BS_OTHER_CUR_ASSET_LESS_PREPAY","FQ2 2019","FQ2 2019","Currency=USD","Period=FQ","BEST_FPERIOD_OVERRIDE=FQ","FILING_STATUS=MR","SCALING_FORMAT=MLN","Sort=A","Dates=H","DateFormat=P","Fill=—","Direction=H","UseDPDF=Y")</f>
        <v>499</v>
      </c>
      <c r="I25" s="17">
        <f>_xll.BDH("LUMN US Equity","BS_OTHER_CUR_ASSET_LESS_PREPAY","FQ3 2019","FQ3 2019","Currency=USD","Period=FQ","BEST_FPERIOD_OVERRIDE=FQ","FILING_STATUS=MR","SCALING_FORMAT=MLN","Sort=A","Dates=H","DateFormat=P","Fill=—","Direction=H","UseDPDF=Y")</f>
        <v>479</v>
      </c>
      <c r="J25" s="17">
        <f>_xll.BDH("LUMN US Equity","BS_OTHER_CUR_ASSET_LESS_PREPAY","FQ4 2019","FQ4 2019","Currency=USD","Period=FQ","BEST_FPERIOD_OVERRIDE=FQ","FILING_STATUS=MR","SCALING_FORMAT=MLN","Sort=A","Dates=H","DateFormat=P","Fill=—","Direction=H","UseDPDF=Y")</f>
        <v>811</v>
      </c>
      <c r="K25" s="17">
        <f>_xll.BDH("LUMN US Equity","BS_OTHER_CUR_ASSET_LESS_PREPAY","FQ1 2020","FQ1 2020","Currency=USD","Period=FQ","BEST_FPERIOD_OVERRIDE=FQ","FILING_STATUS=MR","SCALING_FORMAT=MLN","Sort=A","Dates=H","DateFormat=P","Fill=—","Direction=H","UseDPDF=Y")</f>
        <v>505</v>
      </c>
      <c r="L25" s="17">
        <f>_xll.BDH("LUMN US Equity","BS_OTHER_CUR_ASSET_LESS_PREPAY","FQ2 2020","FQ2 2020","Currency=USD","Period=FQ","BEST_FPERIOD_OVERRIDE=FQ","FILING_STATUS=MR","SCALING_FORMAT=MLN","Sort=A","Dates=H","DateFormat=P","Fill=—","Direction=H","UseDPDF=Y")</f>
        <v>471</v>
      </c>
    </row>
    <row r="26" spans="1:12" x14ac:dyDescent="0.25">
      <c r="A26" s="12" t="s">
        <v>301</v>
      </c>
      <c r="B26" s="12" t="s">
        <v>300</v>
      </c>
      <c r="C26" s="10">
        <f>_xll.BDH("LUMN US Equity","BS_CUR_ASSET_REPORT","FQ1 2018","FQ1 2018","Currency=USD","Period=FQ","BEST_FPERIOD_OVERRIDE=FQ","FILING_STATUS=MR","SCALING_FORMAT=MLN","Sort=A","Dates=H","DateFormat=P","Fill=—","Direction=H","UseDPDF=Y")</f>
        <v>4183</v>
      </c>
      <c r="D26" s="10">
        <f>_xll.BDH("LUMN US Equity","BS_CUR_ASSET_REPORT","FQ2 2018","FQ2 2018","Currency=USD","Period=FQ","BEST_FPERIOD_OVERRIDE=FQ","FILING_STATUS=MR","SCALING_FORMAT=MLN","Sort=A","Dates=H","DateFormat=P","Fill=—","Direction=H","UseDPDF=Y")</f>
        <v>4451</v>
      </c>
      <c r="E26" s="10">
        <f>_xll.BDH("LUMN US Equity","BS_CUR_ASSET_REPORT","FQ3 2018","FQ3 2018","Currency=USD","Period=FQ","BEST_FPERIOD_OVERRIDE=FQ","FILING_STATUS=MR","SCALING_FORMAT=MLN","Sort=A","Dates=H","DateFormat=P","Fill=—","Direction=H","UseDPDF=Y")</f>
        <v>4114</v>
      </c>
      <c r="F26" s="10">
        <f>_xll.BDH("LUMN US Equity","BS_CUR_ASSET_REPORT","FQ4 2018","FQ4 2018","Currency=USD","Period=FQ","BEST_FPERIOD_OVERRIDE=FQ","FILING_STATUS=MR","SCALING_FORMAT=MLN","Sort=A","Dates=H","DateFormat=P","Fill=—","Direction=H","UseDPDF=Y")</f>
        <v>3820</v>
      </c>
      <c r="G26" s="10">
        <f>_xll.BDH("LUMN US Equity","BS_CUR_ASSET_REPORT","FQ1 2019","FQ1 2019","Currency=USD","Period=FQ","BEST_FPERIOD_OVERRIDE=FQ","FILING_STATUS=MR","SCALING_FORMAT=MLN","Sort=A","Dates=H","DateFormat=P","Fill=—","Direction=H","UseDPDF=Y")</f>
        <v>3820</v>
      </c>
      <c r="H26" s="10">
        <f>_xll.BDH("LUMN US Equity","BS_CUR_ASSET_REPORT","FQ2 2019","FQ2 2019","Currency=USD","Period=FQ","BEST_FPERIOD_OVERRIDE=FQ","FILING_STATUS=MR","SCALING_FORMAT=MLN","Sort=A","Dates=H","DateFormat=P","Fill=—","Direction=H","UseDPDF=Y")</f>
        <v>3878</v>
      </c>
      <c r="I26" s="10">
        <f>_xll.BDH("LUMN US Equity","BS_CUR_ASSET_REPORT","FQ3 2019","FQ3 2019","Currency=USD","Period=FQ","BEST_FPERIOD_OVERRIDE=FQ","FILING_STATUS=MR","SCALING_FORMAT=MLN","Sort=A","Dates=H","DateFormat=P","Fill=—","Direction=H","UseDPDF=Y")</f>
        <v>4589</v>
      </c>
      <c r="J26" s="10">
        <f>_xll.BDH("LUMN US Equity","BS_CUR_ASSET_REPORT","FQ4 2019","FQ4 2019","Currency=USD","Period=FQ","BEST_FPERIOD_OVERRIDE=FQ","FILING_STATUS=MR","SCALING_FORMAT=MLN","Sort=A","Dates=H","DateFormat=P","Fill=—","Direction=H","UseDPDF=Y")</f>
        <v>4768</v>
      </c>
      <c r="K26" s="10">
        <f>_xll.BDH("LUMN US Equity","BS_CUR_ASSET_REPORT","FQ1 2020","FQ1 2020","Currency=USD","Period=FQ","BEST_FPERIOD_OVERRIDE=FQ","FILING_STATUS=MR","SCALING_FORMAT=MLN","Sort=A","Dates=H","DateFormat=P","Fill=—","Direction=H","UseDPDF=Y")</f>
        <v>4690</v>
      </c>
      <c r="L26" s="10">
        <f>_xll.BDH("LUMN US Equity","BS_CUR_ASSET_REPORT","FQ2 2020","FQ2 2020","Currency=USD","Period=FQ","BEST_FPERIOD_OVERRIDE=FQ","FILING_STATUS=MR","SCALING_FORMAT=MLN","Sort=A","Dates=H","DateFormat=P","Fill=—","Direction=H","UseDPDF=Y")</f>
        <v>4858</v>
      </c>
    </row>
    <row r="27" spans="1:12" x14ac:dyDescent="0.25">
      <c r="A27" s="16" t="s">
        <v>299</v>
      </c>
      <c r="B27" s="16" t="s">
        <v>298</v>
      </c>
      <c r="C27" s="17">
        <f>_xll.BDH("LUMN US Equity","BS_NET_FIX_ASSET","FQ1 2018","FQ1 2018","Currency=USD","Period=FQ","BEST_FPERIOD_OVERRIDE=FQ","FILING_STATUS=MR","SCALING_FORMAT=MLN","Sort=A","Dates=H","DateFormat=P","Fill=—","Direction=H","UseDPDF=Y")</f>
        <v>26826</v>
      </c>
      <c r="D27" s="17">
        <f>_xll.BDH("LUMN US Equity","BS_NET_FIX_ASSET","FQ2 2018","FQ2 2018","Currency=USD","Period=FQ","BEST_FPERIOD_OVERRIDE=FQ","FILING_STATUS=MR","SCALING_FORMAT=MLN","Sort=A","Dates=H","DateFormat=P","Fill=—","Direction=H","UseDPDF=Y")</f>
        <v>26494</v>
      </c>
      <c r="E27" s="17">
        <f>_xll.BDH("LUMN US Equity","BS_NET_FIX_ASSET","FQ3 2018","FQ3 2018","Currency=USD","Period=FQ","BEST_FPERIOD_OVERRIDE=FQ","FILING_STATUS=MR","SCALING_FORMAT=MLN","Sort=A","Dates=H","DateFormat=P","Fill=—","Direction=H","UseDPDF=Y")</f>
        <v>26168</v>
      </c>
      <c r="F27" s="17">
        <f>_xll.BDH("LUMN US Equity","BS_NET_FIX_ASSET","FQ4 2018","FQ4 2018","Currency=USD","Period=FQ","BEST_FPERIOD_OVERRIDE=FQ","FILING_STATUS=MR","SCALING_FORMAT=MLN","Sort=A","Dates=H","DateFormat=P","Fill=—","Direction=H","UseDPDF=Y")</f>
        <v>26408</v>
      </c>
      <c r="G27" s="17">
        <f>_xll.BDH("LUMN US Equity","BS_NET_FIX_ASSET","FQ1 2019","FQ1 2019","Currency=USD","Period=FQ","BEST_FPERIOD_OVERRIDE=FQ","FILING_STATUS=MR","SCALING_FORMAT=MLN","Sort=A","Dates=H","DateFormat=P","Fill=—","Direction=H","UseDPDF=Y")</f>
        <v>27745</v>
      </c>
      <c r="H27" s="17">
        <f>_xll.BDH("LUMN US Equity","BS_NET_FIX_ASSET","FQ2 2019","FQ2 2019","Currency=USD","Period=FQ","BEST_FPERIOD_OVERRIDE=FQ","FILING_STATUS=MR","SCALING_FORMAT=MLN","Sort=A","Dates=H","DateFormat=P","Fill=—","Direction=H","UseDPDF=Y")</f>
        <v>27704</v>
      </c>
      <c r="I27" s="17">
        <f>_xll.BDH("LUMN US Equity","BS_NET_FIX_ASSET","FQ3 2019","FQ3 2019","Currency=USD","Period=FQ","BEST_FPERIOD_OVERRIDE=FQ","FILING_STATUS=MR","SCALING_FORMAT=MLN","Sort=A","Dates=H","DateFormat=P","Fill=—","Direction=H","UseDPDF=Y")</f>
        <v>27595</v>
      </c>
      <c r="J27" s="17">
        <f>_xll.BDH("LUMN US Equity","BS_NET_FIX_ASSET","FQ4 2019","FQ4 2019","Currency=USD","Period=FQ","BEST_FPERIOD_OVERRIDE=FQ","FILING_STATUS=MR","SCALING_FORMAT=MLN","Sort=A","Dates=H","DateFormat=P","Fill=—","Direction=H","UseDPDF=Y")</f>
        <v>27765</v>
      </c>
      <c r="K27" s="17">
        <f>_xll.BDH("LUMN US Equity","BS_NET_FIX_ASSET","FQ1 2020","FQ1 2020","Currency=USD","Period=FQ","BEST_FPERIOD_OVERRIDE=FQ","FILING_STATUS=MR","SCALING_FORMAT=MLN","Sort=A","Dates=H","DateFormat=P","Fill=—","Direction=H","UseDPDF=Y")</f>
        <v>27623</v>
      </c>
      <c r="L27" s="17">
        <f>_xll.BDH("LUMN US Equity","BS_NET_FIX_ASSET","FQ2 2020","FQ2 2020","Currency=USD","Period=FQ","BEST_FPERIOD_OVERRIDE=FQ","FILING_STATUS=MR","SCALING_FORMAT=MLN","Sort=A","Dates=H","DateFormat=P","Fill=—","Direction=H","UseDPDF=Y")</f>
        <v>26079</v>
      </c>
    </row>
    <row r="28" spans="1:12" x14ac:dyDescent="0.25">
      <c r="A28" s="16" t="s">
        <v>297</v>
      </c>
      <c r="B28" s="16" t="s">
        <v>296</v>
      </c>
      <c r="C28" s="17">
        <f>_xll.BDH("LUMN US Equity","BS_GROSS_FIX_ASSET","FQ1 2018","FQ1 2018","Currency=USD","Period=FQ","BEST_FPERIOD_OVERRIDE=FQ","FILING_STATUS=MR","SCALING_FORMAT=MLN","Sort=A","Dates=H","DateFormat=P","Fill=—","Direction=H","UseDPDF=Y")</f>
        <v>51942</v>
      </c>
      <c r="D28" s="17">
        <f>_xll.BDH("LUMN US Equity","BS_GROSS_FIX_ASSET","FQ2 2018","FQ2 2018","Currency=USD","Period=FQ","BEST_FPERIOD_OVERRIDE=FQ","FILING_STATUS=MR","SCALING_FORMAT=MLN","Sort=A","Dates=H","DateFormat=P","Fill=—","Direction=H","UseDPDF=Y")</f>
        <v>52366</v>
      </c>
      <c r="E28" s="17">
        <f>_xll.BDH("LUMN US Equity","BS_GROSS_FIX_ASSET","FQ3 2018","FQ3 2018","Currency=USD","Period=FQ","BEST_FPERIOD_OVERRIDE=FQ","FILING_STATUS=MR","SCALING_FORMAT=MLN","Sort=A","Dates=H","DateFormat=P","Fill=—","Direction=H","UseDPDF=Y")</f>
        <v>52661</v>
      </c>
      <c r="F28" s="17">
        <f>_xll.BDH("LUMN US Equity","BS_GROSS_FIX_ASSET","FQ4 2018","FQ4 2018","Currency=USD","Period=FQ","BEST_FPERIOD_OVERRIDE=FQ","FILING_STATUS=MR","SCALING_FORMAT=MLN","Sort=A","Dates=H","DateFormat=P","Fill=—","Direction=H","UseDPDF=Y")</f>
        <v>53267</v>
      </c>
      <c r="G28" s="17">
        <f>_xll.BDH("LUMN US Equity","BS_GROSS_FIX_ASSET","FQ1 2019","FQ1 2019","Currency=USD","Period=FQ","BEST_FPERIOD_OVERRIDE=FQ","FILING_STATUS=MR","SCALING_FORMAT=MLN","Sort=A","Dates=H","DateFormat=P","Fill=—","Direction=H","UseDPDF=Y")</f>
        <v>55130</v>
      </c>
      <c r="H28" s="17">
        <f>_xll.BDH("LUMN US Equity","BS_GROSS_FIX_ASSET","FQ2 2019","FQ2 2019","Currency=USD","Period=FQ","BEST_FPERIOD_OVERRIDE=FQ","FILING_STATUS=MR","SCALING_FORMAT=MLN","Sort=A","Dates=H","DateFormat=P","Fill=—","Direction=H","UseDPDF=Y")</f>
        <v>55801</v>
      </c>
      <c r="I28" s="17">
        <f>_xll.BDH("LUMN US Equity","BS_GROSS_FIX_ASSET","FQ3 2019","FQ3 2019","Currency=USD","Period=FQ","BEST_FPERIOD_OVERRIDE=FQ","FILING_STATUS=MR","SCALING_FORMAT=MLN","Sort=A","Dates=H","DateFormat=P","Fill=—","Direction=H","UseDPDF=Y")</f>
        <v>56355</v>
      </c>
      <c r="J28" s="17">
        <f>_xll.BDH("LUMN US Equity","BS_GROSS_FIX_ASSET","FQ4 2019","FQ4 2019","Currency=USD","Period=FQ","BEST_FPERIOD_OVERRIDE=FQ","FILING_STATUS=MR","SCALING_FORMAT=MLN","Sort=A","Dates=H","DateFormat=P","Fill=—","Direction=H","UseDPDF=Y")</f>
        <v>57111</v>
      </c>
      <c r="K28" s="17">
        <f>_xll.BDH("LUMN US Equity","BS_GROSS_FIX_ASSET","FQ1 2020","FQ1 2020","Currency=USD","Period=FQ","BEST_FPERIOD_OVERRIDE=FQ","FILING_STATUS=MR","SCALING_FORMAT=MLN","Sort=A","Dates=H","DateFormat=P","Fill=—","Direction=H","UseDPDF=Y")</f>
        <v>57437</v>
      </c>
      <c r="L28" s="17">
        <f>_xll.BDH("LUMN US Equity","BS_GROSS_FIX_ASSET","FQ2 2020","FQ2 2020","Currency=USD","Period=FQ","BEST_FPERIOD_OVERRIDE=FQ","FILING_STATUS=MR","SCALING_FORMAT=MLN","Sort=A","Dates=H","DateFormat=P","Fill=—","Direction=H","UseDPDF=Y")</f>
        <v>56411</v>
      </c>
    </row>
    <row r="29" spans="1:12" x14ac:dyDescent="0.25">
      <c r="A29" s="16" t="s">
        <v>295</v>
      </c>
      <c r="B29" s="16" t="s">
        <v>294</v>
      </c>
      <c r="C29" s="17">
        <f>_xll.BDH("LUMN US Equity","BS_ACCUM_DEPR","FQ1 2018","FQ1 2018","Currency=USD","Period=FQ","BEST_FPERIOD_OVERRIDE=FQ","FILING_STATUS=MR","SCALING_FORMAT=MLN","Sort=A","Dates=H","DateFormat=P","Fill=—","Direction=H","UseDPDF=Y")</f>
        <v>25116</v>
      </c>
      <c r="D29" s="17">
        <f>_xll.BDH("LUMN US Equity","BS_ACCUM_DEPR","FQ2 2018","FQ2 2018","Currency=USD","Period=FQ","BEST_FPERIOD_OVERRIDE=FQ","FILING_STATUS=MR","SCALING_FORMAT=MLN","Sort=A","Dates=H","DateFormat=P","Fill=—","Direction=H","UseDPDF=Y")</f>
        <v>25872</v>
      </c>
      <c r="E29" s="17">
        <f>_xll.BDH("LUMN US Equity","BS_ACCUM_DEPR","FQ3 2018","FQ3 2018","Currency=USD","Period=FQ","BEST_FPERIOD_OVERRIDE=FQ","FILING_STATUS=MR","SCALING_FORMAT=MLN","Sort=A","Dates=H","DateFormat=P","Fill=—","Direction=H","UseDPDF=Y")</f>
        <v>26493</v>
      </c>
      <c r="F29" s="17">
        <f>_xll.BDH("LUMN US Equity","BS_ACCUM_DEPR","FQ4 2018","FQ4 2018","Currency=USD","Period=FQ","BEST_FPERIOD_OVERRIDE=FQ","FILING_STATUS=MR","SCALING_FORMAT=MLN","Sort=A","Dates=H","DateFormat=P","Fill=—","Direction=H","UseDPDF=Y")</f>
        <v>26859</v>
      </c>
      <c r="G29" s="17">
        <f>_xll.BDH("LUMN US Equity","BS_ACCUM_DEPR","FQ1 2019","FQ1 2019","Currency=USD","Period=FQ","BEST_FPERIOD_OVERRIDE=FQ","FILING_STATUS=MR","SCALING_FORMAT=MLN","Sort=A","Dates=H","DateFormat=P","Fill=—","Direction=H","UseDPDF=Y")</f>
        <v>27385</v>
      </c>
      <c r="H29" s="17">
        <f>_xll.BDH("LUMN US Equity","BS_ACCUM_DEPR","FQ2 2019","FQ2 2019","Currency=USD","Period=FQ","BEST_FPERIOD_OVERRIDE=FQ","FILING_STATUS=MR","SCALING_FORMAT=MLN","Sort=A","Dates=H","DateFormat=P","Fill=—","Direction=H","UseDPDF=Y")</f>
        <v>28097</v>
      </c>
      <c r="I29" s="17">
        <f>_xll.BDH("LUMN US Equity","BS_ACCUM_DEPR","FQ3 2019","FQ3 2019","Currency=USD","Period=FQ","BEST_FPERIOD_OVERRIDE=FQ","FILING_STATUS=MR","SCALING_FORMAT=MLN","Sort=A","Dates=H","DateFormat=P","Fill=—","Direction=H","UseDPDF=Y")</f>
        <v>28760</v>
      </c>
      <c r="J29" s="17">
        <f>_xll.BDH("LUMN US Equity","BS_ACCUM_DEPR","FQ4 2019","FQ4 2019","Currency=USD","Period=FQ","BEST_FPERIOD_OVERRIDE=FQ","FILING_STATUS=MR","SCALING_FORMAT=MLN","Sort=A","Dates=H","DateFormat=P","Fill=—","Direction=H","UseDPDF=Y")</f>
        <v>29346</v>
      </c>
      <c r="K29" s="17">
        <f>_xll.BDH("LUMN US Equity","BS_ACCUM_DEPR","FQ1 2020","FQ1 2020","Currency=USD","Period=FQ","BEST_FPERIOD_OVERRIDE=FQ","FILING_STATUS=MR","SCALING_FORMAT=MLN","Sort=A","Dates=H","DateFormat=P","Fill=—","Direction=H","UseDPDF=Y")</f>
        <v>29814</v>
      </c>
      <c r="L29" s="17">
        <f>_xll.BDH("LUMN US Equity","BS_ACCUM_DEPR","FQ2 2020","FQ2 2020","Currency=USD","Period=FQ","BEST_FPERIOD_OVERRIDE=FQ","FILING_STATUS=MR","SCALING_FORMAT=MLN","Sort=A","Dates=H","DateFormat=P","Fill=—","Direction=H","UseDPDF=Y")</f>
        <v>30332</v>
      </c>
    </row>
    <row r="30" spans="1:12" x14ac:dyDescent="0.25">
      <c r="A30" s="16" t="s">
        <v>293</v>
      </c>
      <c r="B30" s="16" t="s">
        <v>292</v>
      </c>
      <c r="C30" s="17">
        <f>_xll.BDH("LUMN US Equity","BS_LT_INVEST","FQ1 2018","FQ1 2018","Currency=USD","Period=FQ","BEST_FPERIOD_OVERRIDE=FQ","FILING_STATUS=MR","SCALING_FORMAT=MLN","Sort=A","Dates=H","DateFormat=P","Fill=—","Direction=H","UseDPDF=Y")</f>
        <v>0</v>
      </c>
      <c r="D30" s="17">
        <f>_xll.BDH("LUMN US Equity","BS_LT_INVEST","FQ2 2018","FQ2 2018","Currency=USD","Period=FQ","BEST_FPERIOD_OVERRIDE=FQ","FILING_STATUS=MR","SCALING_FORMAT=MLN","Sort=A","Dates=H","DateFormat=P","Fill=—","Direction=H","UseDPDF=Y")</f>
        <v>0</v>
      </c>
      <c r="E30" s="17">
        <f>_xll.BDH("LUMN US Equity","BS_LT_INVEST","FQ3 2018","FQ3 2018","Currency=USD","Period=FQ","BEST_FPERIOD_OVERRIDE=FQ","FILING_STATUS=MR","SCALING_FORMAT=MLN","Sort=A","Dates=H","DateFormat=P","Fill=—","Direction=H","UseDPDF=Y")</f>
        <v>0</v>
      </c>
      <c r="F30" s="17">
        <f>_xll.BDH("LUMN US Equity","BS_LT_INVEST","FQ4 2018","FQ4 2018","Currency=USD","Period=FQ","BEST_FPERIOD_OVERRIDE=FQ","FILING_STATUS=MR","SCALING_FORMAT=MLN","Sort=A","Dates=H","DateFormat=P","Fill=—","Direction=H","UseDPDF=Y")</f>
        <v>0</v>
      </c>
      <c r="G30" s="17">
        <f>_xll.BDH("LUMN US Equity","BS_LT_INVEST","FQ1 2019","FQ1 2019","Currency=USD","Period=FQ","BEST_FPERIOD_OVERRIDE=FQ","FILING_STATUS=MR","SCALING_FORMAT=MLN","Sort=A","Dates=H","DateFormat=P","Fill=—","Direction=H","UseDPDF=Y")</f>
        <v>0</v>
      </c>
      <c r="H30" s="17">
        <f>_xll.BDH("LUMN US Equity","BS_LT_INVEST","FQ2 2019","FQ2 2019","Currency=USD","Period=FQ","BEST_FPERIOD_OVERRIDE=FQ","FILING_STATUS=MR","SCALING_FORMAT=MLN","Sort=A","Dates=H","DateFormat=P","Fill=—","Direction=H","UseDPDF=Y")</f>
        <v>0</v>
      </c>
      <c r="I30" s="17">
        <f>_xll.BDH("LUMN US Equity","BS_LT_INVEST","FQ3 2019","FQ3 2019","Currency=USD","Period=FQ","BEST_FPERIOD_OVERRIDE=FQ","FILING_STATUS=MR","SCALING_FORMAT=MLN","Sort=A","Dates=H","DateFormat=P","Fill=—","Direction=H","UseDPDF=Y")</f>
        <v>0</v>
      </c>
      <c r="J30" s="17">
        <f>_xll.BDH("LUMN US Equity","BS_LT_INVEST","FQ4 2019","FQ4 2019","Currency=USD","Period=FQ","BEST_FPERIOD_OVERRIDE=FQ","FILING_STATUS=MR","SCALING_FORMAT=MLN","Sort=A","Dates=H","DateFormat=P","Fill=—","Direction=H","UseDPDF=Y")</f>
        <v>0</v>
      </c>
      <c r="K30" s="17">
        <f>_xll.BDH("LUMN US Equity","BS_LT_INVEST","FQ1 2020","FQ1 2020","Currency=USD","Period=FQ","BEST_FPERIOD_OVERRIDE=FQ","FILING_STATUS=MR","SCALING_FORMAT=MLN","Sort=A","Dates=H","DateFormat=P","Fill=—","Direction=H","UseDPDF=Y")</f>
        <v>0</v>
      </c>
      <c r="L30" s="17">
        <f>_xll.BDH("LUMN US Equity","BS_LT_INVEST","FQ2 2020","FQ2 2020","Currency=USD","Period=FQ","BEST_FPERIOD_OVERRIDE=FQ","FILING_STATUS=MR","SCALING_FORMAT=MLN","Sort=A","Dates=H","DateFormat=P","Fill=—","Direction=H","UseDPDF=Y")</f>
        <v>0</v>
      </c>
    </row>
    <row r="31" spans="1:12" x14ac:dyDescent="0.25">
      <c r="A31" s="16" t="s">
        <v>291</v>
      </c>
      <c r="B31" s="16" t="s">
        <v>290</v>
      </c>
      <c r="C31" s="17">
        <f>_xll.BDH("LUMN US Equity","BS_OTHER_ASSETS_DEF_CHRG_OTHER","FQ1 2018","FQ1 2018","Currency=USD","Period=FQ","BEST_FPERIOD_OVERRIDE=FQ","FILING_STATUS=MR","SCALING_FORMAT=MLN","Sort=A","Dates=H","DateFormat=P","Fill=—","Direction=H","UseDPDF=Y")</f>
        <v>44862</v>
      </c>
      <c r="D31" s="17">
        <f>_xll.BDH("LUMN US Equity","BS_OTHER_ASSETS_DEF_CHRG_OTHER","FQ2 2018","FQ2 2018","Currency=USD","Period=FQ","BEST_FPERIOD_OVERRIDE=FQ","FILING_STATUS=MR","SCALING_FORMAT=MLN","Sort=A","Dates=H","DateFormat=P","Fill=—","Direction=H","UseDPDF=Y")</f>
        <v>44551</v>
      </c>
      <c r="E31" s="17">
        <f>_xll.BDH("LUMN US Equity","BS_OTHER_ASSETS_DEF_CHRG_OTHER","FQ3 2018","FQ3 2018","Currency=USD","Period=FQ","BEST_FPERIOD_OVERRIDE=FQ","FILING_STATUS=MR","SCALING_FORMAT=MLN","Sort=A","Dates=H","DateFormat=P","Fill=—","Direction=H","UseDPDF=Y")</f>
        <v>44242</v>
      </c>
      <c r="F31" s="17">
        <f>_xll.BDH("LUMN US Equity","BS_OTHER_ASSETS_DEF_CHRG_OTHER","FQ4 2018","FQ4 2018","Currency=USD","Period=FQ","BEST_FPERIOD_OVERRIDE=FQ","FILING_STATUS=MR","SCALING_FORMAT=MLN","Sort=A","Dates=H","DateFormat=P","Fill=—","Direction=H","UseDPDF=Y")</f>
        <v>40028</v>
      </c>
      <c r="G31" s="17">
        <f>_xll.BDH("LUMN US Equity","BS_OTHER_ASSETS_DEF_CHRG_OTHER","FQ1 2019","FQ1 2019","Currency=USD","Period=FQ","BEST_FPERIOD_OVERRIDE=FQ","FILING_STATUS=MR","SCALING_FORMAT=MLN","Sort=A","Dates=H","DateFormat=P","Fill=—","Direction=H","UseDPDF=Y")</f>
        <v>33223</v>
      </c>
      <c r="H31" s="17">
        <f>_xll.BDH("LUMN US Equity","BS_OTHER_ASSETS_DEF_CHRG_OTHER","FQ2 2019","FQ2 2019","Currency=USD","Period=FQ","BEST_FPERIOD_OVERRIDE=FQ","FILING_STATUS=MR","SCALING_FORMAT=MLN","Sort=A","Dates=H","DateFormat=P","Fill=—","Direction=H","UseDPDF=Y")</f>
        <v>32926</v>
      </c>
      <c r="I31" s="17">
        <f>_xll.BDH("LUMN US Equity","BS_OTHER_ASSETS_DEF_CHRG_OTHER","FQ3 2019","FQ3 2019","Currency=USD","Period=FQ","BEST_FPERIOD_OVERRIDE=FQ","FILING_STATUS=MR","SCALING_FORMAT=MLN","Sort=A","Dates=H","DateFormat=P","Fill=—","Direction=H","UseDPDF=Y")</f>
        <v>32544</v>
      </c>
      <c r="J31" s="17">
        <f>_xll.BDH("LUMN US Equity","BS_OTHER_ASSETS_DEF_CHRG_OTHER","FQ4 2019","FQ4 2019","Currency=USD","Period=FQ","BEST_FPERIOD_OVERRIDE=FQ","FILING_STATUS=MR","SCALING_FORMAT=MLN","Sort=A","Dates=H","DateFormat=P","Fill=—","Direction=H","UseDPDF=Y")</f>
        <v>32209</v>
      </c>
      <c r="K31" s="17">
        <f>_xll.BDH("LUMN US Equity","BS_OTHER_ASSETS_DEF_CHRG_OTHER","FQ1 2020","FQ1 2020","Currency=USD","Period=FQ","BEST_FPERIOD_OVERRIDE=FQ","FILING_STATUS=MR","SCALING_FORMAT=MLN","Sort=A","Dates=H","DateFormat=P","Fill=—","Direction=H","UseDPDF=Y")</f>
        <v>31743</v>
      </c>
      <c r="L31" s="17">
        <f>_xll.BDH("LUMN US Equity","BS_OTHER_ASSETS_DEF_CHRG_OTHER","FQ2 2020","FQ2 2020","Currency=USD","Period=FQ","BEST_FPERIOD_OVERRIDE=FQ","FILING_STATUS=MR","SCALING_FORMAT=MLN","Sort=A","Dates=H","DateFormat=P","Fill=—","Direction=H","UseDPDF=Y")</f>
        <v>33234</v>
      </c>
    </row>
    <row r="32" spans="1:12" x14ac:dyDescent="0.25">
      <c r="A32" s="16" t="s">
        <v>289</v>
      </c>
      <c r="B32" s="16" t="s">
        <v>288</v>
      </c>
      <c r="C32" s="17">
        <f>_xll.BDH("LUMN US Equity","BS_DISCLOSED_INTANGIBLES","FQ1 2018","FQ1 2018","Currency=USD","Period=FQ","BEST_FPERIOD_OVERRIDE=FQ","FILING_STATUS=MR","SCALING_FORMAT=MLN","Sort=A","Dates=H","DateFormat=P","Fill=—","Direction=H","UseDPDF=Y")</f>
        <v>42706</v>
      </c>
      <c r="D32" s="17">
        <f>_xll.BDH("LUMN US Equity","BS_DISCLOSED_INTANGIBLES","FQ2 2018","FQ2 2018","Currency=USD","Period=FQ","BEST_FPERIOD_OVERRIDE=FQ","FILING_STATUS=MR","SCALING_FORMAT=MLN","Sort=A","Dates=H","DateFormat=P","Fill=—","Direction=H","UseDPDF=Y")</f>
        <v>42251</v>
      </c>
      <c r="E32" s="17">
        <f>_xll.BDH("LUMN US Equity","BS_DISCLOSED_INTANGIBLES","FQ3 2018","FQ3 2018","Currency=USD","Period=FQ","BEST_FPERIOD_OVERRIDE=FQ","FILING_STATUS=MR","SCALING_FORMAT=MLN","Sort=A","Dates=H","DateFormat=P","Fill=—","Direction=H","UseDPDF=Y")</f>
        <v>41936</v>
      </c>
      <c r="F32" s="17">
        <f>_xll.BDH("LUMN US Equity","BS_DISCLOSED_INTANGIBLES","FQ4 2018","FQ4 2018","Currency=USD","Period=FQ","BEST_FPERIOD_OVERRIDE=FQ","FILING_STATUS=MR","SCALING_FORMAT=MLN","Sort=A","Dates=H","DateFormat=P","Fill=—","Direction=H","UseDPDF=Y")</f>
        <v>38810</v>
      </c>
      <c r="G32" s="17">
        <f>_xll.BDH("LUMN US Equity","BS_DISCLOSED_INTANGIBLES","FQ1 2019","FQ1 2019","Currency=USD","Period=FQ","BEST_FPERIOD_OVERRIDE=FQ","FILING_STATUS=MR","SCALING_FORMAT=MLN","Sort=A","Dates=H","DateFormat=P","Fill=—","Direction=H","UseDPDF=Y")</f>
        <v>32035</v>
      </c>
      <c r="H32" s="17">
        <f>_xll.BDH("LUMN US Equity","BS_DISCLOSED_INTANGIBLES","FQ2 2019","FQ2 2019","Currency=USD","Period=FQ","BEST_FPERIOD_OVERRIDE=FQ","FILING_STATUS=MR","SCALING_FORMAT=MLN","Sort=A","Dates=H","DateFormat=P","Fill=—","Direction=H","UseDPDF=Y")</f>
        <v>31734</v>
      </c>
      <c r="I32" s="17">
        <f>_xll.BDH("LUMN US Equity","BS_DISCLOSED_INTANGIBLES","FQ3 2019","FQ3 2019","Currency=USD","Period=FQ","BEST_FPERIOD_OVERRIDE=FQ","FILING_STATUS=MR","SCALING_FORMAT=MLN","Sort=A","Dates=H","DateFormat=P","Fill=—","Direction=H","UseDPDF=Y")</f>
        <v>31386</v>
      </c>
      <c r="J32" s="17">
        <f>_xll.BDH("LUMN US Equity","BS_DISCLOSED_INTANGIBLES","FQ4 2019","FQ4 2019","Currency=USD","Period=FQ","BEST_FPERIOD_OVERRIDE=FQ","FILING_STATUS=MR","SCALING_FORMAT=MLN","Sort=A","Dates=H","DateFormat=P","Fill=—","Direction=H","UseDPDF=Y")</f>
        <v>31101</v>
      </c>
      <c r="K32" s="17">
        <f>_xll.BDH("LUMN US Equity","BS_DISCLOSED_INTANGIBLES","FQ1 2020","FQ1 2020","Currency=USD","Period=FQ","BEST_FPERIOD_OVERRIDE=FQ","FILING_STATUS=MR","SCALING_FORMAT=MLN","Sort=A","Dates=H","DateFormat=P","Fill=—","Direction=H","UseDPDF=Y")</f>
        <v>30699</v>
      </c>
      <c r="L32" s="17">
        <f>_xll.BDH("LUMN US Equity","BS_DISCLOSED_INTANGIBLES","FQ2 2020","FQ2 2020","Currency=USD","Period=FQ","BEST_FPERIOD_OVERRIDE=FQ","FILING_STATUS=MR","SCALING_FORMAT=MLN","Sort=A","Dates=H","DateFormat=P","Fill=—","Direction=H","UseDPDF=Y")</f>
        <v>30372</v>
      </c>
    </row>
    <row r="33" spans="1:12" x14ac:dyDescent="0.25">
      <c r="A33" s="8" t="s">
        <v>287</v>
      </c>
      <c r="B33" s="8" t="s">
        <v>286</v>
      </c>
      <c r="C33" s="9">
        <f>_xll.BDH("LUMN US Equity","BS_GOODWILL","FQ1 2018","FQ1 2018","Currency=USD","Period=FQ","BEST_FPERIOD_OVERRIDE=FQ","FILING_STATUS=MR","SCALING_FORMAT=MLN","Sort=A","Dates=H","DateFormat=P","Fill=—","Direction=H","UseDPDF=Y")</f>
        <v>30778</v>
      </c>
      <c r="D33" s="9">
        <f>_xll.BDH("LUMN US Equity","BS_GOODWILL","FQ2 2018","FQ2 2018","Currency=USD","Period=FQ","BEST_FPERIOD_OVERRIDE=FQ","FILING_STATUS=MR","SCALING_FORMAT=MLN","Sort=A","Dates=H","DateFormat=P","Fill=—","Direction=H","UseDPDF=Y")</f>
        <v>30715</v>
      </c>
      <c r="E33" s="9">
        <f>_xll.BDH("LUMN US Equity","BS_GOODWILL","FQ3 2018","FQ3 2018","Currency=USD","Period=FQ","BEST_FPERIOD_OVERRIDE=FQ","FILING_STATUS=MR","SCALING_FORMAT=MLN","Sort=A","Dates=H","DateFormat=P","Fill=—","Direction=H","UseDPDF=Y")</f>
        <v>30770</v>
      </c>
      <c r="F33" s="9">
        <f>_xll.BDH("LUMN US Equity","BS_GOODWILL","FQ4 2018","FQ4 2018","Currency=USD","Period=FQ","BEST_FPERIOD_OVERRIDE=FQ","FILING_STATUS=MR","SCALING_FORMAT=MLN","Sort=A","Dates=H","DateFormat=P","Fill=—","Direction=H","UseDPDF=Y")</f>
        <v>28031</v>
      </c>
      <c r="G33" s="9">
        <f>_xll.BDH("LUMN US Equity","BS_GOODWILL","FQ1 2019","FQ1 2019","Currency=USD","Period=FQ","BEST_FPERIOD_OVERRIDE=FQ","FILING_STATUS=MR","SCALING_FORMAT=MLN","Sort=A","Dates=H","DateFormat=P","Fill=—","Direction=H","UseDPDF=Y")</f>
        <v>21526</v>
      </c>
      <c r="H33" s="9">
        <f>_xll.BDH("LUMN US Equity","BS_GOODWILL","FQ2 2019","FQ2 2019","Currency=USD","Period=FQ","BEST_FPERIOD_OVERRIDE=FQ","FILING_STATUS=MR","SCALING_FORMAT=MLN","Sort=A","Dates=H","DateFormat=P","Fill=—","Direction=H","UseDPDF=Y")</f>
        <v>21527</v>
      </c>
      <c r="I33" s="9">
        <f>_xll.BDH("LUMN US Equity","BS_GOODWILL","FQ3 2019","FQ3 2019","Currency=USD","Period=FQ","BEST_FPERIOD_OVERRIDE=FQ","FILING_STATUS=MR","SCALING_FORMAT=MLN","Sort=A","Dates=H","DateFormat=P","Fill=—","Direction=H","UseDPDF=Y")</f>
        <v>21507</v>
      </c>
      <c r="J33" s="9">
        <f>_xll.BDH("LUMN US Equity","BS_GOODWILL","FQ4 2019","FQ4 2019","Currency=USD","Period=FQ","BEST_FPERIOD_OVERRIDE=FQ","FILING_STATUS=MR","SCALING_FORMAT=MLN","Sort=A","Dates=H","DateFormat=P","Fill=—","Direction=H","UseDPDF=Y")</f>
        <v>21534</v>
      </c>
      <c r="K33" s="9">
        <f>_xll.BDH("LUMN US Equity","BS_GOODWILL","FQ1 2020","FQ1 2020","Currency=USD","Period=FQ","BEST_FPERIOD_OVERRIDE=FQ","FILING_STATUS=MR","SCALING_FORMAT=MLN","Sort=A","Dates=H","DateFormat=P","Fill=—","Direction=H","UseDPDF=Y")</f>
        <v>21473</v>
      </c>
      <c r="L33" s="9">
        <f>_xll.BDH("LUMN US Equity","BS_GOODWILL","FQ2 2020","FQ2 2020","Currency=USD","Period=FQ","BEST_FPERIOD_OVERRIDE=FQ","FILING_STATUS=MR","SCALING_FORMAT=MLN","Sort=A","Dates=H","DateFormat=P","Fill=—","Direction=H","UseDPDF=Y")</f>
        <v>21469</v>
      </c>
    </row>
    <row r="34" spans="1:12" x14ac:dyDescent="0.25">
      <c r="A34" s="8" t="s">
        <v>285</v>
      </c>
      <c r="B34" s="8" t="s">
        <v>284</v>
      </c>
      <c r="C34" s="9">
        <f>_xll.BDH("LUMN US Equity","OTHER_INTANGIBLE_ASSETS_DETAILED","FQ1 2018","FQ1 2018","Currency=USD","Period=FQ","BEST_FPERIOD_OVERRIDE=FQ","FILING_STATUS=MR","SCALING_FORMAT=MLN","Sort=A","Dates=H","DateFormat=P","Fill=—","Direction=H","UseDPDF=Y")</f>
        <v>11928</v>
      </c>
      <c r="D34" s="9">
        <f>_xll.BDH("LUMN US Equity","OTHER_INTANGIBLE_ASSETS_DETAILED","FQ2 2018","FQ2 2018","Currency=USD","Period=FQ","BEST_FPERIOD_OVERRIDE=FQ","FILING_STATUS=MR","SCALING_FORMAT=MLN","Sort=A","Dates=H","DateFormat=P","Fill=—","Direction=H","UseDPDF=Y")</f>
        <v>11536</v>
      </c>
      <c r="E34" s="9">
        <f>_xll.BDH("LUMN US Equity","OTHER_INTANGIBLE_ASSETS_DETAILED","FQ3 2018","FQ3 2018","Currency=USD","Period=FQ","BEST_FPERIOD_OVERRIDE=FQ","FILING_STATUS=MR","SCALING_FORMAT=MLN","Sort=A","Dates=H","DateFormat=P","Fill=—","Direction=H","UseDPDF=Y")</f>
        <v>11166</v>
      </c>
      <c r="F34" s="9">
        <f>_xll.BDH("LUMN US Equity","OTHER_INTANGIBLE_ASSETS_DETAILED","FQ4 2018","FQ4 2018","Currency=USD","Period=FQ","BEST_FPERIOD_OVERRIDE=FQ","FILING_STATUS=MR","SCALING_FORMAT=MLN","Sort=A","Dates=H","DateFormat=P","Fill=—","Direction=H","UseDPDF=Y")</f>
        <v>10779</v>
      </c>
      <c r="G34" s="9">
        <f>_xll.BDH("LUMN US Equity","OTHER_INTANGIBLE_ASSETS_DETAILED","FQ1 2019","FQ1 2019","Currency=USD","Period=FQ","BEST_FPERIOD_OVERRIDE=FQ","FILING_STATUS=MR","SCALING_FORMAT=MLN","Sort=A","Dates=H","DateFormat=P","Fill=—","Direction=H","UseDPDF=Y")</f>
        <v>10509</v>
      </c>
      <c r="H34" s="9">
        <f>_xll.BDH("LUMN US Equity","OTHER_INTANGIBLE_ASSETS_DETAILED","FQ2 2019","FQ2 2019","Currency=USD","Period=FQ","BEST_FPERIOD_OVERRIDE=FQ","FILING_STATUS=MR","SCALING_FORMAT=MLN","Sort=A","Dates=H","DateFormat=P","Fill=—","Direction=H","UseDPDF=Y")</f>
        <v>10207</v>
      </c>
      <c r="I34" s="9">
        <f>_xll.BDH("LUMN US Equity","OTHER_INTANGIBLE_ASSETS_DETAILED","FQ3 2019","FQ3 2019","Currency=USD","Period=FQ","BEST_FPERIOD_OVERRIDE=FQ","FILING_STATUS=MR","SCALING_FORMAT=MLN","Sort=A","Dates=H","DateFormat=P","Fill=—","Direction=H","UseDPDF=Y")</f>
        <v>9879</v>
      </c>
      <c r="J34" s="9">
        <f>_xll.BDH("LUMN US Equity","OTHER_INTANGIBLE_ASSETS_DETAILED","FQ4 2019","FQ4 2019","Currency=USD","Period=FQ","BEST_FPERIOD_OVERRIDE=FQ","FILING_STATUS=MR","SCALING_FORMAT=MLN","Sort=A","Dates=H","DateFormat=P","Fill=—","Direction=H","UseDPDF=Y")</f>
        <v>9567</v>
      </c>
      <c r="K34" s="9">
        <f>_xll.BDH("LUMN US Equity","OTHER_INTANGIBLE_ASSETS_DETAILED","FQ1 2020","FQ1 2020","Currency=USD","Period=FQ","BEST_FPERIOD_OVERRIDE=FQ","FILING_STATUS=MR","SCALING_FORMAT=MLN","Sort=A","Dates=H","DateFormat=P","Fill=—","Direction=H","UseDPDF=Y")</f>
        <v>9226</v>
      </c>
      <c r="L34" s="9">
        <f>_xll.BDH("LUMN US Equity","OTHER_INTANGIBLE_ASSETS_DETAILED","FQ2 2020","FQ2 2020","Currency=USD","Period=FQ","BEST_FPERIOD_OVERRIDE=FQ","FILING_STATUS=MR","SCALING_FORMAT=MLN","Sort=A","Dates=H","DateFormat=P","Fill=—","Direction=H","UseDPDF=Y")</f>
        <v>8903</v>
      </c>
    </row>
    <row r="35" spans="1:12" x14ac:dyDescent="0.25">
      <c r="A35" s="16" t="s">
        <v>283</v>
      </c>
      <c r="B35" s="16" t="s">
        <v>282</v>
      </c>
      <c r="C35" s="17" t="str">
        <f>_xll.BDH("LUMN US Equity","BS_DERIV_&amp;_HEDGING_ASSETS_LT","FQ1 2018","FQ1 2018","Currency=USD","Period=FQ","BEST_FPERIOD_OVERRIDE=FQ","FILING_STATUS=MR","SCALING_FORMAT=MLN","Sort=A","Dates=H","DateFormat=P","Fill=—","Direction=H","UseDPDF=Y")</f>
        <v>—</v>
      </c>
      <c r="D35" s="17" t="str">
        <f>_xll.BDH("LUMN US Equity","BS_DERIV_&amp;_HEDGING_ASSETS_LT","FQ2 2018","FQ2 2018","Currency=USD","Period=FQ","BEST_FPERIOD_OVERRIDE=FQ","FILING_STATUS=MR","SCALING_FORMAT=MLN","Sort=A","Dates=H","DateFormat=P","Fill=—","Direction=H","UseDPDF=Y")</f>
        <v>—</v>
      </c>
      <c r="E35" s="17" t="str">
        <f>_xll.BDH("LUMN US Equity","BS_DERIV_&amp;_HEDGING_ASSETS_LT","FQ3 2018","FQ3 2018","Currency=USD","Period=FQ","BEST_FPERIOD_OVERRIDE=FQ","FILING_STATUS=MR","SCALING_FORMAT=MLN","Sort=A","Dates=H","DateFormat=P","Fill=—","Direction=H","UseDPDF=Y")</f>
        <v>—</v>
      </c>
      <c r="F35" s="17">
        <f>_xll.BDH("LUMN US Equity","BS_DERIV_&amp;_HEDGING_ASSETS_LT","FQ4 2018","FQ4 2018","Currency=USD","Period=FQ","BEST_FPERIOD_OVERRIDE=FQ","FILING_STATUS=MR","SCALING_FORMAT=MLN","Sort=A","Dates=H","DateFormat=P","Fill=—","Direction=H","UseDPDF=Y")</f>
        <v>0</v>
      </c>
      <c r="G35" s="17" t="str">
        <f>_xll.BDH("LUMN US Equity","BS_DERIV_&amp;_HEDGING_ASSETS_LT","FQ1 2019","FQ1 2019","Currency=USD","Period=FQ","BEST_FPERIOD_OVERRIDE=FQ","FILING_STATUS=MR","SCALING_FORMAT=MLN","Sort=A","Dates=H","DateFormat=P","Fill=—","Direction=H","UseDPDF=Y")</f>
        <v>—</v>
      </c>
      <c r="H35" s="17" t="str">
        <f>_xll.BDH("LUMN US Equity","BS_DERIV_&amp;_HEDGING_ASSETS_LT","FQ2 2019","FQ2 2019","Currency=USD","Period=FQ","BEST_FPERIOD_OVERRIDE=FQ","FILING_STATUS=MR","SCALING_FORMAT=MLN","Sort=A","Dates=H","DateFormat=P","Fill=—","Direction=H","UseDPDF=Y")</f>
        <v>—</v>
      </c>
      <c r="I35" s="17" t="str">
        <f>_xll.BDH("LUMN US Equity","BS_DERIV_&amp;_HEDGING_ASSETS_LT","FQ3 2019","FQ3 2019","Currency=USD","Period=FQ","BEST_FPERIOD_OVERRIDE=FQ","FILING_STATUS=MR","SCALING_FORMAT=MLN","Sort=A","Dates=H","DateFormat=P","Fill=—","Direction=H","UseDPDF=Y")</f>
        <v>—</v>
      </c>
      <c r="J35" s="17">
        <f>_xll.BDH("LUMN US Equity","BS_DERIV_&amp;_HEDGING_ASSETS_LT","FQ4 2019","FQ4 2019","Currency=USD","Period=FQ","BEST_FPERIOD_OVERRIDE=FQ","FILING_STATUS=MR","SCALING_FORMAT=MLN","Sort=A","Dates=H","DateFormat=P","Fill=—","Direction=H","UseDPDF=Y")</f>
        <v>0</v>
      </c>
      <c r="K35" s="17" t="str">
        <f>_xll.BDH("LUMN US Equity","BS_DERIV_&amp;_HEDGING_ASSETS_LT","FQ1 2020","FQ1 2020","Currency=USD","Period=FQ","BEST_FPERIOD_OVERRIDE=FQ","FILING_STATUS=MR","SCALING_FORMAT=MLN","Sort=A","Dates=H","DateFormat=P","Fill=—","Direction=H","UseDPDF=Y")</f>
        <v>—</v>
      </c>
      <c r="L35" s="17" t="str">
        <f>_xll.BDH("LUMN US Equity","BS_DERIV_&amp;_HEDGING_ASSETS_LT","FQ2 2020","FQ2 2020","Currency=USD","Period=FQ","BEST_FPERIOD_OVERRIDE=FQ","FILING_STATUS=MR","SCALING_FORMAT=MLN","Sort=A","Dates=H","DateFormat=P","Fill=—","Direction=H","UseDPDF=Y")</f>
        <v>—</v>
      </c>
    </row>
    <row r="36" spans="1:12" x14ac:dyDescent="0.25">
      <c r="A36" s="16" t="s">
        <v>281</v>
      </c>
      <c r="B36" s="16" t="s">
        <v>280</v>
      </c>
      <c r="C36" s="17">
        <f>_xll.BDH("LUMN US Equity","OTHER_NONCURRENT_ASSETS_DETAILED","FQ1 2018","FQ1 2018","Currency=USD","Period=FQ","BEST_FPERIOD_OVERRIDE=FQ","FILING_STATUS=MR","SCALING_FORMAT=MLN","Sort=A","Dates=H","DateFormat=P","Fill=—","Direction=H","UseDPDF=Y")</f>
        <v>1078</v>
      </c>
      <c r="D36" s="17">
        <f>_xll.BDH("LUMN US Equity","OTHER_NONCURRENT_ASSETS_DETAILED","FQ2 2018","FQ2 2018","Currency=USD","Period=FQ","BEST_FPERIOD_OVERRIDE=FQ","FILING_STATUS=MR","SCALING_FORMAT=MLN","Sort=A","Dates=H","DateFormat=P","Fill=—","Direction=H","UseDPDF=Y")</f>
        <v>1150</v>
      </c>
      <c r="E36" s="17">
        <f>_xll.BDH("LUMN US Equity","OTHER_NONCURRENT_ASSETS_DETAILED","FQ3 2018","FQ3 2018","Currency=USD","Period=FQ","BEST_FPERIOD_OVERRIDE=FQ","FILING_STATUS=MR","SCALING_FORMAT=MLN","Sort=A","Dates=H","DateFormat=P","Fill=—","Direction=H","UseDPDF=Y")</f>
        <v>1153</v>
      </c>
      <c r="F36" s="17">
        <f>_xll.BDH("LUMN US Equity","OTHER_NONCURRENT_ASSETS_DETAILED","FQ4 2018","FQ4 2018","Currency=USD","Period=FQ","BEST_FPERIOD_OVERRIDE=FQ","FILING_STATUS=MR","SCALING_FORMAT=MLN","Sort=A","Dates=H","DateFormat=P","Fill=—","Direction=H","UseDPDF=Y")</f>
        <v>1218</v>
      </c>
      <c r="G36" s="17">
        <f>_xll.BDH("LUMN US Equity","OTHER_NONCURRENT_ASSETS_DETAILED","FQ1 2019","FQ1 2019","Currency=USD","Period=FQ","BEST_FPERIOD_OVERRIDE=FQ","FILING_STATUS=MR","SCALING_FORMAT=MLN","Sort=A","Dates=H","DateFormat=P","Fill=—","Direction=H","UseDPDF=Y")</f>
        <v>1188</v>
      </c>
      <c r="H36" s="17">
        <f>_xll.BDH("LUMN US Equity","OTHER_NONCURRENT_ASSETS_DETAILED","FQ2 2019","FQ2 2019","Currency=USD","Period=FQ","BEST_FPERIOD_OVERRIDE=FQ","FILING_STATUS=MR","SCALING_FORMAT=MLN","Sort=A","Dates=H","DateFormat=P","Fill=—","Direction=H","UseDPDF=Y")</f>
        <v>1192</v>
      </c>
      <c r="I36" s="17">
        <f>_xll.BDH("LUMN US Equity","OTHER_NONCURRENT_ASSETS_DETAILED","FQ3 2019","FQ3 2019","Currency=USD","Period=FQ","BEST_FPERIOD_OVERRIDE=FQ","FILING_STATUS=MR","SCALING_FORMAT=MLN","Sort=A","Dates=H","DateFormat=P","Fill=—","Direction=H","UseDPDF=Y")</f>
        <v>1158</v>
      </c>
      <c r="J36" s="17">
        <f>_xll.BDH("LUMN US Equity","OTHER_NONCURRENT_ASSETS_DETAILED","FQ4 2019","FQ4 2019","Currency=USD","Period=FQ","BEST_FPERIOD_OVERRIDE=FQ","FILING_STATUS=MR","SCALING_FORMAT=MLN","Sort=A","Dates=H","DateFormat=P","Fill=—","Direction=H","UseDPDF=Y")</f>
        <v>1108</v>
      </c>
      <c r="K36" s="17">
        <f>_xll.BDH("LUMN US Equity","OTHER_NONCURRENT_ASSETS_DETAILED","FQ1 2020","FQ1 2020","Currency=USD","Period=FQ","BEST_FPERIOD_OVERRIDE=FQ","FILING_STATUS=MR","SCALING_FORMAT=MLN","Sort=A","Dates=H","DateFormat=P","Fill=—","Direction=H","UseDPDF=Y")</f>
        <v>1044</v>
      </c>
      <c r="L36" s="17">
        <f>_xll.BDH("LUMN US Equity","OTHER_NONCURRENT_ASSETS_DETAILED","FQ2 2020","FQ2 2020","Currency=USD","Period=FQ","BEST_FPERIOD_OVERRIDE=FQ","FILING_STATUS=MR","SCALING_FORMAT=MLN","Sort=A","Dates=H","DateFormat=P","Fill=—","Direction=H","UseDPDF=Y")</f>
        <v>2862</v>
      </c>
    </row>
    <row r="37" spans="1:12" x14ac:dyDescent="0.25">
      <c r="A37" s="12" t="s">
        <v>279</v>
      </c>
      <c r="B37" s="12" t="s">
        <v>278</v>
      </c>
      <c r="C37" s="10">
        <f>_xll.BDH("LUMN US Equity","BS_TOT_NON_CUR_ASSET","FQ1 2018","FQ1 2018","Currency=USD","Period=FQ","BEST_FPERIOD_OVERRIDE=FQ","FILING_STATUS=MR","SCALING_FORMAT=MLN","Sort=A","Dates=H","DateFormat=P","Fill=—","Direction=H","UseDPDF=Y")</f>
        <v>71688</v>
      </c>
      <c r="D37" s="10">
        <f>_xll.BDH("LUMN US Equity","BS_TOT_NON_CUR_ASSET","FQ2 2018","FQ2 2018","Currency=USD","Period=FQ","BEST_FPERIOD_OVERRIDE=FQ","FILING_STATUS=MR","SCALING_FORMAT=MLN","Sort=A","Dates=H","DateFormat=P","Fill=—","Direction=H","UseDPDF=Y")</f>
        <v>71045</v>
      </c>
      <c r="E37" s="10">
        <f>_xll.BDH("LUMN US Equity","BS_TOT_NON_CUR_ASSET","FQ3 2018","FQ3 2018","Currency=USD","Period=FQ","BEST_FPERIOD_OVERRIDE=FQ","FILING_STATUS=MR","SCALING_FORMAT=MLN","Sort=A","Dates=H","DateFormat=P","Fill=—","Direction=H","UseDPDF=Y")</f>
        <v>70410</v>
      </c>
      <c r="F37" s="10">
        <f>_xll.BDH("LUMN US Equity","BS_TOT_NON_CUR_ASSET","FQ4 2018","FQ4 2018","Currency=USD","Period=FQ","BEST_FPERIOD_OVERRIDE=FQ","FILING_STATUS=MR","SCALING_FORMAT=MLN","Sort=A","Dates=H","DateFormat=P","Fill=—","Direction=H","UseDPDF=Y")</f>
        <v>66436</v>
      </c>
      <c r="G37" s="10">
        <f>_xll.BDH("LUMN US Equity","BS_TOT_NON_CUR_ASSET","FQ1 2019","FQ1 2019","Currency=USD","Period=FQ","BEST_FPERIOD_OVERRIDE=FQ","FILING_STATUS=MR","SCALING_FORMAT=MLN","Sort=A","Dates=H","DateFormat=P","Fill=—","Direction=H","UseDPDF=Y")</f>
        <v>60968</v>
      </c>
      <c r="H37" s="10">
        <f>_xll.BDH("LUMN US Equity","BS_TOT_NON_CUR_ASSET","FQ2 2019","FQ2 2019","Currency=USD","Period=FQ","BEST_FPERIOD_OVERRIDE=FQ","FILING_STATUS=MR","SCALING_FORMAT=MLN","Sort=A","Dates=H","DateFormat=P","Fill=—","Direction=H","UseDPDF=Y")</f>
        <v>60630</v>
      </c>
      <c r="I37" s="10">
        <f>_xll.BDH("LUMN US Equity","BS_TOT_NON_CUR_ASSET","FQ3 2019","FQ3 2019","Currency=USD","Period=FQ","BEST_FPERIOD_OVERRIDE=FQ","FILING_STATUS=MR","SCALING_FORMAT=MLN","Sort=A","Dates=H","DateFormat=P","Fill=—","Direction=H","UseDPDF=Y")</f>
        <v>60139</v>
      </c>
      <c r="J37" s="10">
        <f>_xll.BDH("LUMN US Equity","BS_TOT_NON_CUR_ASSET","FQ4 2019","FQ4 2019","Currency=USD","Period=FQ","BEST_FPERIOD_OVERRIDE=FQ","FILING_STATUS=MR","SCALING_FORMAT=MLN","Sort=A","Dates=H","DateFormat=P","Fill=—","Direction=H","UseDPDF=Y")</f>
        <v>59974</v>
      </c>
      <c r="K37" s="10">
        <f>_xll.BDH("LUMN US Equity","BS_TOT_NON_CUR_ASSET","FQ1 2020","FQ1 2020","Currency=USD","Period=FQ","BEST_FPERIOD_OVERRIDE=FQ","FILING_STATUS=MR","SCALING_FORMAT=MLN","Sort=A","Dates=H","DateFormat=P","Fill=—","Direction=H","UseDPDF=Y")</f>
        <v>59366</v>
      </c>
      <c r="L37" s="10">
        <f>_xll.BDH("LUMN US Equity","BS_TOT_NON_CUR_ASSET","FQ2 2020","FQ2 2020","Currency=USD","Period=FQ","BEST_FPERIOD_OVERRIDE=FQ","FILING_STATUS=MR","SCALING_FORMAT=MLN","Sort=A","Dates=H","DateFormat=P","Fill=—","Direction=H","UseDPDF=Y")</f>
        <v>59313</v>
      </c>
    </row>
    <row r="38" spans="1:12" x14ac:dyDescent="0.25">
      <c r="A38" s="12" t="s">
        <v>277</v>
      </c>
      <c r="B38" s="12" t="s">
        <v>276</v>
      </c>
      <c r="C38" s="10">
        <f>_xll.BDH("LUMN US Equity","BS_TOT_ASSET","FQ1 2018","FQ1 2018","Currency=USD","Period=FQ","BEST_FPERIOD_OVERRIDE=FQ","FILING_STATUS=MR","SCALING_FORMAT=MLN","Sort=A","Dates=H","DateFormat=P","Fill=—","Direction=H","UseDPDF=Y")</f>
        <v>74793</v>
      </c>
      <c r="D38" s="10">
        <f>_xll.BDH("LUMN US Equity","BS_TOT_ASSET","FQ2 2018","FQ2 2018","Currency=USD","Period=FQ","BEST_FPERIOD_OVERRIDE=FQ","FILING_STATUS=MR","SCALING_FORMAT=MLN","Sort=A","Dates=H","DateFormat=P","Fill=—","Direction=H","UseDPDF=Y")</f>
        <v>74346</v>
      </c>
      <c r="E38" s="10">
        <f>_xll.BDH("LUMN US Equity","BS_TOT_ASSET","FQ3 2018","FQ3 2018","Currency=USD","Period=FQ","BEST_FPERIOD_OVERRIDE=FQ","FILING_STATUS=MR","SCALING_FORMAT=MLN","Sort=A","Dates=H","DateFormat=P","Fill=—","Direction=H","UseDPDF=Y")</f>
        <v>73371</v>
      </c>
      <c r="F38" s="10">
        <f>_xll.BDH("LUMN US Equity","BS_TOT_ASSET","FQ4 2018","FQ4 2018","Currency=USD","Period=FQ","BEST_FPERIOD_OVERRIDE=FQ","FILING_STATUS=MR","SCALING_FORMAT=MLN","Sort=A","Dates=H","DateFormat=P","Fill=—","Direction=H","UseDPDF=Y")</f>
        <v>70256</v>
      </c>
      <c r="G38" s="10">
        <f>_xll.BDH("LUMN US Equity","BS_TOT_ASSET","FQ1 2019","FQ1 2019","Currency=USD","Period=FQ","BEST_FPERIOD_OVERRIDE=FQ","FILING_STATUS=MR","SCALING_FORMAT=MLN","Sort=A","Dates=H","DateFormat=P","Fill=—","Direction=H","UseDPDF=Y")</f>
        <v>64788</v>
      </c>
      <c r="H38" s="10">
        <f>_xll.BDH("LUMN US Equity","BS_TOT_ASSET","FQ2 2019","FQ2 2019","Currency=USD","Period=FQ","BEST_FPERIOD_OVERRIDE=FQ","FILING_STATUS=MR","SCALING_FORMAT=MLN","Sort=A","Dates=H","DateFormat=P","Fill=—","Direction=H","UseDPDF=Y")</f>
        <v>64508</v>
      </c>
      <c r="I38" s="10">
        <f>_xll.BDH("LUMN US Equity","BS_TOT_ASSET","FQ3 2019","FQ3 2019","Currency=USD","Period=FQ","BEST_FPERIOD_OVERRIDE=FQ","FILING_STATUS=MR","SCALING_FORMAT=MLN","Sort=A","Dates=H","DateFormat=P","Fill=—","Direction=H","UseDPDF=Y")</f>
        <v>64728</v>
      </c>
      <c r="J38" s="10">
        <f>_xll.BDH("LUMN US Equity","BS_TOT_ASSET","FQ4 2019","FQ4 2019","Currency=USD","Period=FQ","BEST_FPERIOD_OVERRIDE=FQ","FILING_STATUS=MR","SCALING_FORMAT=MLN","Sort=A","Dates=H","DateFormat=P","Fill=—","Direction=H","UseDPDF=Y")</f>
        <v>64742</v>
      </c>
      <c r="K38" s="10">
        <f>_xll.BDH("LUMN US Equity","BS_TOT_ASSET","FQ1 2020","FQ1 2020","Currency=USD","Period=FQ","BEST_FPERIOD_OVERRIDE=FQ","FILING_STATUS=MR","SCALING_FORMAT=MLN","Sort=A","Dates=H","DateFormat=P","Fill=—","Direction=H","UseDPDF=Y")</f>
        <v>64056</v>
      </c>
      <c r="L38" s="10">
        <f>_xll.BDH("LUMN US Equity","BS_TOT_ASSET","FQ2 2020","FQ2 2020","Currency=USD","Period=FQ","BEST_FPERIOD_OVERRIDE=FQ","FILING_STATUS=MR","SCALING_FORMAT=MLN","Sort=A","Dates=H","DateFormat=P","Fill=—","Direction=H","UseDPDF=Y")</f>
        <v>64171</v>
      </c>
    </row>
    <row r="39" spans="1:12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12" t="s">
        <v>275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16" t="s">
        <v>274</v>
      </c>
      <c r="B41" s="16" t="s">
        <v>273</v>
      </c>
      <c r="C41" s="17">
        <f>_xll.BDH("LUMN US Equity","ACCT_PAYABLE_&amp;_ACCRUALS_DETAILED","FQ1 2018","FQ1 2018","Currency=USD","Period=FQ","BEST_FPERIOD_OVERRIDE=FQ","FILING_STATUS=MR","SCALING_FORMAT=MLN","Sort=A","Dates=H","DateFormat=P","Fill=—","Direction=H","UseDPDF=Y")</f>
        <v>3082</v>
      </c>
      <c r="D41" s="17">
        <f>_xll.BDH("LUMN US Equity","ACCT_PAYABLE_&amp;_ACCRUALS_DETAILED","FQ2 2018","FQ2 2018","Currency=USD","Period=FQ","BEST_FPERIOD_OVERRIDE=FQ","FILING_STATUS=MR","SCALING_FORMAT=MLN","Sort=A","Dates=H","DateFormat=P","Fill=—","Direction=H","UseDPDF=Y")</f>
        <v>2976</v>
      </c>
      <c r="E41" s="17">
        <f>_xll.BDH("LUMN US Equity","ACCT_PAYABLE_&amp;_ACCRUALS_DETAILED","FQ3 2018","FQ3 2018","Currency=USD","Period=FQ","BEST_FPERIOD_OVERRIDE=FQ","FILING_STATUS=MR","SCALING_FORMAT=MLN","Sort=A","Dates=H","DateFormat=P","Fill=—","Direction=H","UseDPDF=Y")</f>
        <v>3151</v>
      </c>
      <c r="F41" s="17">
        <f>_xll.BDH("LUMN US Equity","ACCT_PAYABLE_&amp;_ACCRUALS_DETAILED","FQ4 2018","FQ4 2018","Currency=USD","Period=FQ","BEST_FPERIOD_OVERRIDE=FQ","FILING_STATUS=MR","SCALING_FORMAT=MLN","Sort=A","Dates=H","DateFormat=P","Fill=—","Direction=H","UseDPDF=Y")</f>
        <v>3690</v>
      </c>
      <c r="G41" s="17">
        <f>_xll.BDH("LUMN US Equity","ACCT_PAYABLE_&amp;_ACCRUALS_DETAILED","FQ1 2019","FQ1 2019","Currency=USD","Period=FQ","BEST_FPERIOD_OVERRIDE=FQ","FILING_STATUS=MR","SCALING_FORMAT=MLN","Sort=A","Dates=H","DateFormat=P","Fill=—","Direction=H","UseDPDF=Y")</f>
        <v>3042</v>
      </c>
      <c r="H41" s="17">
        <f>_xll.BDH("LUMN US Equity","ACCT_PAYABLE_&amp;_ACCRUALS_DETAILED","FQ2 2019","FQ2 2019","Currency=USD","Period=FQ","BEST_FPERIOD_OVERRIDE=FQ","FILING_STATUS=MR","SCALING_FORMAT=MLN","Sort=A","Dates=H","DateFormat=P","Fill=—","Direction=H","UseDPDF=Y")</f>
        <v>3223</v>
      </c>
      <c r="I41" s="17">
        <f>_xll.BDH("LUMN US Equity","ACCT_PAYABLE_&amp;_ACCRUALS_DETAILED","FQ3 2019","FQ3 2019","Currency=USD","Period=FQ","BEST_FPERIOD_OVERRIDE=FQ","FILING_STATUS=MR","SCALING_FORMAT=MLN","Sort=A","Dates=H","DateFormat=P","Fill=—","Direction=H","UseDPDF=Y")</f>
        <v>3310</v>
      </c>
      <c r="J41" s="17">
        <f>_xll.BDH("LUMN US Equity","ACCT_PAYABLE_&amp;_ACCRUALS_DETAILED","FQ4 2019","FQ4 2019","Currency=USD","Period=FQ","BEST_FPERIOD_OVERRIDE=FQ","FILING_STATUS=MR","SCALING_FORMAT=MLN","Sort=A","Dates=H","DateFormat=P","Fill=—","Direction=H","UseDPDF=Y")</f>
        <v>3352</v>
      </c>
      <c r="K41" s="17">
        <f>_xll.BDH("LUMN US Equity","ACCT_PAYABLE_&amp;_ACCRUALS_DETAILED","FQ1 2020","FQ1 2020","Currency=USD","Period=FQ","BEST_FPERIOD_OVERRIDE=FQ","FILING_STATUS=MR","SCALING_FORMAT=MLN","Sort=A","Dates=H","DateFormat=P","Fill=—","Direction=H","UseDPDF=Y")</f>
        <v>3001</v>
      </c>
      <c r="L41" s="17">
        <f>_xll.BDH("LUMN US Equity","ACCT_PAYABLE_&amp;_ACCRUALS_DETAILED","FQ2 2020","FQ2 2020","Currency=USD","Period=FQ","BEST_FPERIOD_OVERRIDE=FQ","FILING_STATUS=MR","SCALING_FORMAT=MLN","Sort=A","Dates=H","DateFormat=P","Fill=—","Direction=H","UseDPDF=Y")</f>
        <v>3005</v>
      </c>
    </row>
    <row r="42" spans="1:12" x14ac:dyDescent="0.25">
      <c r="A42" s="16" t="s">
        <v>272</v>
      </c>
      <c r="B42" s="16" t="s">
        <v>271</v>
      </c>
      <c r="C42" s="17">
        <f>_xll.BDH("LUMN US Equity","BS_ACCT_PAYABLE","FQ1 2018","FQ1 2018","Currency=USD","Period=FQ","BEST_FPERIOD_OVERRIDE=FQ","FILING_STATUS=MR","SCALING_FORMAT=MLN","Sort=A","Dates=H","DateFormat=P","Fill=—","Direction=H","UseDPDF=Y")</f>
        <v>1508</v>
      </c>
      <c r="D42" s="17">
        <f>_xll.BDH("LUMN US Equity","BS_ACCT_PAYABLE","FQ2 2018","FQ2 2018","Currency=USD","Period=FQ","BEST_FPERIOD_OVERRIDE=FQ","FILING_STATUS=MR","SCALING_FORMAT=MLN","Sort=A","Dates=H","DateFormat=P","Fill=—","Direction=H","UseDPDF=Y")</f>
        <v>1360</v>
      </c>
      <c r="E42" s="17">
        <f>_xll.BDH("LUMN US Equity","BS_ACCT_PAYABLE","FQ3 2018","FQ3 2018","Currency=USD","Period=FQ","BEST_FPERIOD_OVERRIDE=FQ","FILING_STATUS=MR","SCALING_FORMAT=MLN","Sort=A","Dates=H","DateFormat=P","Fill=—","Direction=H","UseDPDF=Y")</f>
        <v>1387</v>
      </c>
      <c r="F42" s="17">
        <f>_xll.BDH("LUMN US Equity","BS_ACCT_PAYABLE","FQ4 2018","FQ4 2018","Currency=USD","Period=FQ","BEST_FPERIOD_OVERRIDE=FQ","FILING_STATUS=MR","SCALING_FORMAT=MLN","Sort=A","Dates=H","DateFormat=P","Fill=—","Direction=H","UseDPDF=Y")</f>
        <v>1933</v>
      </c>
      <c r="G42" s="17">
        <f>_xll.BDH("LUMN US Equity","BS_ACCT_PAYABLE","FQ1 2019","FQ1 2019","Currency=USD","Period=FQ","BEST_FPERIOD_OVERRIDE=FQ","FILING_STATUS=MR","SCALING_FORMAT=MLN","Sort=A","Dates=H","DateFormat=P","Fill=—","Direction=H","UseDPDF=Y")</f>
        <v>1481</v>
      </c>
      <c r="H42" s="17">
        <f>_xll.BDH("LUMN US Equity","BS_ACCT_PAYABLE","FQ2 2019","FQ2 2019","Currency=USD","Period=FQ","BEST_FPERIOD_OVERRIDE=FQ","FILING_STATUS=MR","SCALING_FORMAT=MLN","Sort=A","Dates=H","DateFormat=P","Fill=—","Direction=H","UseDPDF=Y")</f>
        <v>1634</v>
      </c>
      <c r="I42" s="17">
        <f>_xll.BDH("LUMN US Equity","BS_ACCT_PAYABLE","FQ3 2019","FQ3 2019","Currency=USD","Period=FQ","BEST_FPERIOD_OVERRIDE=FQ","FILING_STATUS=MR","SCALING_FORMAT=MLN","Sort=A","Dates=H","DateFormat=P","Fill=—","Direction=H","UseDPDF=Y")</f>
        <v>1712</v>
      </c>
      <c r="J42" s="17">
        <f>_xll.BDH("LUMN US Equity","BS_ACCT_PAYABLE","FQ4 2019","FQ4 2019","Currency=USD","Period=FQ","BEST_FPERIOD_OVERRIDE=FQ","FILING_STATUS=MR","SCALING_FORMAT=MLN","Sort=A","Dates=H","DateFormat=P","Fill=—","Direction=H","UseDPDF=Y")</f>
        <v>1724</v>
      </c>
      <c r="K42" s="17">
        <f>_xll.BDH("LUMN US Equity","BS_ACCT_PAYABLE","FQ1 2020","FQ1 2020","Currency=USD","Period=FQ","BEST_FPERIOD_OVERRIDE=FQ","FILING_STATUS=MR","SCALING_FORMAT=MLN","Sort=A","Dates=H","DateFormat=P","Fill=—","Direction=H","UseDPDF=Y")</f>
        <v>1581</v>
      </c>
      <c r="L42" s="17">
        <f>_xll.BDH("LUMN US Equity","BS_ACCT_PAYABLE","FQ2 2020","FQ2 2020","Currency=USD","Period=FQ","BEST_FPERIOD_OVERRIDE=FQ","FILING_STATUS=MR","SCALING_FORMAT=MLN","Sort=A","Dates=H","DateFormat=P","Fill=—","Direction=H","UseDPDF=Y")</f>
        <v>1448</v>
      </c>
    </row>
    <row r="43" spans="1:12" x14ac:dyDescent="0.25">
      <c r="A43" s="16" t="s">
        <v>270</v>
      </c>
      <c r="B43" s="16" t="s">
        <v>269</v>
      </c>
      <c r="C43" s="17">
        <f>_xll.BDH("LUMN US Equity","BS_TAXES_PAYABLE","FQ1 2018","FQ1 2018","Currency=USD","Period=FQ","BEST_FPERIOD_OVERRIDE=FQ","FILING_STATUS=MR","SCALING_FORMAT=MLN","Sort=A","Dates=H","DateFormat=P","Fill=—","Direction=H","UseDPDF=Y")</f>
        <v>390</v>
      </c>
      <c r="D43" s="17">
        <f>_xll.BDH("LUMN US Equity","BS_TAXES_PAYABLE","FQ2 2018","FQ2 2018","Currency=USD","Period=FQ","BEST_FPERIOD_OVERRIDE=FQ","FILING_STATUS=MR","SCALING_FORMAT=MLN","Sort=A","Dates=H","DateFormat=P","Fill=—","Direction=H","UseDPDF=Y")</f>
        <v>344</v>
      </c>
      <c r="E43" s="17">
        <f>_xll.BDH("LUMN US Equity","BS_TAXES_PAYABLE","FQ3 2018","FQ3 2018","Currency=USD","Period=FQ","BEST_FPERIOD_OVERRIDE=FQ","FILING_STATUS=MR","SCALING_FORMAT=MLN","Sort=A","Dates=H","DateFormat=P","Fill=—","Direction=H","UseDPDF=Y")</f>
        <v>409</v>
      </c>
      <c r="F43" s="17">
        <f>_xll.BDH("LUMN US Equity","BS_TAXES_PAYABLE","FQ4 2018","FQ4 2018","Currency=USD","Period=FQ","BEST_FPERIOD_OVERRIDE=FQ","FILING_STATUS=MR","SCALING_FORMAT=MLN","Sort=A","Dates=H","DateFormat=P","Fill=—","Direction=H","UseDPDF=Y")</f>
        <v>337</v>
      </c>
      <c r="G43" s="17">
        <f>_xll.BDH("LUMN US Equity","BS_TAXES_PAYABLE","FQ1 2019","FQ1 2019","Currency=USD","Period=FQ","BEST_FPERIOD_OVERRIDE=FQ","FILING_STATUS=MR","SCALING_FORMAT=MLN","Sort=A","Dates=H","DateFormat=P","Fill=—","Direction=H","UseDPDF=Y")</f>
        <v>386</v>
      </c>
      <c r="H43" s="17">
        <f>_xll.BDH("LUMN US Equity","BS_TAXES_PAYABLE","FQ2 2019","FQ2 2019","Currency=USD","Period=FQ","BEST_FPERIOD_OVERRIDE=FQ","FILING_STATUS=MR","SCALING_FORMAT=MLN","Sort=A","Dates=H","DateFormat=P","Fill=—","Direction=H","UseDPDF=Y")</f>
        <v>374</v>
      </c>
      <c r="I43" s="17">
        <f>_xll.BDH("LUMN US Equity","BS_TAXES_PAYABLE","FQ3 2019","FQ3 2019","Currency=USD","Period=FQ","BEST_FPERIOD_OVERRIDE=FQ","FILING_STATUS=MR","SCALING_FORMAT=MLN","Sort=A","Dates=H","DateFormat=P","Fill=—","Direction=H","UseDPDF=Y")</f>
        <v>388</v>
      </c>
      <c r="J43" s="17">
        <f>_xll.BDH("LUMN US Equity","BS_TAXES_PAYABLE","FQ4 2019","FQ4 2019","Currency=USD","Period=FQ","BEST_FPERIOD_OVERRIDE=FQ","FILING_STATUS=MR","SCALING_FORMAT=MLN","Sort=A","Dates=H","DateFormat=P","Fill=—","Direction=H","UseDPDF=Y")</f>
        <v>311</v>
      </c>
      <c r="K43" s="17">
        <f>_xll.BDH("LUMN US Equity","BS_TAXES_PAYABLE","FQ1 2020","FQ1 2020","Currency=USD","Period=FQ","BEST_FPERIOD_OVERRIDE=FQ","FILING_STATUS=MR","SCALING_FORMAT=MLN","Sort=A","Dates=H","DateFormat=P","Fill=—","Direction=H","UseDPDF=Y")</f>
        <v>354</v>
      </c>
      <c r="L43" s="17">
        <f>_xll.BDH("LUMN US Equity","BS_TAXES_PAYABLE","FQ2 2020","FQ2 2020","Currency=USD","Period=FQ","BEST_FPERIOD_OVERRIDE=FQ","FILING_STATUS=MR","SCALING_FORMAT=MLN","Sort=A","Dates=H","DateFormat=P","Fill=—","Direction=H","UseDPDF=Y")</f>
        <v>337</v>
      </c>
    </row>
    <row r="44" spans="1:12" x14ac:dyDescent="0.25">
      <c r="A44" s="16" t="s">
        <v>268</v>
      </c>
      <c r="B44" s="16" t="s">
        <v>267</v>
      </c>
      <c r="C44" s="17">
        <f>_xll.BDH("LUMN US Equity","BS_INTEREST_&amp;_DIVIDENDS_PAYABLE","FQ1 2018","FQ1 2018","Currency=USD","Period=FQ","BEST_FPERIOD_OVERRIDE=FQ","FILING_STATUS=MR","SCALING_FORMAT=MLN","Sort=A","Dates=H","DateFormat=P","Fill=—","Direction=H","UseDPDF=Y")</f>
        <v>386</v>
      </c>
      <c r="D44" s="17">
        <f>_xll.BDH("LUMN US Equity","BS_INTEREST_&amp;_DIVIDENDS_PAYABLE","FQ2 2018","FQ2 2018","Currency=USD","Period=FQ","BEST_FPERIOD_OVERRIDE=FQ","FILING_STATUS=MR","SCALING_FORMAT=MLN","Sort=A","Dates=H","DateFormat=P","Fill=—","Direction=H","UseDPDF=Y")</f>
        <v>343</v>
      </c>
      <c r="E44" s="17">
        <f>_xll.BDH("LUMN US Equity","BS_INTEREST_&amp;_DIVIDENDS_PAYABLE","FQ3 2018","FQ3 2018","Currency=USD","Period=FQ","BEST_FPERIOD_OVERRIDE=FQ","FILING_STATUS=MR","SCALING_FORMAT=MLN","Sort=A","Dates=H","DateFormat=P","Fill=—","Direction=H","UseDPDF=Y")</f>
        <v>362</v>
      </c>
      <c r="F44" s="17">
        <f>_xll.BDH("LUMN US Equity","BS_INTEREST_&amp;_DIVIDENDS_PAYABLE","FQ4 2018","FQ4 2018","Currency=USD","Period=FQ","BEST_FPERIOD_OVERRIDE=FQ","FILING_STATUS=MR","SCALING_FORMAT=MLN","Sort=A","Dates=H","DateFormat=P","Fill=—","Direction=H","UseDPDF=Y")</f>
        <v>316</v>
      </c>
      <c r="G44" s="17">
        <f>_xll.BDH("LUMN US Equity","BS_INTEREST_&amp;_DIVIDENDS_PAYABLE","FQ1 2019","FQ1 2019","Currency=USD","Period=FQ","BEST_FPERIOD_OVERRIDE=FQ","FILING_STATUS=MR","SCALING_FORMAT=MLN","Sort=A","Dates=H","DateFormat=P","Fill=—","Direction=H","UseDPDF=Y")</f>
        <v>352</v>
      </c>
      <c r="H44" s="17">
        <f>_xll.BDH("LUMN US Equity","BS_INTEREST_&amp;_DIVIDENDS_PAYABLE","FQ2 2019","FQ2 2019","Currency=USD","Period=FQ","BEST_FPERIOD_OVERRIDE=FQ","FILING_STATUS=MR","SCALING_FORMAT=MLN","Sort=A","Dates=H","DateFormat=P","Fill=—","Direction=H","UseDPDF=Y")</f>
        <v>294</v>
      </c>
      <c r="I44" s="17">
        <f>_xll.BDH("LUMN US Equity","BS_INTEREST_&amp;_DIVIDENDS_PAYABLE","FQ3 2019","FQ3 2019","Currency=USD","Period=FQ","BEST_FPERIOD_OVERRIDE=FQ","FILING_STATUS=MR","SCALING_FORMAT=MLN","Sort=A","Dates=H","DateFormat=P","Fill=—","Direction=H","UseDPDF=Y")</f>
        <v>328</v>
      </c>
      <c r="J44" s="17">
        <f>_xll.BDH("LUMN US Equity","BS_INTEREST_&amp;_DIVIDENDS_PAYABLE","FQ4 2019","FQ4 2019","Currency=USD","Period=FQ","BEST_FPERIOD_OVERRIDE=FQ","FILING_STATUS=MR","SCALING_FORMAT=MLN","Sort=A","Dates=H","DateFormat=P","Fill=—","Direction=H","UseDPDF=Y")</f>
        <v>280</v>
      </c>
      <c r="K44" s="17">
        <f>_xll.BDH("LUMN US Equity","BS_INTEREST_&amp;_DIVIDENDS_PAYABLE","FQ1 2020","FQ1 2020","Currency=USD","Period=FQ","BEST_FPERIOD_OVERRIDE=FQ","FILING_STATUS=MR","SCALING_FORMAT=MLN","Sort=A","Dates=H","DateFormat=P","Fill=—","Direction=H","UseDPDF=Y")</f>
        <v>337</v>
      </c>
      <c r="L44" s="17">
        <f>_xll.BDH("LUMN US Equity","BS_INTEREST_&amp;_DIVIDENDS_PAYABLE","FQ2 2020","FQ2 2020","Currency=USD","Period=FQ","BEST_FPERIOD_OVERRIDE=FQ","FILING_STATUS=MR","SCALING_FORMAT=MLN","Sort=A","Dates=H","DateFormat=P","Fill=—","Direction=H","UseDPDF=Y")</f>
        <v>303</v>
      </c>
    </row>
    <row r="45" spans="1:12" x14ac:dyDescent="0.25">
      <c r="A45" s="16" t="s">
        <v>266</v>
      </c>
      <c r="B45" s="16" t="s">
        <v>265</v>
      </c>
      <c r="C45" s="17">
        <f>_xll.BDH("LUMN US Equity","BS_ACCRUAL","FQ1 2018","FQ1 2018","Currency=USD","Period=FQ","BEST_FPERIOD_OVERRIDE=FQ","FILING_STATUS=MR","SCALING_FORMAT=MLN","Sort=A","Dates=H","DateFormat=P","Fill=—","Direction=H","UseDPDF=Y")</f>
        <v>798</v>
      </c>
      <c r="D45" s="17">
        <f>_xll.BDH("LUMN US Equity","BS_ACCRUAL","FQ2 2018","FQ2 2018","Currency=USD","Period=FQ","BEST_FPERIOD_OVERRIDE=FQ","FILING_STATUS=MR","SCALING_FORMAT=MLN","Sort=A","Dates=H","DateFormat=P","Fill=—","Direction=H","UseDPDF=Y")</f>
        <v>929</v>
      </c>
      <c r="E45" s="17">
        <f>_xll.BDH("LUMN US Equity","BS_ACCRUAL","FQ3 2018","FQ3 2018","Currency=USD","Period=FQ","BEST_FPERIOD_OVERRIDE=FQ","FILING_STATUS=MR","SCALING_FORMAT=MLN","Sort=A","Dates=H","DateFormat=P","Fill=—","Direction=H","UseDPDF=Y")</f>
        <v>993</v>
      </c>
      <c r="F45" s="17">
        <f>_xll.BDH("LUMN US Equity","BS_ACCRUAL","FQ4 2018","FQ4 2018","Currency=USD","Period=FQ","BEST_FPERIOD_OVERRIDE=FQ","FILING_STATUS=MR","SCALING_FORMAT=MLN","Sort=A","Dates=H","DateFormat=P","Fill=—","Direction=H","UseDPDF=Y")</f>
        <v>1104</v>
      </c>
      <c r="G45" s="17">
        <f>_xll.BDH("LUMN US Equity","BS_ACCRUAL","FQ1 2019","FQ1 2019","Currency=USD","Period=FQ","BEST_FPERIOD_OVERRIDE=FQ","FILING_STATUS=MR","SCALING_FORMAT=MLN","Sort=A","Dates=H","DateFormat=P","Fill=—","Direction=H","UseDPDF=Y")</f>
        <v>823</v>
      </c>
      <c r="H45" s="17">
        <f>_xll.BDH("LUMN US Equity","BS_ACCRUAL","FQ2 2019","FQ2 2019","Currency=USD","Period=FQ","BEST_FPERIOD_OVERRIDE=FQ","FILING_STATUS=MR","SCALING_FORMAT=MLN","Sort=A","Dates=H","DateFormat=P","Fill=—","Direction=H","UseDPDF=Y")</f>
        <v>921</v>
      </c>
      <c r="I45" s="17">
        <f>_xll.BDH("LUMN US Equity","BS_ACCRUAL","FQ3 2019","FQ3 2019","Currency=USD","Period=FQ","BEST_FPERIOD_OVERRIDE=FQ","FILING_STATUS=MR","SCALING_FORMAT=MLN","Sort=A","Dates=H","DateFormat=P","Fill=—","Direction=H","UseDPDF=Y")</f>
        <v>882</v>
      </c>
      <c r="J45" s="17">
        <f>_xll.BDH("LUMN US Equity","BS_ACCRUAL","FQ4 2019","FQ4 2019","Currency=USD","Period=FQ","BEST_FPERIOD_OVERRIDE=FQ","FILING_STATUS=MR","SCALING_FORMAT=MLN","Sort=A","Dates=H","DateFormat=P","Fill=—","Direction=H","UseDPDF=Y")</f>
        <v>1037</v>
      </c>
      <c r="K45" s="17">
        <f>_xll.BDH("LUMN US Equity","BS_ACCRUAL","FQ1 2020","FQ1 2020","Currency=USD","Period=FQ","BEST_FPERIOD_OVERRIDE=FQ","FILING_STATUS=MR","SCALING_FORMAT=MLN","Sort=A","Dates=H","DateFormat=P","Fill=—","Direction=H","UseDPDF=Y")</f>
        <v>729</v>
      </c>
      <c r="L45" s="17">
        <f>_xll.BDH("LUMN US Equity","BS_ACCRUAL","FQ2 2020","FQ2 2020","Currency=USD","Period=FQ","BEST_FPERIOD_OVERRIDE=FQ","FILING_STATUS=MR","SCALING_FORMAT=MLN","Sort=A","Dates=H","DateFormat=P","Fill=—","Direction=H","UseDPDF=Y")</f>
        <v>917</v>
      </c>
    </row>
    <row r="46" spans="1:12" x14ac:dyDescent="0.25">
      <c r="A46" s="16" t="s">
        <v>264</v>
      </c>
      <c r="B46" s="16" t="s">
        <v>263</v>
      </c>
      <c r="C46" s="17">
        <f>_xll.BDH("LUMN US Equity","BS_ST_BORROW","FQ1 2018","FQ1 2018","Currency=USD","Period=FQ","BEST_FPERIOD_OVERRIDE=FQ","FILING_STATUS=MR","SCALING_FORMAT=MLN","Sort=A","Dates=H","DateFormat=P","Fill=—","Direction=H","UseDPDF=Y")</f>
        <v>437</v>
      </c>
      <c r="D46" s="17">
        <f>_xll.BDH("LUMN US Equity","BS_ST_BORROW","FQ2 2018","FQ2 2018","Currency=USD","Period=FQ","BEST_FPERIOD_OVERRIDE=FQ","FILING_STATUS=MR","SCALING_FORMAT=MLN","Sort=A","Dates=H","DateFormat=P","Fill=—","Direction=H","UseDPDF=Y")</f>
        <v>437</v>
      </c>
      <c r="E46" s="17">
        <f>_xll.BDH("LUMN US Equity","BS_ST_BORROW","FQ3 2018","FQ3 2018","Currency=USD","Period=FQ","BEST_FPERIOD_OVERRIDE=FQ","FILING_STATUS=MR","SCALING_FORMAT=MLN","Sort=A","Dates=H","DateFormat=P","Fill=—","Direction=H","UseDPDF=Y")</f>
        <v>778</v>
      </c>
      <c r="F46" s="17">
        <f>_xll.BDH("LUMN US Equity","BS_ST_BORROW","FQ4 2018","FQ4 2018","Currency=USD","Period=FQ","BEST_FPERIOD_OVERRIDE=FQ","FILING_STATUS=MR","SCALING_FORMAT=MLN","Sort=A","Dates=H","DateFormat=P","Fill=—","Direction=H","UseDPDF=Y")</f>
        <v>652</v>
      </c>
      <c r="G46" s="17">
        <f>_xll.BDH("LUMN US Equity","BS_ST_BORROW","FQ1 2019","FQ1 2019","Currency=USD","Period=FQ","BEST_FPERIOD_OVERRIDE=FQ","FILING_STATUS=MR","SCALING_FORMAT=MLN","Sort=A","Dates=H","DateFormat=P","Fill=—","Direction=H","UseDPDF=Y")</f>
        <v>1193</v>
      </c>
      <c r="H46" s="17">
        <f>_xll.BDH("LUMN US Equity","BS_ST_BORROW","FQ2 2019","FQ2 2019","Currency=USD","Period=FQ","BEST_FPERIOD_OVERRIDE=FQ","FILING_STATUS=MR","SCALING_FORMAT=MLN","Sort=A","Dates=H","DateFormat=P","Fill=—","Direction=H","UseDPDF=Y")</f>
        <v>2083</v>
      </c>
      <c r="I46" s="17">
        <f>_xll.BDH("LUMN US Equity","BS_ST_BORROW","FQ3 2019","FQ3 2019","Currency=USD","Period=FQ","BEST_FPERIOD_OVERRIDE=FQ","FILING_STATUS=MR","SCALING_FORMAT=MLN","Sort=A","Dates=H","DateFormat=P","Fill=—","Direction=H","UseDPDF=Y")</f>
        <v>2163</v>
      </c>
      <c r="J46" s="17">
        <f>_xll.BDH("LUMN US Equity","BS_ST_BORROW","FQ4 2019","FQ4 2019","Currency=USD","Period=FQ","BEST_FPERIOD_OVERRIDE=FQ","FILING_STATUS=MR","SCALING_FORMAT=MLN","Sort=A","Dates=H","DateFormat=P","Fill=—","Direction=H","UseDPDF=Y")</f>
        <v>2716</v>
      </c>
      <c r="K46" s="17">
        <f>_xll.BDH("LUMN US Equity","BS_ST_BORROW","FQ1 2020","FQ1 2020","Currency=USD","Period=FQ","BEST_FPERIOD_OVERRIDE=FQ","FILING_STATUS=MR","SCALING_FORMAT=MLN","Sort=A","Dates=H","DateFormat=P","Fill=—","Direction=H","UseDPDF=Y")</f>
        <v>1545</v>
      </c>
      <c r="L46" s="17">
        <f>_xll.BDH("LUMN US Equity","BS_ST_BORROW","FQ2 2020","FQ2 2020","Currency=USD","Period=FQ","BEST_FPERIOD_OVERRIDE=FQ","FILING_STATUS=MR","SCALING_FORMAT=MLN","Sort=A","Dates=H","DateFormat=P","Fill=—","Direction=H","UseDPDF=Y")</f>
        <v>3359</v>
      </c>
    </row>
    <row r="47" spans="1:12" x14ac:dyDescent="0.25">
      <c r="A47" s="16" t="s">
        <v>262</v>
      </c>
      <c r="B47" s="16" t="s">
        <v>261</v>
      </c>
      <c r="C47" s="17">
        <f>_xll.BDH("LUMN US Equity","SHORT_TERM_DEBT_DETAILED","FQ1 2018","FQ1 2018","Currency=USD","Period=FQ","BEST_FPERIOD_OVERRIDE=FQ","FILING_STATUS=MR","SCALING_FORMAT=MLN","Sort=A","Dates=H","DateFormat=P","Fill=—","Direction=H","UseDPDF=Y")</f>
        <v>0</v>
      </c>
      <c r="D47" s="17">
        <f>_xll.BDH("LUMN US Equity","SHORT_TERM_DEBT_DETAILED","FQ2 2018","FQ2 2018","Currency=USD","Period=FQ","BEST_FPERIOD_OVERRIDE=FQ","FILING_STATUS=MR","SCALING_FORMAT=MLN","Sort=A","Dates=H","DateFormat=P","Fill=—","Direction=H","UseDPDF=Y")</f>
        <v>0</v>
      </c>
      <c r="E47" s="17">
        <f>_xll.BDH("LUMN US Equity","SHORT_TERM_DEBT_DETAILED","FQ3 2018","FQ3 2018","Currency=USD","Period=FQ","BEST_FPERIOD_OVERRIDE=FQ","FILING_STATUS=MR","SCALING_FORMAT=MLN","Sort=A","Dates=H","DateFormat=P","Fill=—","Direction=H","UseDPDF=Y")</f>
        <v>0</v>
      </c>
      <c r="F47" s="17">
        <f>_xll.BDH("LUMN US Equity","SHORT_TERM_DEBT_DETAILED","FQ4 2018","FQ4 2018","Currency=USD","Period=FQ","BEST_FPERIOD_OVERRIDE=FQ","FILING_STATUS=MR","SCALING_FORMAT=MLN","Sort=A","Dates=H","DateFormat=P","Fill=—","Direction=H","UseDPDF=Y")</f>
        <v>0</v>
      </c>
      <c r="G47" s="17">
        <f>_xll.BDH("LUMN US Equity","SHORT_TERM_DEBT_DETAILED","FQ1 2019","FQ1 2019","Currency=USD","Period=FQ","BEST_FPERIOD_OVERRIDE=FQ","FILING_STATUS=MR","SCALING_FORMAT=MLN","Sort=A","Dates=H","DateFormat=P","Fill=—","Direction=H","UseDPDF=Y")</f>
        <v>0</v>
      </c>
      <c r="H47" s="17">
        <f>_xll.BDH("LUMN US Equity","SHORT_TERM_DEBT_DETAILED","FQ2 2019","FQ2 2019","Currency=USD","Period=FQ","BEST_FPERIOD_OVERRIDE=FQ","FILING_STATUS=MR","SCALING_FORMAT=MLN","Sort=A","Dates=H","DateFormat=P","Fill=—","Direction=H","UseDPDF=Y")</f>
        <v>0</v>
      </c>
      <c r="I47" s="17">
        <f>_xll.BDH("LUMN US Equity","SHORT_TERM_DEBT_DETAILED","FQ3 2019","FQ3 2019","Currency=USD","Period=FQ","BEST_FPERIOD_OVERRIDE=FQ","FILING_STATUS=MR","SCALING_FORMAT=MLN","Sort=A","Dates=H","DateFormat=P","Fill=—","Direction=H","UseDPDF=Y")</f>
        <v>0</v>
      </c>
      <c r="J47" s="17">
        <f>_xll.BDH("LUMN US Equity","SHORT_TERM_DEBT_DETAILED","FQ4 2019","FQ4 2019","Currency=USD","Period=FQ","BEST_FPERIOD_OVERRIDE=FQ","FILING_STATUS=MR","SCALING_FORMAT=MLN","Sort=A","Dates=H","DateFormat=P","Fill=—","Direction=H","UseDPDF=Y")</f>
        <v>0</v>
      </c>
      <c r="K47" s="17">
        <f>_xll.BDH("LUMN US Equity","SHORT_TERM_DEBT_DETAILED","FQ1 2020","FQ1 2020","Currency=USD","Period=FQ","BEST_FPERIOD_OVERRIDE=FQ","FILING_STATUS=MR","SCALING_FORMAT=MLN","Sort=A","Dates=H","DateFormat=P","Fill=—","Direction=H","UseDPDF=Y")</f>
        <v>0</v>
      </c>
      <c r="L47" s="17">
        <f>_xll.BDH("LUMN US Equity","SHORT_TERM_DEBT_DETAILED","FQ2 2020","FQ2 2020","Currency=USD","Period=FQ","BEST_FPERIOD_OVERRIDE=FQ","FILING_STATUS=MR","SCALING_FORMAT=MLN","Sort=A","Dates=H","DateFormat=P","Fill=—","Direction=H","UseDPDF=Y")</f>
        <v>0</v>
      </c>
    </row>
    <row r="48" spans="1:12" x14ac:dyDescent="0.25">
      <c r="A48" s="16" t="s">
        <v>260</v>
      </c>
      <c r="B48" s="16" t="s">
        <v>259</v>
      </c>
      <c r="C48" s="17" t="str">
        <f>_xll.BDH("LUMN US Equity","ST_CAPITALIZED_LEASE_LIABILITIES","FQ1 2018","FQ1 2018","Currency=USD","Period=FQ","BEST_FPERIOD_OVERRIDE=FQ","FILING_STATUS=MR","SCALING_FORMAT=MLN","Sort=A","Dates=H","DateFormat=P","Fill=—","Direction=H","UseDPDF=Y")</f>
        <v>—</v>
      </c>
      <c r="D48" s="17" t="str">
        <f>_xll.BDH("LUMN US Equity","ST_CAPITALIZED_LEASE_LIABILITIES","FQ2 2018","FQ2 2018","Currency=USD","Period=FQ","BEST_FPERIOD_OVERRIDE=FQ","FILING_STATUS=MR","SCALING_FORMAT=MLN","Sort=A","Dates=H","DateFormat=P","Fill=—","Direction=H","UseDPDF=Y")</f>
        <v>—</v>
      </c>
      <c r="E48" s="17" t="str">
        <f>_xll.BDH("LUMN US Equity","ST_CAPITALIZED_LEASE_LIABILITIES","FQ3 2018","FQ3 2018","Currency=USD","Period=FQ","BEST_FPERIOD_OVERRIDE=FQ","FILING_STATUS=MR","SCALING_FORMAT=MLN","Sort=A","Dates=H","DateFormat=P","Fill=—","Direction=H","UseDPDF=Y")</f>
        <v>—</v>
      </c>
      <c r="F48" s="17">
        <f>_xll.BDH("LUMN US Equity","ST_CAPITALIZED_LEASE_LIABILITIES","FQ4 2018","FQ4 2018","Currency=USD","Period=FQ","BEST_FPERIOD_OVERRIDE=FQ","FILING_STATUS=MR","SCALING_FORMAT=MLN","Sort=A","Dates=H","DateFormat=P","Fill=—","Direction=H","UseDPDF=Y")</f>
        <v>38</v>
      </c>
      <c r="G48" s="17">
        <f>_xll.BDH("LUMN US Equity","ST_CAPITALIZED_LEASE_LIABILITIES","FQ1 2019","FQ1 2019","Currency=USD","Period=FQ","BEST_FPERIOD_OVERRIDE=FQ","FILING_STATUS=MR","SCALING_FORMAT=MLN","Sort=A","Dates=H","DateFormat=P","Fill=—","Direction=H","UseDPDF=Y")</f>
        <v>597</v>
      </c>
      <c r="H48" s="17">
        <f>_xll.BDH("LUMN US Equity","ST_CAPITALIZED_LEASE_LIABILITIES","FQ2 2019","FQ2 2019","Currency=USD","Period=FQ","BEST_FPERIOD_OVERRIDE=FQ","FILING_STATUS=MR","SCALING_FORMAT=MLN","Sort=A","Dates=H","DateFormat=P","Fill=—","Direction=H","UseDPDF=Y")</f>
        <v>520</v>
      </c>
      <c r="I48" s="17">
        <f>_xll.BDH("LUMN US Equity","ST_CAPITALIZED_LEASE_LIABILITIES","FQ3 2019","FQ3 2019","Currency=USD","Period=FQ","BEST_FPERIOD_OVERRIDE=FQ","FILING_STATUS=MR","SCALING_FORMAT=MLN","Sort=A","Dates=H","DateFormat=P","Fill=—","Direction=H","UseDPDF=Y")</f>
        <v>449</v>
      </c>
      <c r="J48" s="17">
        <f>_xll.BDH("LUMN US Equity","ST_CAPITALIZED_LEASE_LIABILITIES","FQ4 2019","FQ4 2019","Currency=USD","Period=FQ","BEST_FPERIOD_OVERRIDE=FQ","FILING_STATUS=MR","SCALING_FORMAT=MLN","Sort=A","Dates=H","DateFormat=P","Fill=—","Direction=H","UseDPDF=Y")</f>
        <v>451</v>
      </c>
      <c r="K48" s="17">
        <f>_xll.BDH("LUMN US Equity","ST_CAPITALIZED_LEASE_LIABILITIES","FQ1 2020","FQ1 2020","Currency=USD","Period=FQ","BEST_FPERIOD_OVERRIDE=FQ","FILING_STATUS=MR","SCALING_FORMAT=MLN","Sort=A","Dates=H","DateFormat=P","Fill=—","Direction=H","UseDPDF=Y")</f>
        <v>416</v>
      </c>
      <c r="L48" s="17">
        <f>_xll.BDH("LUMN US Equity","ST_CAPITALIZED_LEASE_LIABILITIES","FQ2 2020","FQ2 2020","Currency=USD","Period=FQ","BEST_FPERIOD_OVERRIDE=FQ","FILING_STATUS=MR","SCALING_FORMAT=MLN","Sort=A","Dates=H","DateFormat=P","Fill=—","Direction=H","UseDPDF=Y")</f>
        <v>474</v>
      </c>
    </row>
    <row r="49" spans="1:12" x14ac:dyDescent="0.25">
      <c r="A49" s="8" t="s">
        <v>258</v>
      </c>
      <c r="B49" s="8" t="s">
        <v>257</v>
      </c>
      <c r="C49" s="9" t="str">
        <f>_xll.BDH("LUMN US Equity","ST_CAPITAL_LEASE_OBLIGATIONS","FQ1 2018","FQ1 2018","Currency=USD","Period=FQ","BEST_FPERIOD_OVERRIDE=FQ","FILING_STATUS=MR","SCALING_FORMAT=MLN","Sort=A","Dates=H","DateFormat=P","Fill=—","Direction=H","UseDPDF=Y")</f>
        <v>—</v>
      </c>
      <c r="D49" s="9" t="str">
        <f>_xll.BDH("LUMN US Equity","ST_CAPITAL_LEASE_OBLIGATIONS","FQ2 2018","FQ2 2018","Currency=USD","Period=FQ","BEST_FPERIOD_OVERRIDE=FQ","FILING_STATUS=MR","SCALING_FORMAT=MLN","Sort=A","Dates=H","DateFormat=P","Fill=—","Direction=H","UseDPDF=Y")</f>
        <v>—</v>
      </c>
      <c r="E49" s="9" t="str">
        <f>_xll.BDH("LUMN US Equity","ST_CAPITAL_LEASE_OBLIGATIONS","FQ3 2018","FQ3 2018","Currency=USD","Period=FQ","BEST_FPERIOD_OVERRIDE=FQ","FILING_STATUS=MR","SCALING_FORMAT=MLN","Sort=A","Dates=H","DateFormat=P","Fill=—","Direction=H","UseDPDF=Y")</f>
        <v>—</v>
      </c>
      <c r="F49" s="9">
        <f>_xll.BDH("LUMN US Equity","ST_CAPITAL_LEASE_OBLIGATIONS","FQ4 2018","FQ4 2018","Currency=USD","Period=FQ","BEST_FPERIOD_OVERRIDE=FQ","FILING_STATUS=MR","SCALING_FORMAT=MLN","Sort=A","Dates=H","DateFormat=P","Fill=—","Direction=H","UseDPDF=Y")</f>
        <v>38</v>
      </c>
      <c r="G49" s="9">
        <f>_xll.BDH("LUMN US Equity","ST_CAPITAL_LEASE_OBLIGATIONS","FQ1 2019","FQ1 2019","Currency=USD","Period=FQ","BEST_FPERIOD_OVERRIDE=FQ","FILING_STATUS=MR","SCALING_FORMAT=MLN","Sort=A","Dates=H","DateFormat=P","Fill=—","Direction=H","UseDPDF=Y")</f>
        <v>36</v>
      </c>
      <c r="H49" s="9">
        <f>_xll.BDH("LUMN US Equity","ST_CAPITAL_LEASE_OBLIGATIONS","FQ2 2019","FQ2 2019","Currency=USD","Period=FQ","BEST_FPERIOD_OVERRIDE=FQ","FILING_STATUS=MR","SCALING_FORMAT=MLN","Sort=A","Dates=H","DateFormat=P","Fill=—","Direction=H","UseDPDF=Y")</f>
        <v>32</v>
      </c>
      <c r="I49" s="9">
        <f>_xll.BDH("LUMN US Equity","ST_CAPITAL_LEASE_OBLIGATIONS","FQ3 2019","FQ3 2019","Currency=USD","Period=FQ","BEST_FPERIOD_OVERRIDE=FQ","FILING_STATUS=MR","SCALING_FORMAT=MLN","Sort=A","Dates=H","DateFormat=P","Fill=—","Direction=H","UseDPDF=Y")</f>
        <v>30</v>
      </c>
      <c r="J49" s="9">
        <f>_xll.BDH("LUMN US Equity","ST_CAPITAL_LEASE_OBLIGATIONS","FQ4 2019","FQ4 2019","Currency=USD","Period=FQ","BEST_FPERIOD_OVERRIDE=FQ","FILING_STATUS=MR","SCALING_FORMAT=MLN","Sort=A","Dates=H","DateFormat=P","Fill=—","Direction=H","UseDPDF=Y")</f>
        <v>35</v>
      </c>
      <c r="K49" s="9" t="str">
        <f>_xll.BDH("LUMN US Equity","ST_CAPITAL_LEASE_OBLIGATIONS","FQ1 2020","FQ1 2020","Currency=USD","Period=FQ","BEST_FPERIOD_OVERRIDE=FQ","FILING_STATUS=MR","SCALING_FORMAT=MLN","Sort=A","Dates=H","DateFormat=P","Fill=—","Direction=H","UseDPDF=Y")</f>
        <v>—</v>
      </c>
      <c r="L49" s="9" t="str">
        <f>_xll.BDH("LUMN US Equity","ST_CAPITAL_LEASE_OBLIGATIONS","FQ2 2020","FQ2 2020","Currency=USD","Period=FQ","BEST_FPERIOD_OVERRIDE=FQ","FILING_STATUS=MR","SCALING_FORMAT=MLN","Sort=A","Dates=H","DateFormat=P","Fill=—","Direction=H","UseDPDF=Y")</f>
        <v>—</v>
      </c>
    </row>
    <row r="50" spans="1:12" x14ac:dyDescent="0.25">
      <c r="A50" s="8" t="s">
        <v>256</v>
      </c>
      <c r="B50" s="8" t="s">
        <v>255</v>
      </c>
      <c r="C50" s="9" t="str">
        <f>_xll.BDH("LUMN US Equity","BS_ST_OPERATING_LEASE_LIABS","FQ1 2018","FQ1 2018","Currency=USD","Period=FQ","BEST_FPERIOD_OVERRIDE=FQ","FILING_STATUS=MR","SCALING_FORMAT=MLN","Sort=A","Dates=H","DateFormat=P","Fill=—","Direction=H","UseDPDF=Y")</f>
        <v>—</v>
      </c>
      <c r="D50" s="9" t="str">
        <f>_xll.BDH("LUMN US Equity","BS_ST_OPERATING_LEASE_LIABS","FQ2 2018","FQ2 2018","Currency=USD","Period=FQ","BEST_FPERIOD_OVERRIDE=FQ","FILING_STATUS=MR","SCALING_FORMAT=MLN","Sort=A","Dates=H","DateFormat=P","Fill=—","Direction=H","UseDPDF=Y")</f>
        <v>—</v>
      </c>
      <c r="E50" s="9" t="str">
        <f>_xll.BDH("LUMN US Equity","BS_ST_OPERATING_LEASE_LIABS","FQ3 2018","FQ3 2018","Currency=USD","Period=FQ","BEST_FPERIOD_OVERRIDE=FQ","FILING_STATUS=MR","SCALING_FORMAT=MLN","Sort=A","Dates=H","DateFormat=P","Fill=—","Direction=H","UseDPDF=Y")</f>
        <v>—</v>
      </c>
      <c r="F50" s="9" t="str">
        <f>_xll.BDH("LUMN US Equity","BS_ST_OPERATING_LEASE_LIABS","FQ4 2018","FQ4 2018","Currency=USD","Period=FQ","BEST_FPERIOD_OVERRIDE=FQ","FILING_STATUS=MR","SCALING_FORMAT=MLN","Sort=A","Dates=H","DateFormat=P","Fill=—","Direction=H","UseDPDF=Y")</f>
        <v>—</v>
      </c>
      <c r="G50" s="9">
        <f>_xll.BDH("LUMN US Equity","BS_ST_OPERATING_LEASE_LIABS","FQ1 2019","FQ1 2019","Currency=USD","Period=FQ","BEST_FPERIOD_OVERRIDE=FQ","FILING_STATUS=MR","SCALING_FORMAT=MLN","Sort=A","Dates=H","DateFormat=P","Fill=—","Direction=H","UseDPDF=Y")</f>
        <v>561</v>
      </c>
      <c r="H50" s="9">
        <f>_xll.BDH("LUMN US Equity","BS_ST_OPERATING_LEASE_LIABS","FQ2 2019","FQ2 2019","Currency=USD","Period=FQ","BEST_FPERIOD_OVERRIDE=FQ","FILING_STATUS=MR","SCALING_FORMAT=MLN","Sort=A","Dates=H","DateFormat=P","Fill=—","Direction=H","UseDPDF=Y")</f>
        <v>488</v>
      </c>
      <c r="I50" s="9">
        <f>_xll.BDH("LUMN US Equity","BS_ST_OPERATING_LEASE_LIABS","FQ3 2019","FQ3 2019","Currency=USD","Period=FQ","BEST_FPERIOD_OVERRIDE=FQ","FILING_STATUS=MR","SCALING_FORMAT=MLN","Sort=A","Dates=H","DateFormat=P","Fill=—","Direction=H","UseDPDF=Y")</f>
        <v>419</v>
      </c>
      <c r="J50" s="9">
        <f>_xll.BDH("LUMN US Equity","BS_ST_OPERATING_LEASE_LIABS","FQ4 2019","FQ4 2019","Currency=USD","Period=FQ","BEST_FPERIOD_OVERRIDE=FQ","FILING_STATUS=MR","SCALING_FORMAT=MLN","Sort=A","Dates=H","DateFormat=P","Fill=—","Direction=H","UseDPDF=Y")</f>
        <v>416</v>
      </c>
      <c r="K50" s="9">
        <f>_xll.BDH("LUMN US Equity","BS_ST_OPERATING_LEASE_LIABS","FQ1 2020","FQ1 2020","Currency=USD","Period=FQ","BEST_FPERIOD_OVERRIDE=FQ","FILING_STATUS=MR","SCALING_FORMAT=MLN","Sort=A","Dates=H","DateFormat=P","Fill=—","Direction=H","UseDPDF=Y")</f>
        <v>416</v>
      </c>
      <c r="L50" s="9">
        <f>_xll.BDH("LUMN US Equity","BS_ST_OPERATING_LEASE_LIABS","FQ2 2020","FQ2 2020","Currency=USD","Period=FQ","BEST_FPERIOD_OVERRIDE=FQ","FILING_STATUS=MR","SCALING_FORMAT=MLN","Sort=A","Dates=H","DateFormat=P","Fill=—","Direction=H","UseDPDF=Y")</f>
        <v>474</v>
      </c>
    </row>
    <row r="51" spans="1:12" x14ac:dyDescent="0.25">
      <c r="A51" s="16" t="s">
        <v>254</v>
      </c>
      <c r="B51" s="16" t="s">
        <v>253</v>
      </c>
      <c r="C51" s="17">
        <f>_xll.BDH("LUMN US Equity","BS_CURR_PORTION_LT_DEBT","FQ1 2018","FQ1 2018","Currency=USD","Period=FQ","BEST_FPERIOD_OVERRIDE=FQ","FILING_STATUS=MR","SCALING_FORMAT=MLN","Sort=A","Dates=H","DateFormat=P","Fill=—","Direction=H","UseDPDF=Y")</f>
        <v>437</v>
      </c>
      <c r="D51" s="17">
        <f>_xll.BDH("LUMN US Equity","BS_CURR_PORTION_LT_DEBT","FQ2 2018","FQ2 2018","Currency=USD","Period=FQ","BEST_FPERIOD_OVERRIDE=FQ","FILING_STATUS=MR","SCALING_FORMAT=MLN","Sort=A","Dates=H","DateFormat=P","Fill=—","Direction=H","UseDPDF=Y")</f>
        <v>437</v>
      </c>
      <c r="E51" s="17">
        <f>_xll.BDH("LUMN US Equity","BS_CURR_PORTION_LT_DEBT","FQ3 2018","FQ3 2018","Currency=USD","Period=FQ","BEST_FPERIOD_OVERRIDE=FQ","FILING_STATUS=MR","SCALING_FORMAT=MLN","Sort=A","Dates=H","DateFormat=P","Fill=—","Direction=H","UseDPDF=Y")</f>
        <v>778</v>
      </c>
      <c r="F51" s="17">
        <f>_xll.BDH("LUMN US Equity","BS_CURR_PORTION_LT_DEBT","FQ4 2018","FQ4 2018","Currency=USD","Period=FQ","BEST_FPERIOD_OVERRIDE=FQ","FILING_STATUS=MR","SCALING_FORMAT=MLN","Sort=A","Dates=H","DateFormat=P","Fill=—","Direction=H","UseDPDF=Y")</f>
        <v>614</v>
      </c>
      <c r="G51" s="17">
        <f>_xll.BDH("LUMN US Equity","BS_CURR_PORTION_LT_DEBT","FQ1 2019","FQ1 2019","Currency=USD","Period=FQ","BEST_FPERIOD_OVERRIDE=FQ","FILING_STATUS=MR","SCALING_FORMAT=MLN","Sort=A","Dates=H","DateFormat=P","Fill=—","Direction=H","UseDPDF=Y")</f>
        <v>596</v>
      </c>
      <c r="H51" s="17">
        <f>_xll.BDH("LUMN US Equity","BS_CURR_PORTION_LT_DEBT","FQ2 2019","FQ2 2019","Currency=USD","Period=FQ","BEST_FPERIOD_OVERRIDE=FQ","FILING_STATUS=MR","SCALING_FORMAT=MLN","Sort=A","Dates=H","DateFormat=P","Fill=—","Direction=H","UseDPDF=Y")</f>
        <v>1563</v>
      </c>
      <c r="I51" s="17">
        <f>_xll.BDH("LUMN US Equity","BS_CURR_PORTION_LT_DEBT","FQ3 2019","FQ3 2019","Currency=USD","Period=FQ","BEST_FPERIOD_OVERRIDE=FQ","FILING_STATUS=MR","SCALING_FORMAT=MLN","Sort=A","Dates=H","DateFormat=P","Fill=—","Direction=H","UseDPDF=Y")</f>
        <v>1714</v>
      </c>
      <c r="J51" s="17">
        <f>_xll.BDH("LUMN US Equity","BS_CURR_PORTION_LT_DEBT","FQ4 2019","FQ4 2019","Currency=USD","Period=FQ","BEST_FPERIOD_OVERRIDE=FQ","FILING_STATUS=MR","SCALING_FORMAT=MLN","Sort=A","Dates=H","DateFormat=P","Fill=—","Direction=H","UseDPDF=Y")</f>
        <v>2265</v>
      </c>
      <c r="K51" s="17">
        <f>_xll.BDH("LUMN US Equity","BS_CURR_PORTION_LT_DEBT","FQ1 2020","FQ1 2020","Currency=USD","Period=FQ","BEST_FPERIOD_OVERRIDE=FQ","FILING_STATUS=MR","SCALING_FORMAT=MLN","Sort=A","Dates=H","DateFormat=P","Fill=—","Direction=H","UseDPDF=Y")</f>
        <v>1129</v>
      </c>
      <c r="L51" s="17">
        <f>_xll.BDH("LUMN US Equity","BS_CURR_PORTION_LT_DEBT","FQ2 2020","FQ2 2020","Currency=USD","Period=FQ","BEST_FPERIOD_OVERRIDE=FQ","FILING_STATUS=MR","SCALING_FORMAT=MLN","Sort=A","Dates=H","DateFormat=P","Fill=—","Direction=H","UseDPDF=Y")</f>
        <v>2885</v>
      </c>
    </row>
    <row r="52" spans="1:12" x14ac:dyDescent="0.25">
      <c r="A52" s="16" t="s">
        <v>252</v>
      </c>
      <c r="B52" s="16" t="s">
        <v>251</v>
      </c>
      <c r="C52" s="17">
        <f>_xll.BDH("LUMN US Equity","OTHER_CURRENT_LIABS_SUB_DETAILED","FQ1 2018","FQ1 2018","Currency=USD","Period=FQ","BEST_FPERIOD_OVERRIDE=FQ","FILING_STATUS=MR","SCALING_FORMAT=MLN","Sort=A","Dates=H","DateFormat=P","Fill=—","Direction=H","UseDPDF=Y")</f>
        <v>1248</v>
      </c>
      <c r="D52" s="17">
        <f>_xll.BDH("LUMN US Equity","OTHER_CURRENT_LIABS_SUB_DETAILED","FQ2 2018","FQ2 2018","Currency=USD","Period=FQ","BEST_FPERIOD_OVERRIDE=FQ","FILING_STATUS=MR","SCALING_FORMAT=MLN","Sort=A","Dates=H","DateFormat=P","Fill=—","Direction=H","UseDPDF=Y")</f>
        <v>1108</v>
      </c>
      <c r="E52" s="17">
        <f>_xll.BDH("LUMN US Equity","OTHER_CURRENT_LIABS_SUB_DETAILED","FQ3 2018","FQ3 2018","Currency=USD","Period=FQ","BEST_FPERIOD_OVERRIDE=FQ","FILING_STATUS=MR","SCALING_FORMAT=MLN","Sort=A","Dates=H","DateFormat=P","Fill=—","Direction=H","UseDPDF=Y")</f>
        <v>1357</v>
      </c>
      <c r="F52" s="17">
        <f>_xll.BDH("LUMN US Equity","OTHER_CURRENT_LIABS_SUB_DETAILED","FQ4 2018","FQ4 2018","Currency=USD","Period=FQ","BEST_FPERIOD_OVERRIDE=FQ","FILING_STATUS=MR","SCALING_FORMAT=MLN","Sort=A","Dates=H","DateFormat=P","Fill=—","Direction=H","UseDPDF=Y")</f>
        <v>1189</v>
      </c>
      <c r="G52" s="17">
        <f>_xll.BDH("LUMN US Equity","OTHER_CURRENT_LIABS_SUB_DETAILED","FQ1 2019","FQ1 2019","Currency=USD","Period=FQ","BEST_FPERIOD_OVERRIDE=FQ","FILING_STATUS=MR","SCALING_FORMAT=MLN","Sort=A","Dates=H","DateFormat=P","Fill=—","Direction=H","UseDPDF=Y")</f>
        <v>1138</v>
      </c>
      <c r="H52" s="17">
        <f>_xll.BDH("LUMN US Equity","OTHER_CURRENT_LIABS_SUB_DETAILED","FQ2 2019","FQ2 2019","Currency=USD","Period=FQ","BEST_FPERIOD_OVERRIDE=FQ","FILING_STATUS=MR","SCALING_FORMAT=MLN","Sort=A","Dates=H","DateFormat=P","Fill=—","Direction=H","UseDPDF=Y")</f>
        <v>1189</v>
      </c>
      <c r="I52" s="17">
        <f>_xll.BDH("LUMN US Equity","OTHER_CURRENT_LIABS_SUB_DETAILED","FQ3 2019","FQ3 2019","Currency=USD","Period=FQ","BEST_FPERIOD_OVERRIDE=FQ","FILING_STATUS=MR","SCALING_FORMAT=MLN","Sort=A","Dates=H","DateFormat=P","Fill=—","Direction=H","UseDPDF=Y")</f>
        <v>1116</v>
      </c>
      <c r="J52" s="17">
        <f>_xll.BDH("LUMN US Equity","OTHER_CURRENT_LIABS_SUB_DETAILED","FQ4 2019","FQ4 2019","Currency=USD","Period=FQ","BEST_FPERIOD_OVERRIDE=FQ","FILING_STATUS=MR","SCALING_FORMAT=MLN","Sort=A","Dates=H","DateFormat=P","Fill=—","Direction=H","UseDPDF=Y")</f>
        <v>1190</v>
      </c>
      <c r="K52" s="17">
        <f>_xll.BDH("LUMN US Equity","OTHER_CURRENT_LIABS_SUB_DETAILED","FQ1 2020","FQ1 2020","Currency=USD","Period=FQ","BEST_FPERIOD_OVERRIDE=FQ","FILING_STATUS=MR","SCALING_FORMAT=MLN","Sort=A","Dates=H","DateFormat=P","Fill=—","Direction=H","UseDPDF=Y")</f>
        <v>1157</v>
      </c>
      <c r="L52" s="17">
        <f>_xll.BDH("LUMN US Equity","OTHER_CURRENT_LIABS_SUB_DETAILED","FQ2 2020","FQ2 2020","Currency=USD","Period=FQ","BEST_FPERIOD_OVERRIDE=FQ","FILING_STATUS=MR","SCALING_FORMAT=MLN","Sort=A","Dates=H","DateFormat=P","Fill=—","Direction=H","UseDPDF=Y")</f>
        <v>1108</v>
      </c>
    </row>
    <row r="53" spans="1:12" x14ac:dyDescent="0.25">
      <c r="A53" s="16" t="s">
        <v>228</v>
      </c>
      <c r="B53" s="16" t="s">
        <v>250</v>
      </c>
      <c r="C53" s="17" t="str">
        <f>_xll.BDH("LUMN US Equity","ST_DEFERRED_REVENUE","FQ1 2018","FQ1 2018","Currency=USD","Period=FQ","BEST_FPERIOD_OVERRIDE=FQ","FILING_STATUS=MR","SCALING_FORMAT=MLN","Sort=A","Dates=H","DateFormat=P","Fill=—","Direction=H","UseDPDF=Y")</f>
        <v>—</v>
      </c>
      <c r="D53" s="17" t="str">
        <f>_xll.BDH("LUMN US Equity","ST_DEFERRED_REVENUE","FQ2 2018","FQ2 2018","Currency=USD","Period=FQ","BEST_FPERIOD_OVERRIDE=FQ","FILING_STATUS=MR","SCALING_FORMAT=MLN","Sort=A","Dates=H","DateFormat=P","Fill=—","Direction=H","UseDPDF=Y")</f>
        <v>—</v>
      </c>
      <c r="E53" s="17" t="str">
        <f>_xll.BDH("LUMN US Equity","ST_DEFERRED_REVENUE","FQ3 2018","FQ3 2018","Currency=USD","Period=FQ","BEST_FPERIOD_OVERRIDE=FQ","FILING_STATUS=MR","SCALING_FORMAT=MLN","Sort=A","Dates=H","DateFormat=P","Fill=—","Direction=H","UseDPDF=Y")</f>
        <v>—</v>
      </c>
      <c r="F53" s="17">
        <f>_xll.BDH("LUMN US Equity","ST_DEFERRED_REVENUE","FQ4 2018","FQ4 2018","Currency=USD","Period=FQ","BEST_FPERIOD_OVERRIDE=FQ","FILING_STATUS=MR","SCALING_FORMAT=MLN","Sort=A","Dates=H","DateFormat=P","Fill=—","Direction=H","UseDPDF=Y")</f>
        <v>0</v>
      </c>
      <c r="G53" s="17">
        <f>_xll.BDH("LUMN US Equity","ST_DEFERRED_REVENUE","FQ1 2019","FQ1 2019","Currency=USD","Period=FQ","BEST_FPERIOD_OVERRIDE=FQ","FILING_STATUS=MR","SCALING_FORMAT=MLN","Sort=A","Dates=H","DateFormat=P","Fill=—","Direction=H","UseDPDF=Y")</f>
        <v>841</v>
      </c>
      <c r="H53" s="17">
        <f>_xll.BDH("LUMN US Equity","ST_DEFERRED_REVENUE","FQ2 2019","FQ2 2019","Currency=USD","Period=FQ","BEST_FPERIOD_OVERRIDE=FQ","FILING_STATUS=MR","SCALING_FORMAT=MLN","Sort=A","Dates=H","DateFormat=P","Fill=—","Direction=H","UseDPDF=Y")</f>
        <v>852</v>
      </c>
      <c r="I53" s="17">
        <f>_xll.BDH("LUMN US Equity","ST_DEFERRED_REVENUE","FQ3 2019","FQ3 2019","Currency=USD","Period=FQ","BEST_FPERIOD_OVERRIDE=FQ","FILING_STATUS=MR","SCALING_FORMAT=MLN","Sort=A","Dates=H","DateFormat=P","Fill=—","Direction=H","UseDPDF=Y")</f>
        <v>798</v>
      </c>
      <c r="J53" s="17">
        <f>_xll.BDH("LUMN US Equity","ST_DEFERRED_REVENUE","FQ4 2019","FQ4 2019","Currency=USD","Period=FQ","BEST_FPERIOD_OVERRIDE=FQ","FILING_STATUS=MR","SCALING_FORMAT=MLN","Sort=A","Dates=H","DateFormat=P","Fill=—","Direction=H","UseDPDF=Y")</f>
        <v>0</v>
      </c>
      <c r="K53" s="17">
        <f>_xll.BDH("LUMN US Equity","ST_DEFERRED_REVENUE","FQ1 2020","FQ1 2020","Currency=USD","Period=FQ","BEST_FPERIOD_OVERRIDE=FQ","FILING_STATUS=MR","SCALING_FORMAT=MLN","Sort=A","Dates=H","DateFormat=P","Fill=—","Direction=H","UseDPDF=Y")</f>
        <v>788</v>
      </c>
      <c r="L53" s="17">
        <f>_xll.BDH("LUMN US Equity","ST_DEFERRED_REVENUE","FQ2 2020","FQ2 2020","Currency=USD","Period=FQ","BEST_FPERIOD_OVERRIDE=FQ","FILING_STATUS=MR","SCALING_FORMAT=MLN","Sort=A","Dates=H","DateFormat=P","Fill=—","Direction=H","UseDPDF=Y")</f>
        <v>759</v>
      </c>
    </row>
    <row r="54" spans="1:12" x14ac:dyDescent="0.25">
      <c r="A54" s="16" t="s">
        <v>224</v>
      </c>
      <c r="B54" s="16" t="s">
        <v>249</v>
      </c>
      <c r="C54" s="17" t="str">
        <f>_xll.BDH("LUMN US Equity","BS_DERIVATIVE_&amp;_HEDGING_LIABS_ST","FQ1 2018","FQ1 2018","Currency=USD","Period=FQ","BEST_FPERIOD_OVERRIDE=FQ","FILING_STATUS=MR","SCALING_FORMAT=MLN","Sort=A","Dates=H","DateFormat=P","Fill=—","Direction=H","UseDPDF=Y")</f>
        <v>—</v>
      </c>
      <c r="D54" s="17" t="str">
        <f>_xll.BDH("LUMN US Equity","BS_DERIVATIVE_&amp;_HEDGING_LIABS_ST","FQ2 2018","FQ2 2018","Currency=USD","Period=FQ","BEST_FPERIOD_OVERRIDE=FQ","FILING_STATUS=MR","SCALING_FORMAT=MLN","Sort=A","Dates=H","DateFormat=P","Fill=—","Direction=H","UseDPDF=Y")</f>
        <v>—</v>
      </c>
      <c r="E54" s="17" t="str">
        <f>_xll.BDH("LUMN US Equity","BS_DERIVATIVE_&amp;_HEDGING_LIABS_ST","FQ3 2018","FQ3 2018","Currency=USD","Period=FQ","BEST_FPERIOD_OVERRIDE=FQ","FILING_STATUS=MR","SCALING_FORMAT=MLN","Sort=A","Dates=H","DateFormat=P","Fill=—","Direction=H","UseDPDF=Y")</f>
        <v>—</v>
      </c>
      <c r="F54" s="17">
        <f>_xll.BDH("LUMN US Equity","BS_DERIVATIVE_&amp;_HEDGING_LIABS_ST","FQ4 2018","FQ4 2018","Currency=USD","Period=FQ","BEST_FPERIOD_OVERRIDE=FQ","FILING_STATUS=MR","SCALING_FORMAT=MLN","Sort=A","Dates=H","DateFormat=P","Fill=—","Direction=H","UseDPDF=Y")</f>
        <v>0</v>
      </c>
      <c r="G54" s="17" t="str">
        <f>_xll.BDH("LUMN US Equity","BS_DERIVATIVE_&amp;_HEDGING_LIABS_ST","FQ1 2019","FQ1 2019","Currency=USD","Period=FQ","BEST_FPERIOD_OVERRIDE=FQ","FILING_STATUS=MR","SCALING_FORMAT=MLN","Sort=A","Dates=H","DateFormat=P","Fill=—","Direction=H","UseDPDF=Y")</f>
        <v>—</v>
      </c>
      <c r="H54" s="17" t="str">
        <f>_xll.BDH("LUMN US Equity","BS_DERIVATIVE_&amp;_HEDGING_LIABS_ST","FQ2 2019","FQ2 2019","Currency=USD","Period=FQ","BEST_FPERIOD_OVERRIDE=FQ","FILING_STATUS=MR","SCALING_FORMAT=MLN","Sort=A","Dates=H","DateFormat=P","Fill=—","Direction=H","UseDPDF=Y")</f>
        <v>—</v>
      </c>
      <c r="I54" s="17" t="str">
        <f>_xll.BDH("LUMN US Equity","BS_DERIVATIVE_&amp;_HEDGING_LIABS_ST","FQ3 2019","FQ3 2019","Currency=USD","Period=FQ","BEST_FPERIOD_OVERRIDE=FQ","FILING_STATUS=MR","SCALING_FORMAT=MLN","Sort=A","Dates=H","DateFormat=P","Fill=—","Direction=H","UseDPDF=Y")</f>
        <v>—</v>
      </c>
      <c r="J54" s="17">
        <f>_xll.BDH("LUMN US Equity","BS_DERIVATIVE_&amp;_HEDGING_LIABS_ST","FQ4 2019","FQ4 2019","Currency=USD","Period=FQ","BEST_FPERIOD_OVERRIDE=FQ","FILING_STATUS=MR","SCALING_FORMAT=MLN","Sort=A","Dates=H","DateFormat=P","Fill=—","Direction=H","UseDPDF=Y")</f>
        <v>0</v>
      </c>
      <c r="K54" s="17" t="str">
        <f>_xll.BDH("LUMN US Equity","BS_DERIVATIVE_&amp;_HEDGING_LIABS_ST","FQ1 2020","FQ1 2020","Currency=USD","Period=FQ","BEST_FPERIOD_OVERRIDE=FQ","FILING_STATUS=MR","SCALING_FORMAT=MLN","Sort=A","Dates=H","DateFormat=P","Fill=—","Direction=H","UseDPDF=Y")</f>
        <v>—</v>
      </c>
      <c r="L54" s="17" t="str">
        <f>_xll.BDH("LUMN US Equity","BS_DERIVATIVE_&amp;_HEDGING_LIABS_ST","FQ2 2020","FQ2 2020","Currency=USD","Period=FQ","BEST_FPERIOD_OVERRIDE=FQ","FILING_STATUS=MR","SCALING_FORMAT=MLN","Sort=A","Dates=H","DateFormat=P","Fill=—","Direction=H","UseDPDF=Y")</f>
        <v>—</v>
      </c>
    </row>
    <row r="55" spans="1:12" x14ac:dyDescent="0.25">
      <c r="A55" s="16" t="s">
        <v>248</v>
      </c>
      <c r="B55" s="16" t="s">
        <v>247</v>
      </c>
      <c r="C55" s="17">
        <f>_xll.BDH("LUMN US Equity","OTHER_CURRENT_LIABS_DETAILED","FQ1 2018","FQ1 2018","Currency=USD","Period=FQ","BEST_FPERIOD_OVERRIDE=FQ","FILING_STATUS=MR","SCALING_FORMAT=MLN","Sort=A","Dates=H","DateFormat=P","Fill=—","Direction=H","UseDPDF=Y")</f>
        <v>1248</v>
      </c>
      <c r="D55" s="17">
        <f>_xll.BDH("LUMN US Equity","OTHER_CURRENT_LIABS_DETAILED","FQ2 2018","FQ2 2018","Currency=USD","Period=FQ","BEST_FPERIOD_OVERRIDE=FQ","FILING_STATUS=MR","SCALING_FORMAT=MLN","Sort=A","Dates=H","DateFormat=P","Fill=—","Direction=H","UseDPDF=Y")</f>
        <v>1108</v>
      </c>
      <c r="E55" s="17">
        <f>_xll.BDH("LUMN US Equity","OTHER_CURRENT_LIABS_DETAILED","FQ3 2018","FQ3 2018","Currency=USD","Period=FQ","BEST_FPERIOD_OVERRIDE=FQ","FILING_STATUS=MR","SCALING_FORMAT=MLN","Sort=A","Dates=H","DateFormat=P","Fill=—","Direction=H","UseDPDF=Y")</f>
        <v>1357</v>
      </c>
      <c r="F55" s="17">
        <f>_xll.BDH("LUMN US Equity","OTHER_CURRENT_LIABS_DETAILED","FQ4 2018","FQ4 2018","Currency=USD","Period=FQ","BEST_FPERIOD_OVERRIDE=FQ","FILING_STATUS=MR","SCALING_FORMAT=MLN","Sort=A","Dates=H","DateFormat=P","Fill=—","Direction=H","UseDPDF=Y")</f>
        <v>1189</v>
      </c>
      <c r="G55" s="17">
        <f>_xll.BDH("LUMN US Equity","OTHER_CURRENT_LIABS_DETAILED","FQ1 2019","FQ1 2019","Currency=USD","Period=FQ","BEST_FPERIOD_OVERRIDE=FQ","FILING_STATUS=MR","SCALING_FORMAT=MLN","Sort=A","Dates=H","DateFormat=P","Fill=—","Direction=H","UseDPDF=Y")</f>
        <v>297</v>
      </c>
      <c r="H55" s="17">
        <f>_xll.BDH("LUMN US Equity","OTHER_CURRENT_LIABS_DETAILED","FQ2 2019","FQ2 2019","Currency=USD","Period=FQ","BEST_FPERIOD_OVERRIDE=FQ","FILING_STATUS=MR","SCALING_FORMAT=MLN","Sort=A","Dates=H","DateFormat=P","Fill=—","Direction=H","UseDPDF=Y")</f>
        <v>337</v>
      </c>
      <c r="I55" s="17">
        <f>_xll.BDH("LUMN US Equity","OTHER_CURRENT_LIABS_DETAILED","FQ3 2019","FQ3 2019","Currency=USD","Period=FQ","BEST_FPERIOD_OVERRIDE=FQ","FILING_STATUS=MR","SCALING_FORMAT=MLN","Sort=A","Dates=H","DateFormat=P","Fill=—","Direction=H","UseDPDF=Y")</f>
        <v>318</v>
      </c>
      <c r="J55" s="17">
        <f>_xll.BDH("LUMN US Equity","OTHER_CURRENT_LIABS_DETAILED","FQ4 2019","FQ4 2019","Currency=USD","Period=FQ","BEST_FPERIOD_OVERRIDE=FQ","FILING_STATUS=MR","SCALING_FORMAT=MLN","Sort=A","Dates=H","DateFormat=P","Fill=—","Direction=H","UseDPDF=Y")</f>
        <v>1190</v>
      </c>
      <c r="K55" s="17">
        <f>_xll.BDH("LUMN US Equity","OTHER_CURRENT_LIABS_DETAILED","FQ1 2020","FQ1 2020","Currency=USD","Period=FQ","BEST_FPERIOD_OVERRIDE=FQ","FILING_STATUS=MR","SCALING_FORMAT=MLN","Sort=A","Dates=H","DateFormat=P","Fill=—","Direction=H","UseDPDF=Y")</f>
        <v>369</v>
      </c>
      <c r="L55" s="17">
        <f>_xll.BDH("LUMN US Equity","OTHER_CURRENT_LIABS_DETAILED","FQ2 2020","FQ2 2020","Currency=USD","Period=FQ","BEST_FPERIOD_OVERRIDE=FQ","FILING_STATUS=MR","SCALING_FORMAT=MLN","Sort=A","Dates=H","DateFormat=P","Fill=—","Direction=H","UseDPDF=Y")</f>
        <v>349</v>
      </c>
    </row>
    <row r="56" spans="1:12" x14ac:dyDescent="0.25">
      <c r="A56" s="12" t="s">
        <v>246</v>
      </c>
      <c r="B56" s="12" t="s">
        <v>245</v>
      </c>
      <c r="C56" s="10">
        <f>_xll.BDH("LUMN US Equity","BS_CUR_LIAB","FQ1 2018","FQ1 2018","Currency=USD","Period=FQ","BEST_FPERIOD_OVERRIDE=FQ","FILING_STATUS=MR","SCALING_FORMAT=MLN","Sort=A","Dates=H","DateFormat=P","Fill=—","Direction=H","UseDPDF=Y")</f>
        <v>4767</v>
      </c>
      <c r="D56" s="10">
        <f>_xll.BDH("LUMN US Equity","BS_CUR_LIAB","FQ2 2018","FQ2 2018","Currency=USD","Period=FQ","BEST_FPERIOD_OVERRIDE=FQ","FILING_STATUS=MR","SCALING_FORMAT=MLN","Sort=A","Dates=H","DateFormat=P","Fill=—","Direction=H","UseDPDF=Y")</f>
        <v>4521</v>
      </c>
      <c r="E56" s="10">
        <f>_xll.BDH("LUMN US Equity","BS_CUR_LIAB","FQ3 2018","FQ3 2018","Currency=USD","Period=FQ","BEST_FPERIOD_OVERRIDE=FQ","FILING_STATUS=MR","SCALING_FORMAT=MLN","Sort=A","Dates=H","DateFormat=P","Fill=—","Direction=H","UseDPDF=Y")</f>
        <v>5286</v>
      </c>
      <c r="F56" s="10">
        <f>_xll.BDH("LUMN US Equity","BS_CUR_LIAB","FQ4 2018","FQ4 2018","Currency=USD","Period=FQ","BEST_FPERIOD_OVERRIDE=FQ","FILING_STATUS=MR","SCALING_FORMAT=MLN","Sort=A","Dates=H","DateFormat=P","Fill=—","Direction=H","UseDPDF=Y")</f>
        <v>5531</v>
      </c>
      <c r="G56" s="10">
        <f>_xll.BDH("LUMN US Equity","BS_CUR_LIAB","FQ1 2019","FQ1 2019","Currency=USD","Period=FQ","BEST_FPERIOD_OVERRIDE=FQ","FILING_STATUS=MR","SCALING_FORMAT=MLN","Sort=A","Dates=H","DateFormat=P","Fill=—","Direction=H","UseDPDF=Y")</f>
        <v>5373</v>
      </c>
      <c r="H56" s="10">
        <f>_xll.BDH("LUMN US Equity","BS_CUR_LIAB","FQ2 2019","FQ2 2019","Currency=USD","Period=FQ","BEST_FPERIOD_OVERRIDE=FQ","FILING_STATUS=MR","SCALING_FORMAT=MLN","Sort=A","Dates=H","DateFormat=P","Fill=—","Direction=H","UseDPDF=Y")</f>
        <v>6495</v>
      </c>
      <c r="I56" s="10">
        <f>_xll.BDH("LUMN US Equity","BS_CUR_LIAB","FQ3 2019","FQ3 2019","Currency=USD","Period=FQ","BEST_FPERIOD_OVERRIDE=FQ","FILING_STATUS=MR","SCALING_FORMAT=MLN","Sort=A","Dates=H","DateFormat=P","Fill=—","Direction=H","UseDPDF=Y")</f>
        <v>6589</v>
      </c>
      <c r="J56" s="10">
        <f>_xll.BDH("LUMN US Equity","BS_CUR_LIAB","FQ4 2019","FQ4 2019","Currency=USD","Period=FQ","BEST_FPERIOD_OVERRIDE=FQ","FILING_STATUS=MR","SCALING_FORMAT=MLN","Sort=A","Dates=H","DateFormat=P","Fill=—","Direction=H","UseDPDF=Y")</f>
        <v>7258</v>
      </c>
      <c r="K56" s="10">
        <f>_xll.BDH("LUMN US Equity","BS_CUR_LIAB","FQ1 2020","FQ1 2020","Currency=USD","Period=FQ","BEST_FPERIOD_OVERRIDE=FQ","FILING_STATUS=MR","SCALING_FORMAT=MLN","Sort=A","Dates=H","DateFormat=P","Fill=—","Direction=H","UseDPDF=Y")</f>
        <v>5703</v>
      </c>
      <c r="L56" s="10">
        <f>_xll.BDH("LUMN US Equity","BS_CUR_LIAB","FQ2 2020","FQ2 2020","Currency=USD","Period=FQ","BEST_FPERIOD_OVERRIDE=FQ","FILING_STATUS=MR","SCALING_FORMAT=MLN","Sort=A","Dates=H","DateFormat=P","Fill=—","Direction=H","UseDPDF=Y")</f>
        <v>7472</v>
      </c>
    </row>
    <row r="57" spans="1:12" x14ac:dyDescent="0.25">
      <c r="A57" s="16" t="s">
        <v>244</v>
      </c>
      <c r="B57" s="16" t="s">
        <v>243</v>
      </c>
      <c r="C57" s="17">
        <f>_xll.BDH("LUMN US Equity","BS_LT_BORROW","FQ1 2018","FQ1 2018","Currency=USD","Period=FQ","BEST_FPERIOD_OVERRIDE=FQ","FILING_STATUS=MR","SCALING_FORMAT=MLN","Sort=A","Dates=H","DateFormat=P","Fill=—","Direction=H","UseDPDF=Y")</f>
        <v>36940</v>
      </c>
      <c r="D57" s="17">
        <f>_xll.BDH("LUMN US Equity","BS_LT_BORROW","FQ2 2018","FQ2 2018","Currency=USD","Period=FQ","BEST_FPERIOD_OVERRIDE=FQ","FILING_STATUS=MR","SCALING_FORMAT=MLN","Sort=A","Dates=H","DateFormat=P","Fill=—","Direction=H","UseDPDF=Y")</f>
        <v>36878</v>
      </c>
      <c r="E57" s="17">
        <f>_xll.BDH("LUMN US Equity","BS_LT_BORROW","FQ3 2018","FQ3 2018","Currency=USD","Period=FQ","BEST_FPERIOD_OVERRIDE=FQ","FILING_STATUS=MR","SCALING_FORMAT=MLN","Sort=A","Dates=H","DateFormat=P","Fill=—","Direction=H","UseDPDF=Y")</f>
        <v>35749</v>
      </c>
      <c r="F57" s="17">
        <f>_xll.BDH("LUMN US Equity","BS_LT_BORROW","FQ4 2018","FQ4 2018","Currency=USD","Period=FQ","BEST_FPERIOD_OVERRIDE=FQ","FILING_STATUS=MR","SCALING_FORMAT=MLN","Sort=A","Dates=H","DateFormat=P","Fill=—","Direction=H","UseDPDF=Y")</f>
        <v>35409</v>
      </c>
      <c r="G57" s="17">
        <f>_xll.BDH("LUMN US Equity","BS_LT_BORROW","FQ1 2019","FQ1 2019","Currency=USD","Period=FQ","BEST_FPERIOD_OVERRIDE=FQ","FILING_STATUS=MR","SCALING_FORMAT=MLN","Sort=A","Dates=H","DateFormat=P","Fill=—","Direction=H","UseDPDF=Y")</f>
        <v>36359</v>
      </c>
      <c r="H57" s="17">
        <f>_xll.BDH("LUMN US Equity","BS_LT_BORROW","FQ2 2019","FQ2 2019","Currency=USD","Period=FQ","BEST_FPERIOD_OVERRIDE=FQ","FILING_STATUS=MR","SCALING_FORMAT=MLN","Sort=A","Dates=H","DateFormat=P","Fill=—","Direction=H","UseDPDF=Y")</f>
        <v>34660</v>
      </c>
      <c r="I57" s="17">
        <f>_xll.BDH("LUMN US Equity","BS_LT_BORROW","FQ3 2019","FQ3 2019","Currency=USD","Period=FQ","BEST_FPERIOD_OVERRIDE=FQ","FILING_STATUS=MR","SCALING_FORMAT=MLN","Sort=A","Dates=H","DateFormat=P","Fill=—","Direction=H","UseDPDF=Y")</f>
        <v>34732</v>
      </c>
      <c r="J57" s="17">
        <f>_xll.BDH("LUMN US Equity","BS_LT_BORROW","FQ4 2019","FQ4 2019","Currency=USD","Period=FQ","BEST_FPERIOD_OVERRIDE=FQ","FILING_STATUS=MR","SCALING_FORMAT=MLN","Sort=A","Dates=H","DateFormat=P","Fill=—","Direction=H","UseDPDF=Y")</f>
        <v>33736</v>
      </c>
      <c r="K57" s="17">
        <f>_xll.BDH("LUMN US Equity","BS_LT_BORROW","FQ1 2020","FQ1 2020","Currency=USD","Period=FQ","BEST_FPERIOD_OVERRIDE=FQ","FILING_STATUS=MR","SCALING_FORMAT=MLN","Sort=A","Dates=H","DateFormat=P","Fill=—","Direction=H","UseDPDF=Y")</f>
        <v>34797</v>
      </c>
      <c r="L57" s="17">
        <f>_xll.BDH("LUMN US Equity","BS_LT_BORROW","FQ2 2020","FQ2 2020","Currency=USD","Period=FQ","BEST_FPERIOD_OVERRIDE=FQ","FILING_STATUS=MR","SCALING_FORMAT=MLN","Sort=A","Dates=H","DateFormat=P","Fill=—","Direction=H","UseDPDF=Y")</f>
        <v>31414</v>
      </c>
    </row>
    <row r="58" spans="1:12" x14ac:dyDescent="0.25">
      <c r="A58" s="16" t="s">
        <v>242</v>
      </c>
      <c r="B58" s="16" t="s">
        <v>241</v>
      </c>
      <c r="C58" s="17">
        <f>_xll.BDH("LUMN US Equity","LONG_TERM_BORROWINGS_DETAILED","FQ1 2018","FQ1 2018","Currency=USD","Period=FQ","BEST_FPERIOD_OVERRIDE=FQ","FILING_STATUS=MR","SCALING_FORMAT=MLN","Sort=A","Dates=H","DateFormat=P","Fill=—","Direction=H","UseDPDF=Y")</f>
        <v>36940</v>
      </c>
      <c r="D58" s="17">
        <f>_xll.BDH("LUMN US Equity","LONG_TERM_BORROWINGS_DETAILED","FQ2 2018","FQ2 2018","Currency=USD","Period=FQ","BEST_FPERIOD_OVERRIDE=FQ","FILING_STATUS=MR","SCALING_FORMAT=MLN","Sort=A","Dates=H","DateFormat=P","Fill=—","Direction=H","UseDPDF=Y")</f>
        <v>36878</v>
      </c>
      <c r="E58" s="17">
        <f>_xll.BDH("LUMN US Equity","LONG_TERM_BORROWINGS_DETAILED","FQ3 2018","FQ3 2018","Currency=USD","Period=FQ","BEST_FPERIOD_OVERRIDE=FQ","FILING_STATUS=MR","SCALING_FORMAT=MLN","Sort=A","Dates=H","DateFormat=P","Fill=—","Direction=H","UseDPDF=Y")</f>
        <v>35749</v>
      </c>
      <c r="F58" s="17">
        <f>_xll.BDH("LUMN US Equity","LONG_TERM_BORROWINGS_DETAILED","FQ4 2018","FQ4 2018","Currency=USD","Period=FQ","BEST_FPERIOD_OVERRIDE=FQ","FILING_STATUS=MR","SCALING_FORMAT=MLN","Sort=A","Dates=H","DateFormat=P","Fill=—","Direction=H","UseDPDF=Y")</f>
        <v>35213</v>
      </c>
      <c r="G58" s="17">
        <f>_xll.BDH("LUMN US Equity","LONG_TERM_BORROWINGS_DETAILED","FQ1 2019","FQ1 2019","Currency=USD","Period=FQ","BEST_FPERIOD_OVERRIDE=FQ","FILING_STATUS=MR","SCALING_FORMAT=MLN","Sort=A","Dates=H","DateFormat=P","Fill=—","Direction=H","UseDPDF=Y")</f>
        <v>34668</v>
      </c>
      <c r="H58" s="17">
        <f>_xll.BDH("LUMN US Equity","LONG_TERM_BORROWINGS_DETAILED","FQ2 2019","FQ2 2019","Currency=USD","Period=FQ","BEST_FPERIOD_OVERRIDE=FQ","FILING_STATUS=MR","SCALING_FORMAT=MLN","Sort=A","Dates=H","DateFormat=P","Fill=—","Direction=H","UseDPDF=Y")</f>
        <v>33005</v>
      </c>
      <c r="I58" s="17">
        <f>_xll.BDH("LUMN US Equity","LONG_TERM_BORROWINGS_DETAILED","FQ3 2019","FQ3 2019","Currency=USD","Period=FQ","BEST_FPERIOD_OVERRIDE=FQ","FILING_STATUS=MR","SCALING_FORMAT=MLN","Sort=A","Dates=H","DateFormat=P","Fill=—","Direction=H","UseDPDF=Y")</f>
        <v>33199</v>
      </c>
      <c r="J58" s="17">
        <f>_xll.BDH("LUMN US Equity","LONG_TERM_BORROWINGS_DETAILED","FQ4 2019","FQ4 2019","Currency=USD","Period=FQ","BEST_FPERIOD_OVERRIDE=FQ","FILING_STATUS=MR","SCALING_FORMAT=MLN","Sort=A","Dates=H","DateFormat=P","Fill=—","Direction=H","UseDPDF=Y")</f>
        <v>32209</v>
      </c>
      <c r="K58" s="17">
        <f>_xll.BDH("LUMN US Equity","LONG_TERM_BORROWINGS_DETAILED","FQ1 2020","FQ1 2020","Currency=USD","Period=FQ","BEST_FPERIOD_OVERRIDE=FQ","FILING_STATUS=MR","SCALING_FORMAT=MLN","Sort=A","Dates=H","DateFormat=P","Fill=—","Direction=H","UseDPDF=Y")</f>
        <v>33481</v>
      </c>
      <c r="L58" s="17">
        <f>_xll.BDH("LUMN US Equity","LONG_TERM_BORROWINGS_DETAILED","FQ2 2020","FQ2 2020","Currency=USD","Period=FQ","BEST_FPERIOD_OVERRIDE=FQ","FILING_STATUS=MR","SCALING_FORMAT=MLN","Sort=A","Dates=H","DateFormat=P","Fill=—","Direction=H","UseDPDF=Y")</f>
        <v>31414</v>
      </c>
    </row>
    <row r="59" spans="1:12" x14ac:dyDescent="0.25">
      <c r="A59" s="16" t="s">
        <v>240</v>
      </c>
      <c r="B59" s="16" t="s">
        <v>239</v>
      </c>
      <c r="C59" s="17" t="str">
        <f>_xll.BDH("LUMN US Equity","LT_CAPITALIZED_LEASE_LIABILITIES","FQ1 2018","FQ1 2018","Currency=USD","Period=FQ","BEST_FPERIOD_OVERRIDE=FQ","FILING_STATUS=MR","SCALING_FORMAT=MLN","Sort=A","Dates=H","DateFormat=P","Fill=—","Direction=H","UseDPDF=Y")</f>
        <v>—</v>
      </c>
      <c r="D59" s="17" t="str">
        <f>_xll.BDH("LUMN US Equity","LT_CAPITALIZED_LEASE_LIABILITIES","FQ2 2018","FQ2 2018","Currency=USD","Period=FQ","BEST_FPERIOD_OVERRIDE=FQ","FILING_STATUS=MR","SCALING_FORMAT=MLN","Sort=A","Dates=H","DateFormat=P","Fill=—","Direction=H","UseDPDF=Y")</f>
        <v>—</v>
      </c>
      <c r="E59" s="17" t="str">
        <f>_xll.BDH("LUMN US Equity","LT_CAPITALIZED_LEASE_LIABILITIES","FQ3 2018","FQ3 2018","Currency=USD","Period=FQ","BEST_FPERIOD_OVERRIDE=FQ","FILING_STATUS=MR","SCALING_FORMAT=MLN","Sort=A","Dates=H","DateFormat=P","Fill=—","Direction=H","UseDPDF=Y")</f>
        <v>—</v>
      </c>
      <c r="F59" s="17">
        <f>_xll.BDH("LUMN US Equity","LT_CAPITALIZED_LEASE_LIABILITIES","FQ4 2018","FQ4 2018","Currency=USD","Period=FQ","BEST_FPERIOD_OVERRIDE=FQ","FILING_STATUS=MR","SCALING_FORMAT=MLN","Sort=A","Dates=H","DateFormat=P","Fill=—","Direction=H","UseDPDF=Y")</f>
        <v>196</v>
      </c>
      <c r="G59" s="17">
        <f>_xll.BDH("LUMN US Equity","LT_CAPITALIZED_LEASE_LIABILITIES","FQ1 2019","FQ1 2019","Currency=USD","Period=FQ","BEST_FPERIOD_OVERRIDE=FQ","FILING_STATUS=MR","SCALING_FORMAT=MLN","Sort=A","Dates=H","DateFormat=P","Fill=—","Direction=H","UseDPDF=Y")</f>
        <v>1691</v>
      </c>
      <c r="H59" s="17">
        <f>_xll.BDH("LUMN US Equity","LT_CAPITALIZED_LEASE_LIABILITIES","FQ2 2019","FQ2 2019","Currency=USD","Period=FQ","BEST_FPERIOD_OVERRIDE=FQ","FILING_STATUS=MR","SCALING_FORMAT=MLN","Sort=A","Dates=H","DateFormat=P","Fill=—","Direction=H","UseDPDF=Y")</f>
        <v>1655</v>
      </c>
      <c r="I59" s="17">
        <f>_xll.BDH("LUMN US Equity","LT_CAPITALIZED_LEASE_LIABILITIES","FQ3 2019","FQ3 2019","Currency=USD","Period=FQ","BEST_FPERIOD_OVERRIDE=FQ","FILING_STATUS=MR","SCALING_FORMAT=MLN","Sort=A","Dates=H","DateFormat=P","Fill=—","Direction=H","UseDPDF=Y")</f>
        <v>1533</v>
      </c>
      <c r="J59" s="17">
        <f>_xll.BDH("LUMN US Equity","LT_CAPITALIZED_LEASE_LIABILITIES","FQ4 2019","FQ4 2019","Currency=USD","Period=FQ","BEST_FPERIOD_OVERRIDE=FQ","FILING_STATUS=MR","SCALING_FORMAT=MLN","Sort=A","Dates=H","DateFormat=P","Fill=—","Direction=H","UseDPDF=Y")</f>
        <v>1527</v>
      </c>
      <c r="K59" s="17">
        <f>_xll.BDH("LUMN US Equity","LT_CAPITALIZED_LEASE_LIABILITIES","FQ1 2020","FQ1 2020","Currency=USD","Period=FQ","BEST_FPERIOD_OVERRIDE=FQ","FILING_STATUS=MR","SCALING_FORMAT=MLN","Sort=A","Dates=H","DateFormat=P","Fill=—","Direction=H","UseDPDF=Y")</f>
        <v>1316</v>
      </c>
      <c r="L59" s="17" t="str">
        <f>_xll.BDH("LUMN US Equity","LT_CAPITALIZED_LEASE_LIABILITIES","FQ2 2020","FQ2 2020","Currency=USD","Period=FQ","BEST_FPERIOD_OVERRIDE=FQ","FILING_STATUS=MR","SCALING_FORMAT=MLN","Sort=A","Dates=H","DateFormat=P","Fill=—","Direction=H","UseDPDF=Y")</f>
        <v>—</v>
      </c>
    </row>
    <row r="60" spans="1:12" x14ac:dyDescent="0.25">
      <c r="A60" s="8" t="s">
        <v>238</v>
      </c>
      <c r="B60" s="8" t="s">
        <v>237</v>
      </c>
      <c r="C60" s="9" t="str">
        <f>_xll.BDH("LUMN US Equity","LT_CAPITAL_LEASE_OBLIGATIONS","FQ1 2018","FQ1 2018","Currency=USD","Period=FQ","BEST_FPERIOD_OVERRIDE=FQ","FILING_STATUS=MR","SCALING_FORMAT=MLN","Sort=A","Dates=H","DateFormat=P","Fill=—","Direction=H","UseDPDF=Y")</f>
        <v>—</v>
      </c>
      <c r="D60" s="9" t="str">
        <f>_xll.BDH("LUMN US Equity","LT_CAPITAL_LEASE_OBLIGATIONS","FQ2 2018","FQ2 2018","Currency=USD","Period=FQ","BEST_FPERIOD_OVERRIDE=FQ","FILING_STATUS=MR","SCALING_FORMAT=MLN","Sort=A","Dates=H","DateFormat=P","Fill=—","Direction=H","UseDPDF=Y")</f>
        <v>—</v>
      </c>
      <c r="E60" s="9" t="str">
        <f>_xll.BDH("LUMN US Equity","LT_CAPITAL_LEASE_OBLIGATIONS","FQ3 2018","FQ3 2018","Currency=USD","Period=FQ","BEST_FPERIOD_OVERRIDE=FQ","FILING_STATUS=MR","SCALING_FORMAT=MLN","Sort=A","Dates=H","DateFormat=P","Fill=—","Direction=H","UseDPDF=Y")</f>
        <v>—</v>
      </c>
      <c r="F60" s="9">
        <f>_xll.BDH("LUMN US Equity","LT_CAPITAL_LEASE_OBLIGATIONS","FQ4 2018","FQ4 2018","Currency=USD","Period=FQ","BEST_FPERIOD_OVERRIDE=FQ","FILING_STATUS=MR","SCALING_FORMAT=MLN","Sort=A","Dates=H","DateFormat=P","Fill=—","Direction=H","UseDPDF=Y")</f>
        <v>196</v>
      </c>
      <c r="G60" s="9">
        <f>_xll.BDH("LUMN US Equity","LT_CAPITAL_LEASE_OBLIGATIONS","FQ1 2019","FQ1 2019","Currency=USD","Period=FQ","BEST_FPERIOD_OVERRIDE=FQ","FILING_STATUS=MR","SCALING_FORMAT=MLN","Sort=A","Dates=H","DateFormat=P","Fill=—","Direction=H","UseDPDF=Y")</f>
        <v>190</v>
      </c>
      <c r="H60" s="9">
        <f>_xll.BDH("LUMN US Equity","LT_CAPITAL_LEASE_OBLIGATIONS","FQ2 2019","FQ2 2019","Currency=USD","Period=FQ","BEST_FPERIOD_OVERRIDE=FQ","FILING_STATUS=MR","SCALING_FORMAT=MLN","Sort=A","Dates=H","DateFormat=P","Fill=—","Direction=H","UseDPDF=Y")</f>
        <v>188</v>
      </c>
      <c r="I60" s="9">
        <f>_xll.BDH("LUMN US Equity","LT_CAPITAL_LEASE_OBLIGATIONS","FQ3 2019","FQ3 2019","Currency=USD","Period=FQ","BEST_FPERIOD_OVERRIDE=FQ","FILING_STATUS=MR","SCALING_FORMAT=MLN","Sort=A","Dates=H","DateFormat=P","Fill=—","Direction=H","UseDPDF=Y")</f>
        <v>182</v>
      </c>
      <c r="J60" s="9">
        <f>_xll.BDH("LUMN US Equity","LT_CAPITAL_LEASE_OBLIGATIONS","FQ4 2019","FQ4 2019","Currency=USD","Period=FQ","BEST_FPERIOD_OVERRIDE=FQ","FILING_STATUS=MR","SCALING_FORMAT=MLN","Sort=A","Dates=H","DateFormat=P","Fill=—","Direction=H","UseDPDF=Y")</f>
        <v>185</v>
      </c>
      <c r="K60" s="9" t="str">
        <f>_xll.BDH("LUMN US Equity","LT_CAPITAL_LEASE_OBLIGATIONS","FQ1 2020","FQ1 2020","Currency=USD","Period=FQ","BEST_FPERIOD_OVERRIDE=FQ","FILING_STATUS=MR","SCALING_FORMAT=MLN","Sort=A","Dates=H","DateFormat=P","Fill=—","Direction=H","UseDPDF=Y")</f>
        <v>—</v>
      </c>
      <c r="L60" s="9" t="str">
        <f>_xll.BDH("LUMN US Equity","LT_CAPITAL_LEASE_OBLIGATIONS","FQ2 2020","FQ2 2020","Currency=USD","Period=FQ","BEST_FPERIOD_OVERRIDE=FQ","FILING_STATUS=MR","SCALING_FORMAT=MLN","Sort=A","Dates=H","DateFormat=P","Fill=—","Direction=H","UseDPDF=Y")</f>
        <v>—</v>
      </c>
    </row>
    <row r="61" spans="1:12" x14ac:dyDescent="0.25">
      <c r="A61" s="8" t="s">
        <v>236</v>
      </c>
      <c r="B61" s="8" t="s">
        <v>235</v>
      </c>
      <c r="C61" s="9" t="str">
        <f>_xll.BDH("LUMN US Equity","BS_LT_OPERATING_LEASE_LIABS","FQ1 2018","FQ1 2018","Currency=USD","Period=FQ","BEST_FPERIOD_OVERRIDE=FQ","FILING_STATUS=MR","SCALING_FORMAT=MLN","Sort=A","Dates=H","DateFormat=P","Fill=—","Direction=H","UseDPDF=Y")</f>
        <v>—</v>
      </c>
      <c r="D61" s="9" t="str">
        <f>_xll.BDH("LUMN US Equity","BS_LT_OPERATING_LEASE_LIABS","FQ2 2018","FQ2 2018","Currency=USD","Period=FQ","BEST_FPERIOD_OVERRIDE=FQ","FILING_STATUS=MR","SCALING_FORMAT=MLN","Sort=A","Dates=H","DateFormat=P","Fill=—","Direction=H","UseDPDF=Y")</f>
        <v>—</v>
      </c>
      <c r="E61" s="9" t="str">
        <f>_xll.BDH("LUMN US Equity","BS_LT_OPERATING_LEASE_LIABS","FQ3 2018","FQ3 2018","Currency=USD","Period=FQ","BEST_FPERIOD_OVERRIDE=FQ","FILING_STATUS=MR","SCALING_FORMAT=MLN","Sort=A","Dates=H","DateFormat=P","Fill=—","Direction=H","UseDPDF=Y")</f>
        <v>—</v>
      </c>
      <c r="F61" s="9" t="str">
        <f>_xll.BDH("LUMN US Equity","BS_LT_OPERATING_LEASE_LIABS","FQ4 2018","FQ4 2018","Currency=USD","Period=FQ","BEST_FPERIOD_OVERRIDE=FQ","FILING_STATUS=MR","SCALING_FORMAT=MLN","Sort=A","Dates=H","DateFormat=P","Fill=—","Direction=H","UseDPDF=Y")</f>
        <v>—</v>
      </c>
      <c r="G61" s="9">
        <f>_xll.BDH("LUMN US Equity","BS_LT_OPERATING_LEASE_LIABS","FQ1 2019","FQ1 2019","Currency=USD","Period=FQ","BEST_FPERIOD_OVERRIDE=FQ","FILING_STATUS=MR","SCALING_FORMAT=MLN","Sort=A","Dates=H","DateFormat=P","Fill=—","Direction=H","UseDPDF=Y")</f>
        <v>1501</v>
      </c>
      <c r="H61" s="9">
        <f>_xll.BDH("LUMN US Equity","BS_LT_OPERATING_LEASE_LIABS","FQ2 2019","FQ2 2019","Currency=USD","Period=FQ","BEST_FPERIOD_OVERRIDE=FQ","FILING_STATUS=MR","SCALING_FORMAT=MLN","Sort=A","Dates=H","DateFormat=P","Fill=—","Direction=H","UseDPDF=Y")</f>
        <v>1467</v>
      </c>
      <c r="I61" s="9">
        <f>_xll.BDH("LUMN US Equity","BS_LT_OPERATING_LEASE_LIABS","FQ3 2019","FQ3 2019","Currency=USD","Period=FQ","BEST_FPERIOD_OVERRIDE=FQ","FILING_STATUS=MR","SCALING_FORMAT=MLN","Sort=A","Dates=H","DateFormat=P","Fill=—","Direction=H","UseDPDF=Y")</f>
        <v>1351</v>
      </c>
      <c r="J61" s="9">
        <f>_xll.BDH("LUMN US Equity","BS_LT_OPERATING_LEASE_LIABS","FQ4 2019","FQ4 2019","Currency=USD","Period=FQ","BEST_FPERIOD_OVERRIDE=FQ","FILING_STATUS=MR","SCALING_FORMAT=MLN","Sort=A","Dates=H","DateFormat=P","Fill=—","Direction=H","UseDPDF=Y")</f>
        <v>1342</v>
      </c>
      <c r="K61" s="9">
        <f>_xll.BDH("LUMN US Equity","BS_LT_OPERATING_LEASE_LIABS","FQ1 2020","FQ1 2020","Currency=USD","Period=FQ","BEST_FPERIOD_OVERRIDE=FQ","FILING_STATUS=MR","SCALING_FORMAT=MLN","Sort=A","Dates=H","DateFormat=P","Fill=—","Direction=H","UseDPDF=Y")</f>
        <v>1316</v>
      </c>
      <c r="L61" s="9" t="str">
        <f>_xll.BDH("LUMN US Equity","BS_LT_OPERATING_LEASE_LIABS","FQ2 2020","FQ2 2020","Currency=USD","Period=FQ","BEST_FPERIOD_OVERRIDE=FQ","FILING_STATUS=MR","SCALING_FORMAT=MLN","Sort=A","Dates=H","DateFormat=P","Fill=—","Direction=H","UseDPDF=Y")</f>
        <v>—</v>
      </c>
    </row>
    <row r="62" spans="1:12" x14ac:dyDescent="0.25">
      <c r="A62" s="16" t="s">
        <v>234</v>
      </c>
      <c r="B62" s="16" t="s">
        <v>233</v>
      </c>
      <c r="C62" s="17">
        <f>_xll.BDH("LUMN US Equity","OTHER_NONCUR_LIABS_SUB_DETAILED","FQ1 2018","FQ1 2018","Currency=USD","Period=FQ","BEST_FPERIOD_OVERRIDE=FQ","FILING_STATUS=MR","SCALING_FORMAT=MLN","Sort=A","Dates=H","DateFormat=P","Fill=—","Direction=H","UseDPDF=Y")</f>
        <v>9643</v>
      </c>
      <c r="D62" s="17">
        <f>_xll.BDH("LUMN US Equity","OTHER_NONCUR_LIABS_SUB_DETAILED","FQ2 2018","FQ2 2018","Currency=USD","Period=FQ","BEST_FPERIOD_OVERRIDE=FQ","FILING_STATUS=MR","SCALING_FORMAT=MLN","Sort=A","Dates=H","DateFormat=P","Fill=—","Direction=H","UseDPDF=Y")</f>
        <v>9958</v>
      </c>
      <c r="E62" s="17">
        <f>_xll.BDH("LUMN US Equity","OTHER_NONCUR_LIABS_SUB_DETAILED","FQ3 2018","FQ3 2018","Currency=USD","Period=FQ","BEST_FPERIOD_OVERRIDE=FQ","FILING_STATUS=MR","SCALING_FORMAT=MLN","Sort=A","Dates=H","DateFormat=P","Fill=—","Direction=H","UseDPDF=Y")</f>
        <v>9533</v>
      </c>
      <c r="F62" s="17">
        <f>_xll.BDH("LUMN US Equity","OTHER_NONCUR_LIABS_SUB_DETAILED","FQ4 2018","FQ4 2018","Currency=USD","Period=FQ","BEST_FPERIOD_OVERRIDE=FQ","FILING_STATUS=MR","SCALING_FORMAT=MLN","Sort=A","Dates=H","DateFormat=P","Fill=—","Direction=H","UseDPDF=Y")</f>
        <v>9488</v>
      </c>
      <c r="G62" s="17">
        <f>_xll.BDH("LUMN US Equity","OTHER_NONCUR_LIABS_SUB_DETAILED","FQ1 2019","FQ1 2019","Currency=USD","Period=FQ","BEST_FPERIOD_OVERRIDE=FQ","FILING_STATUS=MR","SCALING_FORMAT=MLN","Sort=A","Dates=H","DateFormat=P","Fill=—","Direction=H","UseDPDF=Y")</f>
        <v>9513</v>
      </c>
      <c r="H62" s="17">
        <f>_xll.BDH("LUMN US Equity","OTHER_NONCUR_LIABS_SUB_DETAILED","FQ2 2019","FQ2 2019","Currency=USD","Period=FQ","BEST_FPERIOD_OVERRIDE=FQ","FILING_STATUS=MR","SCALING_FORMAT=MLN","Sort=A","Dates=H","DateFormat=P","Fill=—","Direction=H","UseDPDF=Y")</f>
        <v>9661</v>
      </c>
      <c r="I62" s="17">
        <f>_xll.BDH("LUMN US Equity","OTHER_NONCUR_LIABS_SUB_DETAILED","FQ3 2019","FQ3 2019","Currency=USD","Period=FQ","BEST_FPERIOD_OVERRIDE=FQ","FILING_STATUS=MR","SCALING_FORMAT=MLN","Sort=A","Dates=H","DateFormat=P","Fill=—","Direction=H","UseDPDF=Y")</f>
        <v>9733</v>
      </c>
      <c r="J62" s="17">
        <f>_xll.BDH("LUMN US Equity","OTHER_NONCUR_LIABS_SUB_DETAILED","FQ4 2019","FQ4 2019","Currency=USD","Period=FQ","BEST_FPERIOD_OVERRIDE=FQ","FILING_STATUS=MR","SCALING_FORMAT=MLN","Sort=A","Dates=H","DateFormat=P","Fill=—","Direction=H","UseDPDF=Y")</f>
        <v>10278</v>
      </c>
      <c r="K62" s="17">
        <f>_xll.BDH("LUMN US Equity","OTHER_NONCUR_LIABS_SUB_DETAILED","FQ1 2020","FQ1 2020","Currency=USD","Period=FQ","BEST_FPERIOD_OVERRIDE=FQ","FILING_STATUS=MR","SCALING_FORMAT=MLN","Sort=A","Dates=H","DateFormat=P","Fill=—","Direction=H","UseDPDF=Y")</f>
        <v>10265</v>
      </c>
      <c r="L62" s="17">
        <f>_xll.BDH("LUMN US Equity","OTHER_NONCUR_LIABS_SUB_DETAILED","FQ2 2020","FQ2 2020","Currency=USD","Period=FQ","BEST_FPERIOD_OVERRIDE=FQ","FILING_STATUS=MR","SCALING_FORMAT=MLN","Sort=A","Dates=H","DateFormat=P","Fill=—","Direction=H","UseDPDF=Y")</f>
        <v>11823</v>
      </c>
    </row>
    <row r="63" spans="1:12" x14ac:dyDescent="0.25">
      <c r="A63" s="16" t="s">
        <v>232</v>
      </c>
      <c r="B63" s="16" t="s">
        <v>231</v>
      </c>
      <c r="C63" s="17" t="str">
        <f>_xll.BDH("LUMN US Equity","BS_ACCRUED_LIABILITIES","FQ1 2018","FQ1 2018","Currency=USD","Period=FQ","BEST_FPERIOD_OVERRIDE=FQ","FILING_STATUS=MR","SCALING_FORMAT=MLN","Sort=A","Dates=H","DateFormat=P","Fill=—","Direction=H","UseDPDF=Y")</f>
        <v>—</v>
      </c>
      <c r="D63" s="17" t="str">
        <f>_xll.BDH("LUMN US Equity","BS_ACCRUED_LIABILITIES","FQ2 2018","FQ2 2018","Currency=USD","Period=FQ","BEST_FPERIOD_OVERRIDE=FQ","FILING_STATUS=MR","SCALING_FORMAT=MLN","Sort=A","Dates=H","DateFormat=P","Fill=—","Direction=H","UseDPDF=Y")</f>
        <v>—</v>
      </c>
      <c r="E63" s="17" t="str">
        <f>_xll.BDH("LUMN US Equity","BS_ACCRUED_LIABILITIES","FQ3 2018","FQ3 2018","Currency=USD","Period=FQ","BEST_FPERIOD_OVERRIDE=FQ","FILING_STATUS=MR","SCALING_FORMAT=MLN","Sort=A","Dates=H","DateFormat=P","Fill=—","Direction=H","UseDPDF=Y")</f>
        <v>—</v>
      </c>
      <c r="F63" s="17">
        <f>_xll.BDH("LUMN US Equity","BS_ACCRUED_LIABILITIES","FQ4 2018","FQ4 2018","Currency=USD","Period=FQ","BEST_FPERIOD_OVERRIDE=FQ","FILING_STATUS=MR","SCALING_FORMAT=MLN","Sort=A","Dates=H","DateFormat=P","Fill=—","Direction=H","UseDPDF=Y")</f>
        <v>0</v>
      </c>
      <c r="G63" s="17" t="str">
        <f>_xll.BDH("LUMN US Equity","BS_ACCRUED_LIABILITIES","FQ1 2019","FQ1 2019","Currency=USD","Period=FQ","BEST_FPERIOD_OVERRIDE=FQ","FILING_STATUS=MR","SCALING_FORMAT=MLN","Sort=A","Dates=H","DateFormat=P","Fill=—","Direction=H","UseDPDF=Y")</f>
        <v>—</v>
      </c>
      <c r="H63" s="17" t="str">
        <f>_xll.BDH("LUMN US Equity","BS_ACCRUED_LIABILITIES","FQ2 2019","FQ2 2019","Currency=USD","Period=FQ","BEST_FPERIOD_OVERRIDE=FQ","FILING_STATUS=MR","SCALING_FORMAT=MLN","Sort=A","Dates=H","DateFormat=P","Fill=—","Direction=H","UseDPDF=Y")</f>
        <v>—</v>
      </c>
      <c r="I63" s="17" t="str">
        <f>_xll.BDH("LUMN US Equity","BS_ACCRUED_LIABILITIES","FQ3 2019","FQ3 2019","Currency=USD","Period=FQ","BEST_FPERIOD_OVERRIDE=FQ","FILING_STATUS=MR","SCALING_FORMAT=MLN","Sort=A","Dates=H","DateFormat=P","Fill=—","Direction=H","UseDPDF=Y")</f>
        <v>—</v>
      </c>
      <c r="J63" s="17">
        <f>_xll.BDH("LUMN US Equity","BS_ACCRUED_LIABILITIES","FQ4 2019","FQ4 2019","Currency=USD","Period=FQ","BEST_FPERIOD_OVERRIDE=FQ","FILING_STATUS=MR","SCALING_FORMAT=MLN","Sort=A","Dates=H","DateFormat=P","Fill=—","Direction=H","UseDPDF=Y")</f>
        <v>0</v>
      </c>
      <c r="K63" s="17" t="str">
        <f>_xll.BDH("LUMN US Equity","BS_ACCRUED_LIABILITIES","FQ1 2020","FQ1 2020","Currency=USD","Period=FQ","BEST_FPERIOD_OVERRIDE=FQ","FILING_STATUS=MR","SCALING_FORMAT=MLN","Sort=A","Dates=H","DateFormat=P","Fill=—","Direction=H","UseDPDF=Y")</f>
        <v>—</v>
      </c>
      <c r="L63" s="17" t="str">
        <f>_xll.BDH("LUMN US Equity","BS_ACCRUED_LIABILITIES","FQ2 2020","FQ2 2020","Currency=USD","Period=FQ","BEST_FPERIOD_OVERRIDE=FQ","FILING_STATUS=MR","SCALING_FORMAT=MLN","Sort=A","Dates=H","DateFormat=P","Fill=—","Direction=H","UseDPDF=Y")</f>
        <v>—</v>
      </c>
    </row>
    <row r="64" spans="1:12" x14ac:dyDescent="0.25">
      <c r="A64" s="16" t="s">
        <v>230</v>
      </c>
      <c r="B64" s="16" t="s">
        <v>229</v>
      </c>
      <c r="C64" s="17">
        <f>_xll.BDH("LUMN US Equity","PENSION_LIABILITIES","FQ1 2018","FQ1 2018","Currency=USD","Period=FQ","BEST_FPERIOD_OVERRIDE=FQ","FILING_STATUS=MR","SCALING_FORMAT=MLN","Sort=A","Dates=H","DateFormat=P","Fill=—","Direction=H","UseDPDF=Y")</f>
        <v>5085</v>
      </c>
      <c r="D64" s="17">
        <f>_xll.BDH("LUMN US Equity","PENSION_LIABILITIES","FQ2 2018","FQ2 2018","Currency=USD","Period=FQ","BEST_FPERIOD_OVERRIDE=FQ","FILING_STATUS=MR","SCALING_FORMAT=MLN","Sort=A","Dates=H","DateFormat=P","Fill=—","Direction=H","UseDPDF=Y")</f>
        <v>4884</v>
      </c>
      <c r="E64" s="17">
        <f>_xll.BDH("LUMN US Equity","PENSION_LIABILITIES","FQ3 2018","FQ3 2018","Currency=USD","Period=FQ","BEST_FPERIOD_OVERRIDE=FQ","FILING_STATUS=MR","SCALING_FORMAT=MLN","Sort=A","Dates=H","DateFormat=P","Fill=—","Direction=H","UseDPDF=Y")</f>
        <v>4392</v>
      </c>
      <c r="F64" s="17">
        <f>_xll.BDH("LUMN US Equity","PENSION_LIABILITIES","FQ4 2018","FQ4 2018","Currency=USD","Period=FQ","BEST_FPERIOD_OVERRIDE=FQ","FILING_STATUS=MR","SCALING_FORMAT=MLN","Sort=A","Dates=H","DateFormat=P","Fill=—","Direction=H","UseDPDF=Y")</f>
        <v>4319</v>
      </c>
      <c r="G64" s="17">
        <f>_xll.BDH("LUMN US Equity","PENSION_LIABILITIES","FQ1 2019","FQ1 2019","Currency=USD","Period=FQ","BEST_FPERIOD_OVERRIDE=FQ","FILING_STATUS=MR","SCALING_FORMAT=MLN","Sort=A","Dates=H","DateFormat=P","Fill=—","Direction=H","UseDPDF=Y")</f>
        <v>4265</v>
      </c>
      <c r="H64" s="17">
        <f>_xll.BDH("LUMN US Equity","PENSION_LIABILITIES","FQ2 2019","FQ2 2019","Currency=USD","Period=FQ","BEST_FPERIOD_OVERRIDE=FQ","FILING_STATUS=MR","SCALING_FORMAT=MLN","Sort=A","Dates=H","DateFormat=P","Fill=—","Direction=H","UseDPDF=Y")</f>
        <v>4213</v>
      </c>
      <c r="I64" s="17">
        <f>_xll.BDH("LUMN US Equity","PENSION_LIABILITIES","FQ3 2019","FQ3 2019","Currency=USD","Period=FQ","BEST_FPERIOD_OVERRIDE=FQ","FILING_STATUS=MR","SCALING_FORMAT=MLN","Sort=A","Dates=H","DateFormat=P","Fill=—","Direction=H","UseDPDF=Y")</f>
        <v>4140</v>
      </c>
      <c r="J64" s="17">
        <f>_xll.BDH("LUMN US Equity","PENSION_LIABILITIES","FQ4 2019","FQ4 2019","Currency=USD","Period=FQ","BEST_FPERIOD_OVERRIDE=FQ","FILING_STATUS=MR","SCALING_FORMAT=MLN","Sort=A","Dates=H","DateFormat=P","Fill=—","Direction=H","UseDPDF=Y")</f>
        <v>4594</v>
      </c>
      <c r="K64" s="17">
        <f>_xll.BDH("LUMN US Equity","PENSION_LIABILITIES","FQ1 2020","FQ1 2020","Currency=USD","Period=FQ","BEST_FPERIOD_OVERRIDE=FQ","FILING_STATUS=MR","SCALING_FORMAT=MLN","Sort=A","Dates=H","DateFormat=P","Fill=—","Direction=H","UseDPDF=Y")</f>
        <v>4516</v>
      </c>
      <c r="L64" s="17">
        <f>_xll.BDH("LUMN US Equity","PENSION_LIABILITIES","FQ2 2020","FQ2 2020","Currency=USD","Period=FQ","BEST_FPERIOD_OVERRIDE=FQ","FILING_STATUS=MR","SCALING_FORMAT=MLN","Sort=A","Dates=H","DateFormat=P","Fill=—","Direction=H","UseDPDF=Y")</f>
        <v>4428</v>
      </c>
    </row>
    <row r="65" spans="1:12" x14ac:dyDescent="0.25">
      <c r="A65" s="16" t="s">
        <v>228</v>
      </c>
      <c r="B65" s="16" t="s">
        <v>227</v>
      </c>
      <c r="C65" s="17" t="str">
        <f>_xll.BDH("LUMN US Equity","LT_DEFERRED_REVENUE","FQ1 2018","FQ1 2018","Currency=USD","Period=FQ","BEST_FPERIOD_OVERRIDE=FQ","FILING_STATUS=MR","SCALING_FORMAT=MLN","Sort=A","Dates=H","DateFormat=P","Fill=—","Direction=H","UseDPDF=Y")</f>
        <v>—</v>
      </c>
      <c r="D65" s="17" t="str">
        <f>_xll.BDH("LUMN US Equity","LT_DEFERRED_REVENUE","FQ2 2018","FQ2 2018","Currency=USD","Period=FQ","BEST_FPERIOD_OVERRIDE=FQ","FILING_STATUS=MR","SCALING_FORMAT=MLN","Sort=A","Dates=H","DateFormat=P","Fill=—","Direction=H","UseDPDF=Y")</f>
        <v>—</v>
      </c>
      <c r="E65" s="17" t="str">
        <f>_xll.BDH("LUMN US Equity","LT_DEFERRED_REVENUE","FQ3 2018","FQ3 2018","Currency=USD","Period=FQ","BEST_FPERIOD_OVERRIDE=FQ","FILING_STATUS=MR","SCALING_FORMAT=MLN","Sort=A","Dates=H","DateFormat=P","Fill=—","Direction=H","UseDPDF=Y")</f>
        <v>—</v>
      </c>
      <c r="F65" s="17">
        <f>_xll.BDH("LUMN US Equity","LT_DEFERRED_REVENUE","FQ4 2018","FQ4 2018","Currency=USD","Period=FQ","BEST_FPERIOD_OVERRIDE=FQ","FILING_STATUS=MR","SCALING_FORMAT=MLN","Sort=A","Dates=H","DateFormat=P","Fill=—","Direction=H","UseDPDF=Y")</f>
        <v>0</v>
      </c>
      <c r="G65" s="17" t="str">
        <f>_xll.BDH("LUMN US Equity","LT_DEFERRED_REVENUE","FQ1 2019","FQ1 2019","Currency=USD","Period=FQ","BEST_FPERIOD_OVERRIDE=FQ","FILING_STATUS=MR","SCALING_FORMAT=MLN","Sort=A","Dates=H","DateFormat=P","Fill=—","Direction=H","UseDPDF=Y")</f>
        <v>—</v>
      </c>
      <c r="H65" s="17" t="str">
        <f>_xll.BDH("LUMN US Equity","LT_DEFERRED_REVENUE","FQ2 2019","FQ2 2019","Currency=USD","Period=FQ","BEST_FPERIOD_OVERRIDE=FQ","FILING_STATUS=MR","SCALING_FORMAT=MLN","Sort=A","Dates=H","DateFormat=P","Fill=—","Direction=H","UseDPDF=Y")</f>
        <v>—</v>
      </c>
      <c r="I65" s="17" t="str">
        <f>_xll.BDH("LUMN US Equity","LT_DEFERRED_REVENUE","FQ3 2019","FQ3 2019","Currency=USD","Period=FQ","BEST_FPERIOD_OVERRIDE=FQ","FILING_STATUS=MR","SCALING_FORMAT=MLN","Sort=A","Dates=H","DateFormat=P","Fill=—","Direction=H","UseDPDF=Y")</f>
        <v>—</v>
      </c>
      <c r="J65" s="17">
        <f>_xll.BDH("LUMN US Equity","LT_DEFERRED_REVENUE","FQ4 2019","FQ4 2019","Currency=USD","Period=FQ","BEST_FPERIOD_OVERRIDE=FQ","FILING_STATUS=MR","SCALING_FORMAT=MLN","Sort=A","Dates=H","DateFormat=P","Fill=—","Direction=H","UseDPDF=Y")</f>
        <v>0</v>
      </c>
      <c r="K65" s="17" t="str">
        <f>_xll.BDH("LUMN US Equity","LT_DEFERRED_REVENUE","FQ1 2020","FQ1 2020","Currency=USD","Period=FQ","BEST_FPERIOD_OVERRIDE=FQ","FILING_STATUS=MR","SCALING_FORMAT=MLN","Sort=A","Dates=H","DateFormat=P","Fill=—","Direction=H","UseDPDF=Y")</f>
        <v>—</v>
      </c>
      <c r="L65" s="17" t="str">
        <f>_xll.BDH("LUMN US Equity","LT_DEFERRED_REVENUE","FQ2 2020","FQ2 2020","Currency=USD","Period=FQ","BEST_FPERIOD_OVERRIDE=FQ","FILING_STATUS=MR","SCALING_FORMAT=MLN","Sort=A","Dates=H","DateFormat=P","Fill=—","Direction=H","UseDPDF=Y")</f>
        <v>—</v>
      </c>
    </row>
    <row r="66" spans="1:12" x14ac:dyDescent="0.25">
      <c r="A66" s="16" t="s">
        <v>226</v>
      </c>
      <c r="B66" s="16" t="s">
        <v>225</v>
      </c>
      <c r="C66" s="17">
        <f>_xll.BDH("LUMN US Equity","BS_DEFERRED_TAX_LIABILITIES_LT","FQ1 2018","FQ1 2018","Currency=USD","Period=FQ","BEST_FPERIOD_OVERRIDE=FQ","FILING_STATUS=MR","SCALING_FORMAT=MLN","Sort=A","Dates=H","DateFormat=P","Fill=—","Direction=H","UseDPDF=Y")</f>
        <v>2196</v>
      </c>
      <c r="D66" s="17">
        <f>_xll.BDH("LUMN US Equity","BS_DEFERRED_TAX_LIABILITIES_LT","FQ2 2018","FQ2 2018","Currency=USD","Period=FQ","BEST_FPERIOD_OVERRIDE=FQ","FILING_STATUS=MR","SCALING_FORMAT=MLN","Sort=A","Dates=H","DateFormat=P","Fill=—","Direction=H","UseDPDF=Y")</f>
        <v>2407</v>
      </c>
      <c r="E66" s="17">
        <f>_xll.BDH("LUMN US Equity","BS_DEFERRED_TAX_LIABILITIES_LT","FQ3 2018","FQ3 2018","Currency=USD","Period=FQ","BEST_FPERIOD_OVERRIDE=FQ","FILING_STATUS=MR","SCALING_FORMAT=MLN","Sort=A","Dates=H","DateFormat=P","Fill=—","Direction=H","UseDPDF=Y")</f>
        <v>2502</v>
      </c>
      <c r="F66" s="17">
        <f>_xll.BDH("LUMN US Equity","BS_DEFERRED_TAX_LIABILITIES_LT","FQ4 2018","FQ4 2018","Currency=USD","Period=FQ","BEST_FPERIOD_OVERRIDE=FQ","FILING_STATUS=MR","SCALING_FORMAT=MLN","Sort=A","Dates=H","DateFormat=P","Fill=—","Direction=H","UseDPDF=Y")</f>
        <v>2527</v>
      </c>
      <c r="G66" s="17">
        <f>_xll.BDH("LUMN US Equity","BS_DEFERRED_TAX_LIABILITIES_LT","FQ1 2019","FQ1 2019","Currency=USD","Period=FQ","BEST_FPERIOD_OVERRIDE=FQ","FILING_STATUS=MR","SCALING_FORMAT=MLN","Sort=A","Dates=H","DateFormat=P","Fill=—","Direction=H","UseDPDF=Y")</f>
        <v>2701</v>
      </c>
      <c r="H66" s="17">
        <f>_xll.BDH("LUMN US Equity","BS_DEFERRED_TAX_LIABILITIES_LT","FQ2 2019","FQ2 2019","Currency=USD","Period=FQ","BEST_FPERIOD_OVERRIDE=FQ","FILING_STATUS=MR","SCALING_FORMAT=MLN","Sort=A","Dates=H","DateFormat=P","Fill=—","Direction=H","UseDPDF=Y")</f>
        <v>2826</v>
      </c>
      <c r="I66" s="17">
        <f>_xll.BDH("LUMN US Equity","BS_DEFERRED_TAX_LIABILITIES_LT","FQ3 2019","FQ3 2019","Currency=USD","Period=FQ","BEST_FPERIOD_OVERRIDE=FQ","FILING_STATUS=MR","SCALING_FORMAT=MLN","Sort=A","Dates=H","DateFormat=P","Fill=—","Direction=H","UseDPDF=Y")</f>
        <v>2910</v>
      </c>
      <c r="J66" s="17">
        <f>_xll.BDH("LUMN US Equity","BS_DEFERRED_TAX_LIABILITIES_LT","FQ4 2019","FQ4 2019","Currency=USD","Period=FQ","BEST_FPERIOD_OVERRIDE=FQ","FILING_STATUS=MR","SCALING_FORMAT=MLN","Sort=A","Dates=H","DateFormat=P","Fill=—","Direction=H","UseDPDF=Y")</f>
        <v>2918</v>
      </c>
      <c r="K66" s="17">
        <f>_xll.BDH("LUMN US Equity","BS_DEFERRED_TAX_LIABILITIES_LT","FQ1 2020","FQ1 2020","Currency=USD","Period=FQ","BEST_FPERIOD_OVERRIDE=FQ","FILING_STATUS=MR","SCALING_FORMAT=MLN","Sort=A","Dates=H","DateFormat=P","Fill=—","Direction=H","UseDPDF=Y")</f>
        <v>2957</v>
      </c>
      <c r="L66" s="17">
        <f>_xll.BDH("LUMN US Equity","BS_DEFERRED_TAX_LIABILITIES_LT","FQ2 2020","FQ2 2020","Currency=USD","Period=FQ","BEST_FPERIOD_OVERRIDE=FQ","FILING_STATUS=MR","SCALING_FORMAT=MLN","Sort=A","Dates=H","DateFormat=P","Fill=—","Direction=H","UseDPDF=Y")</f>
        <v>3094</v>
      </c>
    </row>
    <row r="67" spans="1:12" x14ac:dyDescent="0.25">
      <c r="A67" s="16" t="s">
        <v>224</v>
      </c>
      <c r="B67" s="16" t="s">
        <v>223</v>
      </c>
      <c r="C67" s="17" t="str">
        <f>_xll.BDH("LUMN US Equity","BS_DERIVATIVE_&amp;_HEDGING_LIABS_LT","FQ1 2018","FQ1 2018","Currency=USD","Period=FQ","BEST_FPERIOD_OVERRIDE=FQ","FILING_STATUS=MR","SCALING_FORMAT=MLN","Sort=A","Dates=H","DateFormat=P","Fill=—","Direction=H","UseDPDF=Y")</f>
        <v>—</v>
      </c>
      <c r="D67" s="17" t="str">
        <f>_xll.BDH("LUMN US Equity","BS_DERIVATIVE_&amp;_HEDGING_LIABS_LT","FQ2 2018","FQ2 2018","Currency=USD","Period=FQ","BEST_FPERIOD_OVERRIDE=FQ","FILING_STATUS=MR","SCALING_FORMAT=MLN","Sort=A","Dates=H","DateFormat=P","Fill=—","Direction=H","UseDPDF=Y")</f>
        <v>—</v>
      </c>
      <c r="E67" s="17" t="str">
        <f>_xll.BDH("LUMN US Equity","BS_DERIVATIVE_&amp;_HEDGING_LIABS_LT","FQ3 2018","FQ3 2018","Currency=USD","Period=FQ","BEST_FPERIOD_OVERRIDE=FQ","FILING_STATUS=MR","SCALING_FORMAT=MLN","Sort=A","Dates=H","DateFormat=P","Fill=—","Direction=H","UseDPDF=Y")</f>
        <v>—</v>
      </c>
      <c r="F67" s="17">
        <f>_xll.BDH("LUMN US Equity","BS_DERIVATIVE_&amp;_HEDGING_LIABS_LT","FQ4 2018","FQ4 2018","Currency=USD","Period=FQ","BEST_FPERIOD_OVERRIDE=FQ","FILING_STATUS=MR","SCALING_FORMAT=MLN","Sort=A","Dates=H","DateFormat=P","Fill=—","Direction=H","UseDPDF=Y")</f>
        <v>0</v>
      </c>
      <c r="G67" s="17" t="str">
        <f>_xll.BDH("LUMN US Equity","BS_DERIVATIVE_&amp;_HEDGING_LIABS_LT","FQ1 2019","FQ1 2019","Currency=USD","Period=FQ","BEST_FPERIOD_OVERRIDE=FQ","FILING_STATUS=MR","SCALING_FORMAT=MLN","Sort=A","Dates=H","DateFormat=P","Fill=—","Direction=H","UseDPDF=Y")</f>
        <v>—</v>
      </c>
      <c r="H67" s="17" t="str">
        <f>_xll.BDH("LUMN US Equity","BS_DERIVATIVE_&amp;_HEDGING_LIABS_LT","FQ2 2019","FQ2 2019","Currency=USD","Period=FQ","BEST_FPERIOD_OVERRIDE=FQ","FILING_STATUS=MR","SCALING_FORMAT=MLN","Sort=A","Dates=H","DateFormat=P","Fill=—","Direction=H","UseDPDF=Y")</f>
        <v>—</v>
      </c>
      <c r="I67" s="17" t="str">
        <f>_xll.BDH("LUMN US Equity","BS_DERIVATIVE_&amp;_HEDGING_LIABS_LT","FQ3 2019","FQ3 2019","Currency=USD","Period=FQ","BEST_FPERIOD_OVERRIDE=FQ","FILING_STATUS=MR","SCALING_FORMAT=MLN","Sort=A","Dates=H","DateFormat=P","Fill=—","Direction=H","UseDPDF=Y")</f>
        <v>—</v>
      </c>
      <c r="J67" s="17">
        <f>_xll.BDH("LUMN US Equity","BS_DERIVATIVE_&amp;_HEDGING_LIABS_LT","FQ4 2019","FQ4 2019","Currency=USD","Period=FQ","BEST_FPERIOD_OVERRIDE=FQ","FILING_STATUS=MR","SCALING_FORMAT=MLN","Sort=A","Dates=H","DateFormat=P","Fill=—","Direction=H","UseDPDF=Y")</f>
        <v>0</v>
      </c>
      <c r="K67" s="17" t="str">
        <f>_xll.BDH("LUMN US Equity","BS_DERIVATIVE_&amp;_HEDGING_LIABS_LT","FQ1 2020","FQ1 2020","Currency=USD","Period=FQ","BEST_FPERIOD_OVERRIDE=FQ","FILING_STATUS=MR","SCALING_FORMAT=MLN","Sort=A","Dates=H","DateFormat=P","Fill=—","Direction=H","UseDPDF=Y")</f>
        <v>—</v>
      </c>
      <c r="L67" s="17" t="str">
        <f>_xll.BDH("LUMN US Equity","BS_DERIVATIVE_&amp;_HEDGING_LIABS_LT","FQ2 2020","FQ2 2020","Currency=USD","Period=FQ","BEST_FPERIOD_OVERRIDE=FQ","FILING_STATUS=MR","SCALING_FORMAT=MLN","Sort=A","Dates=H","DateFormat=P","Fill=—","Direction=H","UseDPDF=Y")</f>
        <v>—</v>
      </c>
    </row>
    <row r="68" spans="1:12" x14ac:dyDescent="0.25">
      <c r="A68" s="16" t="s">
        <v>222</v>
      </c>
      <c r="B68" s="16" t="s">
        <v>221</v>
      </c>
      <c r="C68" s="17">
        <f>_xll.BDH("LUMN US Equity","OTHER_NONCURRENT_LIABS_DETAILED","FQ1 2018","FQ1 2018","Currency=USD","Period=FQ","BEST_FPERIOD_OVERRIDE=FQ","FILING_STATUS=MR","SCALING_FORMAT=MLN","Sort=A","Dates=H","DateFormat=P","Fill=—","Direction=H","UseDPDF=Y")</f>
        <v>2362</v>
      </c>
      <c r="D68" s="17">
        <f>_xll.BDH("LUMN US Equity","OTHER_NONCURRENT_LIABS_DETAILED","FQ2 2018","FQ2 2018","Currency=USD","Period=FQ","BEST_FPERIOD_OVERRIDE=FQ","FILING_STATUS=MR","SCALING_FORMAT=MLN","Sort=A","Dates=H","DateFormat=P","Fill=—","Direction=H","UseDPDF=Y")</f>
        <v>2667</v>
      </c>
      <c r="E68" s="17">
        <f>_xll.BDH("LUMN US Equity","OTHER_NONCURRENT_LIABS_DETAILED","FQ3 2018","FQ3 2018","Currency=USD","Period=FQ","BEST_FPERIOD_OVERRIDE=FQ","FILING_STATUS=MR","SCALING_FORMAT=MLN","Sort=A","Dates=H","DateFormat=P","Fill=—","Direction=H","UseDPDF=Y")</f>
        <v>2639</v>
      </c>
      <c r="F68" s="17">
        <f>_xll.BDH("LUMN US Equity","OTHER_NONCURRENT_LIABS_DETAILED","FQ4 2018","FQ4 2018","Currency=USD","Period=FQ","BEST_FPERIOD_OVERRIDE=FQ","FILING_STATUS=MR","SCALING_FORMAT=MLN","Sort=A","Dates=H","DateFormat=P","Fill=—","Direction=H","UseDPDF=Y")</f>
        <v>2642</v>
      </c>
      <c r="G68" s="17">
        <f>_xll.BDH("LUMN US Equity","OTHER_NONCURRENT_LIABS_DETAILED","FQ1 2019","FQ1 2019","Currency=USD","Period=FQ","BEST_FPERIOD_OVERRIDE=FQ","FILING_STATUS=MR","SCALING_FORMAT=MLN","Sort=A","Dates=H","DateFormat=P","Fill=—","Direction=H","UseDPDF=Y")</f>
        <v>2547</v>
      </c>
      <c r="H68" s="17">
        <f>_xll.BDH("LUMN US Equity","OTHER_NONCURRENT_LIABS_DETAILED","FQ2 2019","FQ2 2019","Currency=USD","Period=FQ","BEST_FPERIOD_OVERRIDE=FQ","FILING_STATUS=MR","SCALING_FORMAT=MLN","Sort=A","Dates=H","DateFormat=P","Fill=—","Direction=H","UseDPDF=Y")</f>
        <v>2622</v>
      </c>
      <c r="I68" s="17">
        <f>_xll.BDH("LUMN US Equity","OTHER_NONCURRENT_LIABS_DETAILED","FQ3 2019","FQ3 2019","Currency=USD","Period=FQ","BEST_FPERIOD_OVERRIDE=FQ","FILING_STATUS=MR","SCALING_FORMAT=MLN","Sort=A","Dates=H","DateFormat=P","Fill=—","Direction=H","UseDPDF=Y")</f>
        <v>2683</v>
      </c>
      <c r="J68" s="17">
        <f>_xll.BDH("LUMN US Equity","OTHER_NONCURRENT_LIABS_DETAILED","FQ4 2019","FQ4 2019","Currency=USD","Period=FQ","BEST_FPERIOD_OVERRIDE=FQ","FILING_STATUS=MR","SCALING_FORMAT=MLN","Sort=A","Dates=H","DateFormat=P","Fill=—","Direction=H","UseDPDF=Y")</f>
        <v>2766</v>
      </c>
      <c r="K68" s="17">
        <f>_xll.BDH("LUMN US Equity","OTHER_NONCURRENT_LIABS_DETAILED","FQ1 2020","FQ1 2020","Currency=USD","Period=FQ","BEST_FPERIOD_OVERRIDE=FQ","FILING_STATUS=MR","SCALING_FORMAT=MLN","Sort=A","Dates=H","DateFormat=P","Fill=—","Direction=H","UseDPDF=Y")</f>
        <v>2792</v>
      </c>
      <c r="L68" s="17">
        <f>_xll.BDH("LUMN US Equity","OTHER_NONCURRENT_LIABS_DETAILED","FQ2 2020","FQ2 2020","Currency=USD","Period=FQ","BEST_FPERIOD_OVERRIDE=FQ","FILING_STATUS=MR","SCALING_FORMAT=MLN","Sort=A","Dates=H","DateFormat=P","Fill=—","Direction=H","UseDPDF=Y")</f>
        <v>4301</v>
      </c>
    </row>
    <row r="69" spans="1:12" x14ac:dyDescent="0.25">
      <c r="A69" s="12" t="s">
        <v>220</v>
      </c>
      <c r="B69" s="12" t="s">
        <v>219</v>
      </c>
      <c r="C69" s="10">
        <f>_xll.BDH("LUMN US Equity","NON_CUR_LIAB","FQ1 2018","FQ1 2018","Currency=USD","Period=FQ","BEST_FPERIOD_OVERRIDE=FQ","FILING_STATUS=MR","SCALING_FORMAT=MLN","Sort=A","Dates=H","DateFormat=P","Fill=—","Direction=H","UseDPDF=Y")</f>
        <v>46583</v>
      </c>
      <c r="D69" s="10">
        <f>_xll.BDH("LUMN US Equity","NON_CUR_LIAB","FQ2 2018","FQ2 2018","Currency=USD","Period=FQ","BEST_FPERIOD_OVERRIDE=FQ","FILING_STATUS=MR","SCALING_FORMAT=MLN","Sort=A","Dates=H","DateFormat=P","Fill=—","Direction=H","UseDPDF=Y")</f>
        <v>46836</v>
      </c>
      <c r="E69" s="10">
        <f>_xll.BDH("LUMN US Equity","NON_CUR_LIAB","FQ3 2018","FQ3 2018","Currency=USD","Period=FQ","BEST_FPERIOD_OVERRIDE=FQ","FILING_STATUS=MR","SCALING_FORMAT=MLN","Sort=A","Dates=H","DateFormat=P","Fill=—","Direction=H","UseDPDF=Y")</f>
        <v>45282</v>
      </c>
      <c r="F69" s="10">
        <f>_xll.BDH("LUMN US Equity","NON_CUR_LIAB","FQ4 2018","FQ4 2018","Currency=USD","Period=FQ","BEST_FPERIOD_OVERRIDE=FQ","FILING_STATUS=MR","SCALING_FORMAT=MLN","Sort=A","Dates=H","DateFormat=P","Fill=—","Direction=H","UseDPDF=Y")</f>
        <v>44897</v>
      </c>
      <c r="G69" s="10">
        <f>_xll.BDH("LUMN US Equity","NON_CUR_LIAB","FQ1 2019","FQ1 2019","Currency=USD","Period=FQ","BEST_FPERIOD_OVERRIDE=FQ","FILING_STATUS=MR","SCALING_FORMAT=MLN","Sort=A","Dates=H","DateFormat=P","Fill=—","Direction=H","UseDPDF=Y")</f>
        <v>45872</v>
      </c>
      <c r="H69" s="10">
        <f>_xll.BDH("LUMN US Equity","NON_CUR_LIAB","FQ2 2019","FQ2 2019","Currency=USD","Period=FQ","BEST_FPERIOD_OVERRIDE=FQ","FILING_STATUS=MR","SCALING_FORMAT=MLN","Sort=A","Dates=H","DateFormat=P","Fill=—","Direction=H","UseDPDF=Y")</f>
        <v>44321</v>
      </c>
      <c r="I69" s="10">
        <f>_xll.BDH("LUMN US Equity","NON_CUR_LIAB","FQ3 2019","FQ3 2019","Currency=USD","Period=FQ","BEST_FPERIOD_OVERRIDE=FQ","FILING_STATUS=MR","SCALING_FORMAT=MLN","Sort=A","Dates=H","DateFormat=P","Fill=—","Direction=H","UseDPDF=Y")</f>
        <v>44465</v>
      </c>
      <c r="J69" s="10">
        <f>_xll.BDH("LUMN US Equity","NON_CUR_LIAB","FQ4 2019","FQ4 2019","Currency=USD","Period=FQ","BEST_FPERIOD_OVERRIDE=FQ","FILING_STATUS=MR","SCALING_FORMAT=MLN","Sort=A","Dates=H","DateFormat=P","Fill=—","Direction=H","UseDPDF=Y")</f>
        <v>44014</v>
      </c>
      <c r="K69" s="10">
        <f>_xll.BDH("LUMN US Equity","NON_CUR_LIAB","FQ1 2020","FQ1 2020","Currency=USD","Period=FQ","BEST_FPERIOD_OVERRIDE=FQ","FILING_STATUS=MR","SCALING_FORMAT=MLN","Sort=A","Dates=H","DateFormat=P","Fill=—","Direction=H","UseDPDF=Y")</f>
        <v>45062</v>
      </c>
      <c r="L69" s="10">
        <f>_xll.BDH("LUMN US Equity","NON_CUR_LIAB","FQ2 2020","FQ2 2020","Currency=USD","Period=FQ","BEST_FPERIOD_OVERRIDE=FQ","FILING_STATUS=MR","SCALING_FORMAT=MLN","Sort=A","Dates=H","DateFormat=P","Fill=—","Direction=H","UseDPDF=Y")</f>
        <v>43237</v>
      </c>
    </row>
    <row r="70" spans="1:12" x14ac:dyDescent="0.25">
      <c r="A70" s="12" t="s">
        <v>218</v>
      </c>
      <c r="B70" s="12" t="s">
        <v>217</v>
      </c>
      <c r="C70" s="10">
        <f>_xll.BDH("LUMN US Equity","BS_TOT_LIAB2","FQ1 2018","FQ1 2018","Currency=USD","Period=FQ","BEST_FPERIOD_OVERRIDE=FQ","FILING_STATUS=MR","SCALING_FORMAT=MLN","Sort=A","Dates=H","DateFormat=P","Fill=—","Direction=H","UseDPDF=Y")</f>
        <v>51350</v>
      </c>
      <c r="D70" s="10">
        <f>_xll.BDH("LUMN US Equity","BS_TOT_LIAB2","FQ2 2018","FQ2 2018","Currency=USD","Period=FQ","BEST_FPERIOD_OVERRIDE=FQ","FILING_STATUS=MR","SCALING_FORMAT=MLN","Sort=A","Dates=H","DateFormat=P","Fill=—","Direction=H","UseDPDF=Y")</f>
        <v>51357</v>
      </c>
      <c r="E70" s="10">
        <f>_xll.BDH("LUMN US Equity","BS_TOT_LIAB2","FQ3 2018","FQ3 2018","Currency=USD","Period=FQ","BEST_FPERIOD_OVERRIDE=FQ","FILING_STATUS=MR","SCALING_FORMAT=MLN","Sort=A","Dates=H","DateFormat=P","Fill=—","Direction=H","UseDPDF=Y")</f>
        <v>50568</v>
      </c>
      <c r="F70" s="10">
        <f>_xll.BDH("LUMN US Equity","BS_TOT_LIAB2","FQ4 2018","FQ4 2018","Currency=USD","Period=FQ","BEST_FPERIOD_OVERRIDE=FQ","FILING_STATUS=MR","SCALING_FORMAT=MLN","Sort=A","Dates=H","DateFormat=P","Fill=—","Direction=H","UseDPDF=Y")</f>
        <v>50428</v>
      </c>
      <c r="G70" s="10">
        <f>_xll.BDH("LUMN US Equity","BS_TOT_LIAB2","FQ1 2019","FQ1 2019","Currency=USD","Period=FQ","BEST_FPERIOD_OVERRIDE=FQ","FILING_STATUS=MR","SCALING_FORMAT=MLN","Sort=A","Dates=H","DateFormat=P","Fill=—","Direction=H","UseDPDF=Y")</f>
        <v>51245</v>
      </c>
      <c r="H70" s="10">
        <f>_xll.BDH("LUMN US Equity","BS_TOT_LIAB2","FQ2 2019","FQ2 2019","Currency=USD","Period=FQ","BEST_FPERIOD_OVERRIDE=FQ","FILING_STATUS=MR","SCALING_FORMAT=MLN","Sort=A","Dates=H","DateFormat=P","Fill=—","Direction=H","UseDPDF=Y")</f>
        <v>50816</v>
      </c>
      <c r="I70" s="10">
        <f>_xll.BDH("LUMN US Equity","BS_TOT_LIAB2","FQ3 2019","FQ3 2019","Currency=USD","Period=FQ","BEST_FPERIOD_OVERRIDE=FQ","FILING_STATUS=MR","SCALING_FORMAT=MLN","Sort=A","Dates=H","DateFormat=P","Fill=—","Direction=H","UseDPDF=Y")</f>
        <v>51054</v>
      </c>
      <c r="J70" s="10">
        <f>_xll.BDH("LUMN US Equity","BS_TOT_LIAB2","FQ4 2019","FQ4 2019","Currency=USD","Period=FQ","BEST_FPERIOD_OVERRIDE=FQ","FILING_STATUS=MR","SCALING_FORMAT=MLN","Sort=A","Dates=H","DateFormat=P","Fill=—","Direction=H","UseDPDF=Y")</f>
        <v>51272</v>
      </c>
      <c r="K70" s="10">
        <f>_xll.BDH("LUMN US Equity","BS_TOT_LIAB2","FQ1 2020","FQ1 2020","Currency=USD","Period=FQ","BEST_FPERIOD_OVERRIDE=FQ","FILING_STATUS=MR","SCALING_FORMAT=MLN","Sort=A","Dates=H","DateFormat=P","Fill=—","Direction=H","UseDPDF=Y")</f>
        <v>50765</v>
      </c>
      <c r="L70" s="10">
        <f>_xll.BDH("LUMN US Equity","BS_TOT_LIAB2","FQ2 2020","FQ2 2020","Currency=USD","Period=FQ","BEST_FPERIOD_OVERRIDE=FQ","FILING_STATUS=MR","SCALING_FORMAT=MLN","Sort=A","Dates=H","DateFormat=P","Fill=—","Direction=H","UseDPDF=Y")</f>
        <v>50709</v>
      </c>
    </row>
    <row r="71" spans="1:12" x14ac:dyDescent="0.25">
      <c r="A71" s="16" t="s">
        <v>216</v>
      </c>
      <c r="B71" s="16" t="s">
        <v>215</v>
      </c>
      <c r="C71" s="17">
        <f>_xll.BDH("LUMN US Equity","BS_PFD_EQTY_&amp;_HYBRID_CPTL","FQ1 2018","FQ1 2018","Currency=USD","Period=FQ","BEST_FPERIOD_OVERRIDE=FQ","FILING_STATUS=MR","SCALING_FORMAT=MLN","Sort=A","Dates=H","DateFormat=P","Fill=—","Direction=H","UseDPDF=Y")</f>
        <v>0</v>
      </c>
      <c r="D71" s="17">
        <f>_xll.BDH("LUMN US Equity","BS_PFD_EQTY_&amp;_HYBRID_CPTL","FQ2 2018","FQ2 2018","Currency=USD","Period=FQ","BEST_FPERIOD_OVERRIDE=FQ","FILING_STATUS=MR","SCALING_FORMAT=MLN","Sort=A","Dates=H","DateFormat=P","Fill=—","Direction=H","UseDPDF=Y")</f>
        <v>0</v>
      </c>
      <c r="E71" s="17">
        <f>_xll.BDH("LUMN US Equity","BS_PFD_EQTY_&amp;_HYBRID_CPTL","FQ3 2018","FQ3 2018","Currency=USD","Period=FQ","BEST_FPERIOD_OVERRIDE=FQ","FILING_STATUS=MR","SCALING_FORMAT=MLN","Sort=A","Dates=H","DateFormat=P","Fill=—","Direction=H","UseDPDF=Y")</f>
        <v>0</v>
      </c>
      <c r="F71" s="17">
        <f>_xll.BDH("LUMN US Equity","BS_PFD_EQTY_&amp;_HYBRID_CPTL","FQ4 2018","FQ4 2018","Currency=USD","Period=FQ","BEST_FPERIOD_OVERRIDE=FQ","FILING_STATUS=MR","SCALING_FORMAT=MLN","Sort=A","Dates=H","DateFormat=P","Fill=—","Direction=H","UseDPDF=Y")</f>
        <v>0</v>
      </c>
      <c r="G71" s="17">
        <f>_xll.BDH("LUMN US Equity","BS_PFD_EQTY_&amp;_HYBRID_CPTL","FQ1 2019","FQ1 2019","Currency=USD","Period=FQ","BEST_FPERIOD_OVERRIDE=FQ","FILING_STATUS=MR","SCALING_FORMAT=MLN","Sort=A","Dates=H","DateFormat=P","Fill=—","Direction=H","UseDPDF=Y")</f>
        <v>0</v>
      </c>
      <c r="H71" s="17">
        <f>_xll.BDH("LUMN US Equity","BS_PFD_EQTY_&amp;_HYBRID_CPTL","FQ2 2019","FQ2 2019","Currency=USD","Period=FQ","BEST_FPERIOD_OVERRIDE=FQ","FILING_STATUS=MR","SCALING_FORMAT=MLN","Sort=A","Dates=H","DateFormat=P","Fill=—","Direction=H","UseDPDF=Y")</f>
        <v>0</v>
      </c>
      <c r="I71" s="17">
        <f>_xll.BDH("LUMN US Equity","BS_PFD_EQTY_&amp;_HYBRID_CPTL","FQ3 2019","FQ3 2019","Currency=USD","Period=FQ","BEST_FPERIOD_OVERRIDE=FQ","FILING_STATUS=MR","SCALING_FORMAT=MLN","Sort=A","Dates=H","DateFormat=P","Fill=—","Direction=H","UseDPDF=Y")</f>
        <v>0</v>
      </c>
      <c r="J71" s="17">
        <f>_xll.BDH("LUMN US Equity","BS_PFD_EQTY_&amp;_HYBRID_CPTL","FQ4 2019","FQ4 2019","Currency=USD","Period=FQ","BEST_FPERIOD_OVERRIDE=FQ","FILING_STATUS=MR","SCALING_FORMAT=MLN","Sort=A","Dates=H","DateFormat=P","Fill=—","Direction=H","UseDPDF=Y")</f>
        <v>0</v>
      </c>
      <c r="K71" s="17">
        <f>_xll.BDH("LUMN US Equity","BS_PFD_EQTY_&amp;_HYBRID_CPTL","FQ1 2020","FQ1 2020","Currency=USD","Period=FQ","BEST_FPERIOD_OVERRIDE=FQ","FILING_STATUS=MR","SCALING_FORMAT=MLN","Sort=A","Dates=H","DateFormat=P","Fill=—","Direction=H","UseDPDF=Y")</f>
        <v>0</v>
      </c>
      <c r="L71" s="17">
        <f>_xll.BDH("LUMN US Equity","BS_PFD_EQTY_&amp;_HYBRID_CPTL","FQ2 2020","FQ2 2020","Currency=USD","Period=FQ","BEST_FPERIOD_OVERRIDE=FQ","FILING_STATUS=MR","SCALING_FORMAT=MLN","Sort=A","Dates=H","DateFormat=P","Fill=—","Direction=H","UseDPDF=Y")</f>
        <v>0</v>
      </c>
    </row>
    <row r="72" spans="1:12" x14ac:dyDescent="0.25">
      <c r="A72" s="16" t="s">
        <v>214</v>
      </c>
      <c r="B72" s="16" t="s">
        <v>213</v>
      </c>
      <c r="C72" s="17">
        <f>_xll.BDH("LUMN US Equity","BS_SH_CAP_AND_APIC","FQ1 2018","FQ1 2018","Currency=USD","Period=FQ","BEST_FPERIOD_OVERRIDE=FQ","FILING_STATUS=MR","SCALING_FORMAT=MLN","Sort=A","Dates=H","DateFormat=P","Fill=—","Direction=H","UseDPDF=Y")</f>
        <v>24395</v>
      </c>
      <c r="D72" s="17">
        <f>_xll.BDH("LUMN US Equity","BS_SH_CAP_AND_APIC","FQ2 2018","FQ2 2018","Currency=USD","Period=FQ","BEST_FPERIOD_OVERRIDE=FQ","FILING_STATUS=MR","SCALING_FORMAT=MLN","Sort=A","Dates=H","DateFormat=P","Fill=—","Direction=H","UseDPDF=Y")</f>
        <v>24439</v>
      </c>
      <c r="E72" s="17">
        <f>_xll.BDH("LUMN US Equity","BS_SH_CAP_AND_APIC","FQ3 2018","FQ3 2018","Currency=USD","Period=FQ","BEST_FPERIOD_OVERRIDE=FQ","FILING_STATUS=MR","SCALING_FORMAT=MLN","Sort=A","Dates=H","DateFormat=P","Fill=—","Direction=H","UseDPDF=Y")</f>
        <v>24480</v>
      </c>
      <c r="F72" s="17">
        <f>_xll.BDH("LUMN US Equity","BS_SH_CAP_AND_APIC","FQ4 2018","FQ4 2018","Currency=USD","Period=FQ","BEST_FPERIOD_OVERRIDE=FQ","FILING_STATUS=MR","SCALING_FORMAT=MLN","Sort=A","Dates=H","DateFormat=P","Fill=—","Direction=H","UseDPDF=Y")</f>
        <v>23932</v>
      </c>
      <c r="G72" s="17">
        <f>_xll.BDH("LUMN US Equity","BS_SH_CAP_AND_APIC","FQ1 2019","FQ1 2019","Currency=USD","Period=FQ","BEST_FPERIOD_OVERRIDE=FQ","FILING_STATUS=MR","SCALING_FORMAT=MLN","Sort=A","Dates=H","DateFormat=P","Fill=—","Direction=H","UseDPDF=Y")</f>
        <v>23665</v>
      </c>
      <c r="H72" s="17">
        <f>_xll.BDH("LUMN US Equity","BS_SH_CAP_AND_APIC","FQ2 2019","FQ2 2019","Currency=USD","Period=FQ","BEST_FPERIOD_OVERRIDE=FQ","FILING_STATUS=MR","SCALING_FORMAT=MLN","Sort=A","Dates=H","DateFormat=P","Fill=—","Direction=H","UseDPDF=Y")</f>
        <v>23432</v>
      </c>
      <c r="I72" s="17">
        <f>_xll.BDH("LUMN US Equity","BS_SH_CAP_AND_APIC","FQ3 2019","FQ3 2019","Currency=USD","Period=FQ","BEST_FPERIOD_OVERRIDE=FQ","FILING_STATUS=MR","SCALING_FORMAT=MLN","Sort=A","Dates=H","DateFormat=P","Fill=—","Direction=H","UseDPDF=Y")</f>
        <v>23191</v>
      </c>
      <c r="J72" s="17">
        <f>_xll.BDH("LUMN US Equity","BS_SH_CAP_AND_APIC","FQ4 2019","FQ4 2019","Currency=USD","Period=FQ","BEST_FPERIOD_OVERRIDE=FQ","FILING_STATUS=MR","SCALING_FORMAT=MLN","Sort=A","Dates=H","DateFormat=P","Fill=—","Direction=H","UseDPDF=Y")</f>
        <v>22964</v>
      </c>
      <c r="K72" s="17">
        <f>_xll.BDH("LUMN US Equity","BS_SH_CAP_AND_APIC","FQ1 2020","FQ1 2020","Currency=USD","Period=FQ","BEST_FPERIOD_OVERRIDE=FQ","FILING_STATUS=MR","SCALING_FORMAT=MLN","Sort=A","Dates=H","DateFormat=P","Fill=—","Direction=H","UseDPDF=Y")</f>
        <v>22732</v>
      </c>
      <c r="L72" s="17">
        <f>_xll.BDH("LUMN US Equity","BS_SH_CAP_AND_APIC","FQ2 2020","FQ2 2020","Currency=USD","Period=FQ","BEST_FPERIOD_OVERRIDE=FQ","FILING_STATUS=MR","SCALING_FORMAT=MLN","Sort=A","Dates=H","DateFormat=P","Fill=—","Direction=H","UseDPDF=Y")</f>
        <v>22473</v>
      </c>
    </row>
    <row r="73" spans="1:12" x14ac:dyDescent="0.25">
      <c r="A73" s="16" t="s">
        <v>212</v>
      </c>
      <c r="B73" s="16" t="s">
        <v>211</v>
      </c>
      <c r="C73" s="17">
        <f>_xll.BDH("LUMN US Equity","BS_COMMON_STOCK","FQ1 2018","FQ1 2018","Currency=USD","Period=FQ","BEST_FPERIOD_OVERRIDE=FQ","FILING_STATUS=MR","SCALING_FORMAT=MLN","Sort=A","Dates=H","DateFormat=P","Fill=—","Direction=H","UseDPDF=Y")</f>
        <v>1079</v>
      </c>
      <c r="D73" s="17">
        <f>_xll.BDH("LUMN US Equity","BS_COMMON_STOCK","FQ2 2018","FQ2 2018","Currency=USD","Period=FQ","BEST_FPERIOD_OVERRIDE=FQ","FILING_STATUS=MR","SCALING_FORMAT=MLN","Sort=A","Dates=H","DateFormat=P","Fill=—","Direction=H","UseDPDF=Y")</f>
        <v>1079</v>
      </c>
      <c r="E73" s="17">
        <f>_xll.BDH("LUMN US Equity","BS_COMMON_STOCK","FQ3 2018","FQ3 2018","Currency=USD","Period=FQ","BEST_FPERIOD_OVERRIDE=FQ","FILING_STATUS=MR","SCALING_FORMAT=MLN","Sort=A","Dates=H","DateFormat=P","Fill=—","Direction=H","UseDPDF=Y")</f>
        <v>1081</v>
      </c>
      <c r="F73" s="17">
        <f>_xll.BDH("LUMN US Equity","BS_COMMON_STOCK","FQ4 2018","FQ4 2018","Currency=USD","Period=FQ","BEST_FPERIOD_OVERRIDE=FQ","FILING_STATUS=MR","SCALING_FORMAT=MLN","Sort=A","Dates=H","DateFormat=P","Fill=—","Direction=H","UseDPDF=Y")</f>
        <v>1080</v>
      </c>
      <c r="G73" s="17">
        <f>_xll.BDH("LUMN US Equity","BS_COMMON_STOCK","FQ1 2019","FQ1 2019","Currency=USD","Period=FQ","BEST_FPERIOD_OVERRIDE=FQ","FILING_STATUS=MR","SCALING_FORMAT=MLN","Sort=A","Dates=H","DateFormat=P","Fill=—","Direction=H","UseDPDF=Y")</f>
        <v>1090</v>
      </c>
      <c r="H73" s="17">
        <f>_xll.BDH("LUMN US Equity","BS_COMMON_STOCK","FQ2 2019","FQ2 2019","Currency=USD","Period=FQ","BEST_FPERIOD_OVERRIDE=FQ","FILING_STATUS=MR","SCALING_FORMAT=MLN","Sort=A","Dates=H","DateFormat=P","Fill=—","Direction=H","UseDPDF=Y")</f>
        <v>1090</v>
      </c>
      <c r="I73" s="17">
        <f>_xll.BDH("LUMN US Equity","BS_COMMON_STOCK","FQ3 2019","FQ3 2019","Currency=USD","Period=FQ","BEST_FPERIOD_OVERRIDE=FQ","FILING_STATUS=MR","SCALING_FORMAT=MLN","Sort=A","Dates=H","DateFormat=P","Fill=—","Direction=H","UseDPDF=Y")</f>
        <v>1090</v>
      </c>
      <c r="J73" s="17">
        <f>_xll.BDH("LUMN US Equity","BS_COMMON_STOCK","FQ4 2019","FQ4 2019","Currency=USD","Period=FQ","BEST_FPERIOD_OVERRIDE=FQ","FILING_STATUS=MR","SCALING_FORMAT=MLN","Sort=A","Dates=H","DateFormat=P","Fill=—","Direction=H","UseDPDF=Y")</f>
        <v>1090</v>
      </c>
      <c r="K73" s="17">
        <f>_xll.BDH("LUMN US Equity","BS_COMMON_STOCK","FQ1 2020","FQ1 2020","Currency=USD","Period=FQ","BEST_FPERIOD_OVERRIDE=FQ","FILING_STATUS=MR","SCALING_FORMAT=MLN","Sort=A","Dates=H","DateFormat=P","Fill=—","Direction=H","UseDPDF=Y")</f>
        <v>1098</v>
      </c>
      <c r="L73" s="17">
        <f>_xll.BDH("LUMN US Equity","BS_COMMON_STOCK","FQ2 2020","FQ2 2020","Currency=USD","Period=FQ","BEST_FPERIOD_OVERRIDE=FQ","FILING_STATUS=MR","SCALING_FORMAT=MLN","Sort=A","Dates=H","DateFormat=P","Fill=—","Direction=H","UseDPDF=Y")</f>
        <v>1097</v>
      </c>
    </row>
    <row r="74" spans="1:12" x14ac:dyDescent="0.25">
      <c r="A74" s="16" t="s">
        <v>210</v>
      </c>
      <c r="B74" s="16" t="s">
        <v>209</v>
      </c>
      <c r="C74" s="17">
        <f>_xll.BDH("LUMN US Equity","BS_ADD_PAID_IN_CAP","FQ1 2018","FQ1 2018","Currency=USD","Period=FQ","BEST_FPERIOD_OVERRIDE=FQ","FILING_STATUS=MR","SCALING_FORMAT=MLN","Sort=A","Dates=H","DateFormat=P","Fill=—","Direction=H","UseDPDF=Y")</f>
        <v>23316</v>
      </c>
      <c r="D74" s="17">
        <f>_xll.BDH("LUMN US Equity","BS_ADD_PAID_IN_CAP","FQ2 2018","FQ2 2018","Currency=USD","Period=FQ","BEST_FPERIOD_OVERRIDE=FQ","FILING_STATUS=MR","SCALING_FORMAT=MLN","Sort=A","Dates=H","DateFormat=P","Fill=—","Direction=H","UseDPDF=Y")</f>
        <v>23360</v>
      </c>
      <c r="E74" s="17">
        <f>_xll.BDH("LUMN US Equity","BS_ADD_PAID_IN_CAP","FQ3 2018","FQ3 2018","Currency=USD","Period=FQ","BEST_FPERIOD_OVERRIDE=FQ","FILING_STATUS=MR","SCALING_FORMAT=MLN","Sort=A","Dates=H","DateFormat=P","Fill=—","Direction=H","UseDPDF=Y")</f>
        <v>23399</v>
      </c>
      <c r="F74" s="17">
        <f>_xll.BDH("LUMN US Equity","BS_ADD_PAID_IN_CAP","FQ4 2018","FQ4 2018","Currency=USD","Period=FQ","BEST_FPERIOD_OVERRIDE=FQ","FILING_STATUS=MR","SCALING_FORMAT=MLN","Sort=A","Dates=H","DateFormat=P","Fill=—","Direction=H","UseDPDF=Y")</f>
        <v>22852</v>
      </c>
      <c r="G74" s="17">
        <f>_xll.BDH("LUMN US Equity","BS_ADD_PAID_IN_CAP","FQ1 2019","FQ1 2019","Currency=USD","Period=FQ","BEST_FPERIOD_OVERRIDE=FQ","FILING_STATUS=MR","SCALING_FORMAT=MLN","Sort=A","Dates=H","DateFormat=P","Fill=—","Direction=H","UseDPDF=Y")</f>
        <v>22575</v>
      </c>
      <c r="H74" s="17">
        <f>_xll.BDH("LUMN US Equity","BS_ADD_PAID_IN_CAP","FQ2 2019","FQ2 2019","Currency=USD","Period=FQ","BEST_FPERIOD_OVERRIDE=FQ","FILING_STATUS=MR","SCALING_FORMAT=MLN","Sort=A","Dates=H","DateFormat=P","Fill=—","Direction=H","UseDPDF=Y")</f>
        <v>22342</v>
      </c>
      <c r="I74" s="17">
        <f>_xll.BDH("LUMN US Equity","BS_ADD_PAID_IN_CAP","FQ3 2019","FQ3 2019","Currency=USD","Period=FQ","BEST_FPERIOD_OVERRIDE=FQ","FILING_STATUS=MR","SCALING_FORMAT=MLN","Sort=A","Dates=H","DateFormat=P","Fill=—","Direction=H","UseDPDF=Y")</f>
        <v>22101</v>
      </c>
      <c r="J74" s="17">
        <f>_xll.BDH("LUMN US Equity","BS_ADD_PAID_IN_CAP","FQ4 2019","FQ4 2019","Currency=USD","Period=FQ","BEST_FPERIOD_OVERRIDE=FQ","FILING_STATUS=MR","SCALING_FORMAT=MLN","Sort=A","Dates=H","DateFormat=P","Fill=—","Direction=H","UseDPDF=Y")</f>
        <v>21874</v>
      </c>
      <c r="K74" s="17">
        <f>_xll.BDH("LUMN US Equity","BS_ADD_PAID_IN_CAP","FQ1 2020","FQ1 2020","Currency=USD","Period=FQ","BEST_FPERIOD_OVERRIDE=FQ","FILING_STATUS=MR","SCALING_FORMAT=MLN","Sort=A","Dates=H","DateFormat=P","Fill=—","Direction=H","UseDPDF=Y")</f>
        <v>21634</v>
      </c>
      <c r="L74" s="17">
        <f>_xll.BDH("LUMN US Equity","BS_ADD_PAID_IN_CAP","FQ2 2020","FQ2 2020","Currency=USD","Period=FQ","BEST_FPERIOD_OVERRIDE=FQ","FILING_STATUS=MR","SCALING_FORMAT=MLN","Sort=A","Dates=H","DateFormat=P","Fill=—","Direction=H","UseDPDF=Y")</f>
        <v>21376</v>
      </c>
    </row>
    <row r="75" spans="1:12" x14ac:dyDescent="0.25">
      <c r="A75" s="16" t="s">
        <v>208</v>
      </c>
      <c r="B75" s="16" t="s">
        <v>207</v>
      </c>
      <c r="C75" s="17">
        <f>_xll.BDH("LUMN US Equity","BS_AMT_OF_TSY_STOCK","FQ1 2018","FQ1 2018","Currency=USD","Period=FQ","BEST_FPERIOD_OVERRIDE=FQ","FILING_STATUS=MR","SCALING_FORMAT=MLN","Sort=A","Dates=H","DateFormat=P","Fill=—","Direction=H","UseDPDF=Y")</f>
        <v>0</v>
      </c>
      <c r="D75" s="17">
        <f>_xll.BDH("LUMN US Equity","BS_AMT_OF_TSY_STOCK","FQ2 2018","FQ2 2018","Currency=USD","Period=FQ","BEST_FPERIOD_OVERRIDE=FQ","FILING_STATUS=MR","SCALING_FORMAT=MLN","Sort=A","Dates=H","DateFormat=P","Fill=—","Direction=H","UseDPDF=Y")</f>
        <v>0</v>
      </c>
      <c r="E75" s="17">
        <f>_xll.BDH("LUMN US Equity","BS_AMT_OF_TSY_STOCK","FQ3 2018","FQ3 2018","Currency=USD","Period=FQ","BEST_FPERIOD_OVERRIDE=FQ","FILING_STATUS=MR","SCALING_FORMAT=MLN","Sort=A","Dates=H","DateFormat=P","Fill=—","Direction=H","UseDPDF=Y")</f>
        <v>0</v>
      </c>
      <c r="F75" s="17">
        <f>_xll.BDH("LUMN US Equity","BS_AMT_OF_TSY_STOCK","FQ4 2018","FQ4 2018","Currency=USD","Period=FQ","BEST_FPERIOD_OVERRIDE=FQ","FILING_STATUS=MR","SCALING_FORMAT=MLN","Sort=A","Dates=H","DateFormat=P","Fill=—","Direction=H","UseDPDF=Y")</f>
        <v>0</v>
      </c>
      <c r="G75" s="17">
        <f>_xll.BDH("LUMN US Equity","BS_AMT_OF_TSY_STOCK","FQ1 2019","FQ1 2019","Currency=USD","Period=FQ","BEST_FPERIOD_OVERRIDE=FQ","FILING_STATUS=MR","SCALING_FORMAT=MLN","Sort=A","Dates=H","DateFormat=P","Fill=—","Direction=H","UseDPDF=Y")</f>
        <v>0</v>
      </c>
      <c r="H75" s="17">
        <f>_xll.BDH("LUMN US Equity","BS_AMT_OF_TSY_STOCK","FQ2 2019","FQ2 2019","Currency=USD","Period=FQ","BEST_FPERIOD_OVERRIDE=FQ","FILING_STATUS=MR","SCALING_FORMAT=MLN","Sort=A","Dates=H","DateFormat=P","Fill=—","Direction=H","UseDPDF=Y")</f>
        <v>0</v>
      </c>
      <c r="I75" s="17">
        <f>_xll.BDH("LUMN US Equity","BS_AMT_OF_TSY_STOCK","FQ3 2019","FQ3 2019","Currency=USD","Period=FQ","BEST_FPERIOD_OVERRIDE=FQ","FILING_STATUS=MR","SCALING_FORMAT=MLN","Sort=A","Dates=H","DateFormat=P","Fill=—","Direction=H","UseDPDF=Y")</f>
        <v>0</v>
      </c>
      <c r="J75" s="17">
        <f>_xll.BDH("LUMN US Equity","BS_AMT_OF_TSY_STOCK","FQ4 2019","FQ4 2019","Currency=USD","Period=FQ","BEST_FPERIOD_OVERRIDE=FQ","FILING_STATUS=MR","SCALING_FORMAT=MLN","Sort=A","Dates=H","DateFormat=P","Fill=—","Direction=H","UseDPDF=Y")</f>
        <v>0</v>
      </c>
      <c r="K75" s="17">
        <f>_xll.BDH("LUMN US Equity","BS_AMT_OF_TSY_STOCK","FQ1 2020","FQ1 2020","Currency=USD","Period=FQ","BEST_FPERIOD_OVERRIDE=FQ","FILING_STATUS=MR","SCALING_FORMAT=MLN","Sort=A","Dates=H","DateFormat=P","Fill=—","Direction=H","UseDPDF=Y")</f>
        <v>0</v>
      </c>
      <c r="L75" s="17">
        <f>_xll.BDH("LUMN US Equity","BS_AMT_OF_TSY_STOCK","FQ2 2020","FQ2 2020","Currency=USD","Period=FQ","BEST_FPERIOD_OVERRIDE=FQ","FILING_STATUS=MR","SCALING_FORMAT=MLN","Sort=A","Dates=H","DateFormat=P","Fill=—","Direction=H","UseDPDF=Y")</f>
        <v>0</v>
      </c>
    </row>
    <row r="76" spans="1:12" x14ac:dyDescent="0.25">
      <c r="A76" s="16" t="s">
        <v>206</v>
      </c>
      <c r="B76" s="16" t="s">
        <v>205</v>
      </c>
      <c r="C76" s="17">
        <f>_xll.BDH("LUMN US Equity","BS_PURE_RETAINED_EARNINGS","FQ1 2018","FQ1 2018","Currency=USD","Period=FQ","BEST_FPERIOD_OVERRIDE=FQ","FILING_STATUS=MR","SCALING_FORMAT=MLN","Sort=A","Dates=H","DateFormat=P","Fill=—","Direction=H","UseDPDF=Y")</f>
        <v>1336</v>
      </c>
      <c r="D76" s="17">
        <f>_xll.BDH("LUMN US Equity","BS_PURE_RETAINED_EARNINGS","FQ2 2018","FQ2 2018","Currency=USD","Period=FQ","BEST_FPERIOD_OVERRIDE=FQ","FILING_STATUS=MR","SCALING_FORMAT=MLN","Sort=A","Dates=H","DateFormat=P","Fill=—","Direction=H","UseDPDF=Y")</f>
        <v>1040</v>
      </c>
      <c r="E76" s="17">
        <f>_xll.BDH("LUMN US Equity","BS_PURE_RETAINED_EARNINGS","FQ3 2018","FQ3 2018","Currency=USD","Period=FQ","BEST_FPERIOD_OVERRIDE=FQ","FILING_STATUS=MR","SCALING_FORMAT=MLN","Sort=A","Dates=H","DateFormat=P","Fill=—","Direction=H","UseDPDF=Y")</f>
        <v>777</v>
      </c>
      <c r="F76" s="17">
        <f>_xll.BDH("LUMN US Equity","BS_PURE_RETAINED_EARNINGS","FQ4 2018","FQ4 2018","Currency=USD","Period=FQ","BEST_FPERIOD_OVERRIDE=FQ","FILING_STATUS=MR","SCALING_FORMAT=MLN","Sort=A","Dates=H","DateFormat=P","Fill=—","Direction=H","UseDPDF=Y")</f>
        <v>-1643</v>
      </c>
      <c r="G76" s="17">
        <f>_xll.BDH("LUMN US Equity","BS_PURE_RETAINED_EARNINGS","FQ1 2019","FQ1 2019","Currency=USD","Period=FQ","BEST_FPERIOD_OVERRIDE=FQ","FILING_STATUS=MR","SCALING_FORMAT=MLN","Sort=A","Dates=H","DateFormat=P","Fill=—","Direction=H","UseDPDF=Y")</f>
        <v>-7693</v>
      </c>
      <c r="H76" s="17">
        <f>_xll.BDH("LUMN US Equity","BS_PURE_RETAINED_EARNINGS","FQ2 2019","FQ2 2019","Currency=USD","Period=FQ","BEST_FPERIOD_OVERRIDE=FQ","FILING_STATUS=MR","SCALING_FORMAT=MLN","Sort=A","Dates=H","DateFormat=P","Fill=—","Direction=H","UseDPDF=Y")</f>
        <v>-7321</v>
      </c>
      <c r="I76" s="17">
        <f>_xll.BDH("LUMN US Equity","BS_PURE_RETAINED_EARNINGS","FQ3 2019","FQ3 2019","Currency=USD","Period=FQ","BEST_FPERIOD_OVERRIDE=FQ","FILING_STATUS=MR","SCALING_FORMAT=MLN","Sort=A","Dates=H","DateFormat=P","Fill=—","Direction=H","UseDPDF=Y")</f>
        <v>-7018</v>
      </c>
      <c r="J76" s="17">
        <f>_xll.BDH("LUMN US Equity","BS_PURE_RETAINED_EARNINGS","FQ4 2019","FQ4 2019","Currency=USD","Period=FQ","BEST_FPERIOD_OVERRIDE=FQ","FILING_STATUS=MR","SCALING_FORMAT=MLN","Sort=A","Dates=H","DateFormat=P","Fill=—","Direction=H","UseDPDF=Y")</f>
        <v>-6814</v>
      </c>
      <c r="K76" s="17">
        <f>_xll.BDH("LUMN US Equity","BS_PURE_RETAINED_EARNINGS","FQ1 2020","FQ1 2020","Currency=USD","Period=FQ","BEST_FPERIOD_OVERRIDE=FQ","FILING_STATUS=MR","SCALING_FORMAT=MLN","Sort=A","Dates=H","DateFormat=P","Fill=—","Direction=H","UseDPDF=Y")</f>
        <v>-6486</v>
      </c>
      <c r="L76" s="17">
        <f>_xll.BDH("LUMN US Equity","BS_PURE_RETAINED_EARNINGS","FQ2 2020","FQ2 2020","Currency=USD","Period=FQ","BEST_FPERIOD_OVERRIDE=FQ","FILING_STATUS=MR","SCALING_FORMAT=MLN","Sort=A","Dates=H","DateFormat=P","Fill=—","Direction=H","UseDPDF=Y")</f>
        <v>-6109</v>
      </c>
    </row>
    <row r="77" spans="1:12" x14ac:dyDescent="0.25">
      <c r="A77" s="16" t="s">
        <v>204</v>
      </c>
      <c r="B77" s="16" t="s">
        <v>203</v>
      </c>
      <c r="C77" s="17">
        <f>_xll.BDH("LUMN US Equity","OTHER_EQUITY_RATIO","FQ1 2018","FQ1 2018","Currency=USD","Period=FQ","BEST_FPERIOD_OVERRIDE=FQ","FILING_STATUS=MR","SCALING_FORMAT=MLN","Sort=A","Dates=H","DateFormat=P","Fill=—","Direction=H","UseDPDF=Y")</f>
        <v>-2288</v>
      </c>
      <c r="D77" s="17">
        <f>_xll.BDH("LUMN US Equity","OTHER_EQUITY_RATIO","FQ2 2018","FQ2 2018","Currency=USD","Period=FQ","BEST_FPERIOD_OVERRIDE=FQ","FILING_STATUS=MR","SCALING_FORMAT=MLN","Sort=A","Dates=H","DateFormat=P","Fill=—","Direction=H","UseDPDF=Y")</f>
        <v>-2490</v>
      </c>
      <c r="E77" s="17">
        <f>_xll.BDH("LUMN US Equity","OTHER_EQUITY_RATIO","FQ3 2018","FQ3 2018","Currency=USD","Period=FQ","BEST_FPERIOD_OVERRIDE=FQ","FILING_STATUS=MR","SCALING_FORMAT=MLN","Sort=A","Dates=H","DateFormat=P","Fill=—","Direction=H","UseDPDF=Y")</f>
        <v>-2454</v>
      </c>
      <c r="F77" s="17">
        <f>_xll.BDH("LUMN US Equity","OTHER_EQUITY_RATIO","FQ4 2018","FQ4 2018","Currency=USD","Period=FQ","BEST_FPERIOD_OVERRIDE=FQ","FILING_STATUS=MR","SCALING_FORMAT=MLN","Sort=A","Dates=H","DateFormat=P","Fill=—","Direction=H","UseDPDF=Y")</f>
        <v>-2461</v>
      </c>
      <c r="G77" s="17">
        <f>_xll.BDH("LUMN US Equity","OTHER_EQUITY_RATIO","FQ1 2019","FQ1 2019","Currency=USD","Period=FQ","BEST_FPERIOD_OVERRIDE=FQ","FILING_STATUS=MR","SCALING_FORMAT=MLN","Sort=A","Dates=H","DateFormat=P","Fill=—","Direction=H","UseDPDF=Y")</f>
        <v>-2429</v>
      </c>
      <c r="H77" s="17">
        <f>_xll.BDH("LUMN US Equity","OTHER_EQUITY_RATIO","FQ2 2019","FQ2 2019","Currency=USD","Period=FQ","BEST_FPERIOD_OVERRIDE=FQ","FILING_STATUS=MR","SCALING_FORMAT=MLN","Sort=A","Dates=H","DateFormat=P","Fill=—","Direction=H","UseDPDF=Y")</f>
        <v>-2419</v>
      </c>
      <c r="I77" s="17">
        <f>_xll.BDH("LUMN US Equity","OTHER_EQUITY_RATIO","FQ3 2019","FQ3 2019","Currency=USD","Period=FQ","BEST_FPERIOD_OVERRIDE=FQ","FILING_STATUS=MR","SCALING_FORMAT=MLN","Sort=A","Dates=H","DateFormat=P","Fill=—","Direction=H","UseDPDF=Y")</f>
        <v>-2499</v>
      </c>
      <c r="J77" s="17">
        <f>_xll.BDH("LUMN US Equity","OTHER_EQUITY_RATIO","FQ4 2019","FQ4 2019","Currency=USD","Period=FQ","BEST_FPERIOD_OVERRIDE=FQ","FILING_STATUS=MR","SCALING_FORMAT=MLN","Sort=A","Dates=H","DateFormat=P","Fill=—","Direction=H","UseDPDF=Y")</f>
        <v>-2680</v>
      </c>
      <c r="K77" s="17">
        <f>_xll.BDH("LUMN US Equity","OTHER_EQUITY_RATIO","FQ1 2020","FQ1 2020","Currency=USD","Period=FQ","BEST_FPERIOD_OVERRIDE=FQ","FILING_STATUS=MR","SCALING_FORMAT=MLN","Sort=A","Dates=H","DateFormat=P","Fill=—","Direction=H","UseDPDF=Y")</f>
        <v>-2955</v>
      </c>
      <c r="L77" s="17">
        <f>_xll.BDH("LUMN US Equity","OTHER_EQUITY_RATIO","FQ2 2020","FQ2 2020","Currency=USD","Period=FQ","BEST_FPERIOD_OVERRIDE=FQ","FILING_STATUS=MR","SCALING_FORMAT=MLN","Sort=A","Dates=H","DateFormat=P","Fill=—","Direction=H","UseDPDF=Y")</f>
        <v>-2902</v>
      </c>
    </row>
    <row r="78" spans="1:12" x14ac:dyDescent="0.25">
      <c r="A78" s="12" t="s">
        <v>202</v>
      </c>
      <c r="B78" s="12" t="s">
        <v>201</v>
      </c>
      <c r="C78" s="10">
        <f>_xll.BDH("LUMN US Equity","EQTY_BEF_MINORITY_INT_DETAILED","FQ1 2018","FQ1 2018","Currency=USD","Period=FQ","BEST_FPERIOD_OVERRIDE=FQ","FILING_STATUS=MR","SCALING_FORMAT=MLN","Sort=A","Dates=H","DateFormat=P","Fill=—","Direction=H","UseDPDF=Y")</f>
        <v>23443</v>
      </c>
      <c r="D78" s="10">
        <f>_xll.BDH("LUMN US Equity","EQTY_BEF_MINORITY_INT_DETAILED","FQ2 2018","FQ2 2018","Currency=USD","Period=FQ","BEST_FPERIOD_OVERRIDE=FQ","FILING_STATUS=MR","SCALING_FORMAT=MLN","Sort=A","Dates=H","DateFormat=P","Fill=—","Direction=H","UseDPDF=Y")</f>
        <v>22989</v>
      </c>
      <c r="E78" s="10">
        <f>_xll.BDH("LUMN US Equity","EQTY_BEF_MINORITY_INT_DETAILED","FQ3 2018","FQ3 2018","Currency=USD","Period=FQ","BEST_FPERIOD_OVERRIDE=FQ","FILING_STATUS=MR","SCALING_FORMAT=MLN","Sort=A","Dates=H","DateFormat=P","Fill=—","Direction=H","UseDPDF=Y")</f>
        <v>22803</v>
      </c>
      <c r="F78" s="10">
        <f>_xll.BDH("LUMN US Equity","EQTY_BEF_MINORITY_INT_DETAILED","FQ4 2018","FQ4 2018","Currency=USD","Period=FQ","BEST_FPERIOD_OVERRIDE=FQ","FILING_STATUS=MR","SCALING_FORMAT=MLN","Sort=A","Dates=H","DateFormat=P","Fill=—","Direction=H","UseDPDF=Y")</f>
        <v>19828</v>
      </c>
      <c r="G78" s="10">
        <f>_xll.BDH("LUMN US Equity","EQTY_BEF_MINORITY_INT_DETAILED","FQ1 2019","FQ1 2019","Currency=USD","Period=FQ","BEST_FPERIOD_OVERRIDE=FQ","FILING_STATUS=MR","SCALING_FORMAT=MLN","Sort=A","Dates=H","DateFormat=P","Fill=—","Direction=H","UseDPDF=Y")</f>
        <v>13543</v>
      </c>
      <c r="H78" s="10">
        <f>_xll.BDH("LUMN US Equity","EQTY_BEF_MINORITY_INT_DETAILED","FQ2 2019","FQ2 2019","Currency=USD","Period=FQ","BEST_FPERIOD_OVERRIDE=FQ","FILING_STATUS=MR","SCALING_FORMAT=MLN","Sort=A","Dates=H","DateFormat=P","Fill=—","Direction=H","UseDPDF=Y")</f>
        <v>13692</v>
      </c>
      <c r="I78" s="10">
        <f>_xll.BDH("LUMN US Equity","EQTY_BEF_MINORITY_INT_DETAILED","FQ3 2019","FQ3 2019","Currency=USD","Period=FQ","BEST_FPERIOD_OVERRIDE=FQ","FILING_STATUS=MR","SCALING_FORMAT=MLN","Sort=A","Dates=H","DateFormat=P","Fill=—","Direction=H","UseDPDF=Y")</f>
        <v>13674</v>
      </c>
      <c r="J78" s="10">
        <f>_xll.BDH("LUMN US Equity","EQTY_BEF_MINORITY_INT_DETAILED","FQ4 2019","FQ4 2019","Currency=USD","Period=FQ","BEST_FPERIOD_OVERRIDE=FQ","FILING_STATUS=MR","SCALING_FORMAT=MLN","Sort=A","Dates=H","DateFormat=P","Fill=—","Direction=H","UseDPDF=Y")</f>
        <v>13470</v>
      </c>
      <c r="K78" s="10">
        <f>_xll.BDH("LUMN US Equity","EQTY_BEF_MINORITY_INT_DETAILED","FQ1 2020","FQ1 2020","Currency=USD","Period=FQ","BEST_FPERIOD_OVERRIDE=FQ","FILING_STATUS=MR","SCALING_FORMAT=MLN","Sort=A","Dates=H","DateFormat=P","Fill=—","Direction=H","UseDPDF=Y")</f>
        <v>13291</v>
      </c>
      <c r="L78" s="10">
        <f>_xll.BDH("LUMN US Equity","EQTY_BEF_MINORITY_INT_DETAILED","FQ2 2020","FQ2 2020","Currency=USD","Period=FQ","BEST_FPERIOD_OVERRIDE=FQ","FILING_STATUS=MR","SCALING_FORMAT=MLN","Sort=A","Dates=H","DateFormat=P","Fill=—","Direction=H","UseDPDF=Y")</f>
        <v>13462</v>
      </c>
    </row>
    <row r="79" spans="1:12" x14ac:dyDescent="0.25">
      <c r="A79" s="16" t="s">
        <v>200</v>
      </c>
      <c r="B79" s="16" t="s">
        <v>199</v>
      </c>
      <c r="C79" s="17">
        <f>_xll.BDH("LUMN US Equity","MINORITY_NONCONTROLLING_INTEREST","FQ1 2018","FQ1 2018","Currency=USD","Period=FQ","BEST_FPERIOD_OVERRIDE=FQ","FILING_STATUS=MR","SCALING_FORMAT=MLN","Sort=A","Dates=H","DateFormat=P","Fill=—","Direction=H","UseDPDF=Y")</f>
        <v>0</v>
      </c>
      <c r="D79" s="17">
        <f>_xll.BDH("LUMN US Equity","MINORITY_NONCONTROLLING_INTEREST","FQ2 2018","FQ2 2018","Currency=USD","Period=FQ","BEST_FPERIOD_OVERRIDE=FQ","FILING_STATUS=MR","SCALING_FORMAT=MLN","Sort=A","Dates=H","DateFormat=P","Fill=—","Direction=H","UseDPDF=Y")</f>
        <v>0</v>
      </c>
      <c r="E79" s="17">
        <f>_xll.BDH("LUMN US Equity","MINORITY_NONCONTROLLING_INTEREST","FQ3 2018","FQ3 2018","Currency=USD","Period=FQ","BEST_FPERIOD_OVERRIDE=FQ","FILING_STATUS=MR","SCALING_FORMAT=MLN","Sort=A","Dates=H","DateFormat=P","Fill=—","Direction=H","UseDPDF=Y")</f>
        <v>0</v>
      </c>
      <c r="F79" s="17">
        <f>_xll.BDH("LUMN US Equity","MINORITY_NONCONTROLLING_INTEREST","FQ4 2018","FQ4 2018","Currency=USD","Period=FQ","BEST_FPERIOD_OVERRIDE=FQ","FILING_STATUS=MR","SCALING_FORMAT=MLN","Sort=A","Dates=H","DateFormat=P","Fill=—","Direction=H","UseDPDF=Y")</f>
        <v>0</v>
      </c>
      <c r="G79" s="17">
        <f>_xll.BDH("LUMN US Equity","MINORITY_NONCONTROLLING_INTEREST","FQ1 2019","FQ1 2019","Currency=USD","Period=FQ","BEST_FPERIOD_OVERRIDE=FQ","FILING_STATUS=MR","SCALING_FORMAT=MLN","Sort=A","Dates=H","DateFormat=P","Fill=—","Direction=H","UseDPDF=Y")</f>
        <v>0</v>
      </c>
      <c r="H79" s="17">
        <f>_xll.BDH("LUMN US Equity","MINORITY_NONCONTROLLING_INTEREST","FQ2 2019","FQ2 2019","Currency=USD","Period=FQ","BEST_FPERIOD_OVERRIDE=FQ","FILING_STATUS=MR","SCALING_FORMAT=MLN","Sort=A","Dates=H","DateFormat=P","Fill=—","Direction=H","UseDPDF=Y")</f>
        <v>0</v>
      </c>
      <c r="I79" s="17">
        <f>_xll.BDH("LUMN US Equity","MINORITY_NONCONTROLLING_INTEREST","FQ3 2019","FQ3 2019","Currency=USD","Period=FQ","BEST_FPERIOD_OVERRIDE=FQ","FILING_STATUS=MR","SCALING_FORMAT=MLN","Sort=A","Dates=H","DateFormat=P","Fill=—","Direction=H","UseDPDF=Y")</f>
        <v>0</v>
      </c>
      <c r="J79" s="17">
        <f>_xll.BDH("LUMN US Equity","MINORITY_NONCONTROLLING_INTEREST","FQ4 2019","FQ4 2019","Currency=USD","Period=FQ","BEST_FPERIOD_OVERRIDE=FQ","FILING_STATUS=MR","SCALING_FORMAT=MLN","Sort=A","Dates=H","DateFormat=P","Fill=—","Direction=H","UseDPDF=Y")</f>
        <v>0</v>
      </c>
      <c r="K79" s="17">
        <f>_xll.BDH("LUMN US Equity","MINORITY_NONCONTROLLING_INTEREST","FQ1 2020","FQ1 2020","Currency=USD","Period=FQ","BEST_FPERIOD_OVERRIDE=FQ","FILING_STATUS=MR","SCALING_FORMAT=MLN","Sort=A","Dates=H","DateFormat=P","Fill=—","Direction=H","UseDPDF=Y")</f>
        <v>0</v>
      </c>
      <c r="L79" s="17">
        <f>_xll.BDH("LUMN US Equity","MINORITY_NONCONTROLLING_INTEREST","FQ2 2020","FQ2 2020","Currency=USD","Period=FQ","BEST_FPERIOD_OVERRIDE=FQ","FILING_STATUS=MR","SCALING_FORMAT=MLN","Sort=A","Dates=H","DateFormat=P","Fill=—","Direction=H","UseDPDF=Y")</f>
        <v>0</v>
      </c>
    </row>
    <row r="80" spans="1:12" x14ac:dyDescent="0.25">
      <c r="A80" s="12" t="s">
        <v>198</v>
      </c>
      <c r="B80" s="12" t="s">
        <v>197</v>
      </c>
      <c r="C80" s="10">
        <f>_xll.BDH("LUMN US Equity","TOTAL_EQUITY","FQ1 2018","FQ1 2018","Currency=USD","Period=FQ","BEST_FPERIOD_OVERRIDE=FQ","FILING_STATUS=MR","SCALING_FORMAT=MLN","Sort=A","Dates=H","DateFormat=P","Fill=—","Direction=H","UseDPDF=Y")</f>
        <v>23443</v>
      </c>
      <c r="D80" s="10">
        <f>_xll.BDH("LUMN US Equity","TOTAL_EQUITY","FQ2 2018","FQ2 2018","Currency=USD","Period=FQ","BEST_FPERIOD_OVERRIDE=FQ","FILING_STATUS=MR","SCALING_FORMAT=MLN","Sort=A","Dates=H","DateFormat=P","Fill=—","Direction=H","UseDPDF=Y")</f>
        <v>22989</v>
      </c>
      <c r="E80" s="10">
        <f>_xll.BDH("LUMN US Equity","TOTAL_EQUITY","FQ3 2018","FQ3 2018","Currency=USD","Period=FQ","BEST_FPERIOD_OVERRIDE=FQ","FILING_STATUS=MR","SCALING_FORMAT=MLN","Sort=A","Dates=H","DateFormat=P","Fill=—","Direction=H","UseDPDF=Y")</f>
        <v>22803</v>
      </c>
      <c r="F80" s="10">
        <f>_xll.BDH("LUMN US Equity","TOTAL_EQUITY","FQ4 2018","FQ4 2018","Currency=USD","Period=FQ","BEST_FPERIOD_OVERRIDE=FQ","FILING_STATUS=MR","SCALING_FORMAT=MLN","Sort=A","Dates=H","DateFormat=P","Fill=—","Direction=H","UseDPDF=Y")</f>
        <v>19828</v>
      </c>
      <c r="G80" s="10">
        <f>_xll.BDH("LUMN US Equity","TOTAL_EQUITY","FQ1 2019","FQ1 2019","Currency=USD","Period=FQ","BEST_FPERIOD_OVERRIDE=FQ","FILING_STATUS=MR","SCALING_FORMAT=MLN","Sort=A","Dates=H","DateFormat=P","Fill=—","Direction=H","UseDPDF=Y")</f>
        <v>13543</v>
      </c>
      <c r="H80" s="10">
        <f>_xll.BDH("LUMN US Equity","TOTAL_EQUITY","FQ2 2019","FQ2 2019","Currency=USD","Period=FQ","BEST_FPERIOD_OVERRIDE=FQ","FILING_STATUS=MR","SCALING_FORMAT=MLN","Sort=A","Dates=H","DateFormat=P","Fill=—","Direction=H","UseDPDF=Y")</f>
        <v>13692</v>
      </c>
      <c r="I80" s="10">
        <f>_xll.BDH("LUMN US Equity","TOTAL_EQUITY","FQ3 2019","FQ3 2019","Currency=USD","Period=FQ","BEST_FPERIOD_OVERRIDE=FQ","FILING_STATUS=MR","SCALING_FORMAT=MLN","Sort=A","Dates=H","DateFormat=P","Fill=—","Direction=H","UseDPDF=Y")</f>
        <v>13674</v>
      </c>
      <c r="J80" s="10">
        <f>_xll.BDH("LUMN US Equity","TOTAL_EQUITY","FQ4 2019","FQ4 2019","Currency=USD","Period=FQ","BEST_FPERIOD_OVERRIDE=FQ","FILING_STATUS=MR","SCALING_FORMAT=MLN","Sort=A","Dates=H","DateFormat=P","Fill=—","Direction=H","UseDPDF=Y")</f>
        <v>13470</v>
      </c>
      <c r="K80" s="10">
        <f>_xll.BDH("LUMN US Equity","TOTAL_EQUITY","FQ1 2020","FQ1 2020","Currency=USD","Period=FQ","BEST_FPERIOD_OVERRIDE=FQ","FILING_STATUS=MR","SCALING_FORMAT=MLN","Sort=A","Dates=H","DateFormat=P","Fill=—","Direction=H","UseDPDF=Y")</f>
        <v>13291</v>
      </c>
      <c r="L80" s="10">
        <f>_xll.BDH("LUMN US Equity","TOTAL_EQUITY","FQ2 2020","FQ2 2020","Currency=USD","Period=FQ","BEST_FPERIOD_OVERRIDE=FQ","FILING_STATUS=MR","SCALING_FORMAT=MLN","Sort=A","Dates=H","DateFormat=P","Fill=—","Direction=H","UseDPDF=Y")</f>
        <v>13462</v>
      </c>
    </row>
    <row r="81" spans="1:12" x14ac:dyDescent="0.25">
      <c r="A81" s="12" t="s">
        <v>196</v>
      </c>
      <c r="B81" s="12" t="s">
        <v>195</v>
      </c>
      <c r="C81" s="10">
        <f>_xll.BDH("LUMN US Equity","TOT_LIAB_AND_EQY","FQ1 2018","FQ1 2018","Currency=USD","Period=FQ","BEST_FPERIOD_OVERRIDE=FQ","FILING_STATUS=MR","SCALING_FORMAT=MLN","Sort=A","Dates=H","DateFormat=P","Fill=—","Direction=H","UseDPDF=Y")</f>
        <v>74793</v>
      </c>
      <c r="D81" s="10">
        <f>_xll.BDH("LUMN US Equity","TOT_LIAB_AND_EQY","FQ2 2018","FQ2 2018","Currency=USD","Period=FQ","BEST_FPERIOD_OVERRIDE=FQ","FILING_STATUS=MR","SCALING_FORMAT=MLN","Sort=A","Dates=H","DateFormat=P","Fill=—","Direction=H","UseDPDF=Y")</f>
        <v>74346</v>
      </c>
      <c r="E81" s="10">
        <f>_xll.BDH("LUMN US Equity","TOT_LIAB_AND_EQY","FQ3 2018","FQ3 2018","Currency=USD","Period=FQ","BEST_FPERIOD_OVERRIDE=FQ","FILING_STATUS=MR","SCALING_FORMAT=MLN","Sort=A","Dates=H","DateFormat=P","Fill=—","Direction=H","UseDPDF=Y")</f>
        <v>73371</v>
      </c>
      <c r="F81" s="10">
        <f>_xll.BDH("LUMN US Equity","TOT_LIAB_AND_EQY","FQ4 2018","FQ4 2018","Currency=USD","Period=FQ","BEST_FPERIOD_OVERRIDE=FQ","FILING_STATUS=MR","SCALING_FORMAT=MLN","Sort=A","Dates=H","DateFormat=P","Fill=—","Direction=H","UseDPDF=Y")</f>
        <v>70256</v>
      </c>
      <c r="G81" s="10">
        <f>_xll.BDH("LUMN US Equity","TOT_LIAB_AND_EQY","FQ1 2019","FQ1 2019","Currency=USD","Period=FQ","BEST_FPERIOD_OVERRIDE=FQ","FILING_STATUS=MR","SCALING_FORMAT=MLN","Sort=A","Dates=H","DateFormat=P","Fill=—","Direction=H","UseDPDF=Y")</f>
        <v>64788</v>
      </c>
      <c r="H81" s="10">
        <f>_xll.BDH("LUMN US Equity","TOT_LIAB_AND_EQY","FQ2 2019","FQ2 2019","Currency=USD","Period=FQ","BEST_FPERIOD_OVERRIDE=FQ","FILING_STATUS=MR","SCALING_FORMAT=MLN","Sort=A","Dates=H","DateFormat=P","Fill=—","Direction=H","UseDPDF=Y")</f>
        <v>64508</v>
      </c>
      <c r="I81" s="10">
        <f>_xll.BDH("LUMN US Equity","TOT_LIAB_AND_EQY","FQ3 2019","FQ3 2019","Currency=USD","Period=FQ","BEST_FPERIOD_OVERRIDE=FQ","FILING_STATUS=MR","SCALING_FORMAT=MLN","Sort=A","Dates=H","DateFormat=P","Fill=—","Direction=H","UseDPDF=Y")</f>
        <v>64728</v>
      </c>
      <c r="J81" s="10">
        <f>_xll.BDH("LUMN US Equity","TOT_LIAB_AND_EQY","FQ4 2019","FQ4 2019","Currency=USD","Period=FQ","BEST_FPERIOD_OVERRIDE=FQ","FILING_STATUS=MR","SCALING_FORMAT=MLN","Sort=A","Dates=H","DateFormat=P","Fill=—","Direction=H","UseDPDF=Y")</f>
        <v>64742</v>
      </c>
      <c r="K81" s="10">
        <f>_xll.BDH("LUMN US Equity","TOT_LIAB_AND_EQY","FQ1 2020","FQ1 2020","Currency=USD","Period=FQ","BEST_FPERIOD_OVERRIDE=FQ","FILING_STATUS=MR","SCALING_FORMAT=MLN","Sort=A","Dates=H","DateFormat=P","Fill=—","Direction=H","UseDPDF=Y")</f>
        <v>64056</v>
      </c>
      <c r="L81" s="10">
        <f>_xll.BDH("LUMN US Equity","TOT_LIAB_AND_EQY","FQ2 2020","FQ2 2020","Currency=USD","Period=FQ","BEST_FPERIOD_OVERRIDE=FQ","FILING_STATUS=MR","SCALING_FORMAT=MLN","Sort=A","Dates=H","DateFormat=P","Fill=—","Direction=H","UseDPDF=Y")</f>
        <v>64171</v>
      </c>
    </row>
    <row r="82" spans="1:12" x14ac:dyDescent="0.25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12" t="s">
        <v>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16" t="s">
        <v>81</v>
      </c>
      <c r="B84" s="16" t="s">
        <v>80</v>
      </c>
      <c r="C84" s="14" t="s">
        <v>79</v>
      </c>
      <c r="D84" s="14" t="s">
        <v>79</v>
      </c>
      <c r="E84" s="14" t="s">
        <v>79</v>
      </c>
      <c r="F84" s="14" t="s">
        <v>79</v>
      </c>
      <c r="G84" s="14" t="s">
        <v>79</v>
      </c>
      <c r="H84" s="14" t="s">
        <v>79</v>
      </c>
      <c r="I84" s="14" t="s">
        <v>79</v>
      </c>
      <c r="J84" s="14" t="s">
        <v>79</v>
      </c>
      <c r="K84" s="14" t="s">
        <v>79</v>
      </c>
      <c r="L84" s="14" t="s">
        <v>79</v>
      </c>
    </row>
    <row r="85" spans="1:12" x14ac:dyDescent="0.25">
      <c r="A85" s="16" t="s">
        <v>194</v>
      </c>
      <c r="B85" s="16" t="s">
        <v>193</v>
      </c>
      <c r="C85" s="17">
        <f>_xll.BDH("LUMN US Equity","BS_SH_OUT","FQ1 2018","FQ1 2018","Currency=USD","Period=FQ","BEST_FPERIOD_OVERRIDE=FQ","FILING_STATUS=MR","Sort=A","Dates=H","DateFormat=P","Fill=—","Direction=H","UseDPDF=Y")</f>
        <v>1078.6320000000001</v>
      </c>
      <c r="D85" s="17">
        <f>_xll.BDH("LUMN US Equity","BS_SH_OUT","FQ2 2018","FQ2 2018","Currency=USD","Period=FQ","BEST_FPERIOD_OVERRIDE=FQ","FILING_STATUS=MR","Sort=A","Dates=H","DateFormat=P","Fill=—","Direction=H","UseDPDF=Y")</f>
        <v>1078.7049999999999</v>
      </c>
      <c r="E85" s="17">
        <f>_xll.BDH("LUMN US Equity","BS_SH_OUT","FQ3 2018","FQ3 2018","Currency=USD","Period=FQ","BEST_FPERIOD_OVERRIDE=FQ","FILING_STATUS=MR","Sort=A","Dates=H","DateFormat=P","Fill=—","Direction=H","UseDPDF=Y")</f>
        <v>1080.5730000000001</v>
      </c>
      <c r="F85" s="17">
        <f>_xll.BDH("LUMN US Equity","BS_SH_OUT","FQ4 2018","FQ4 2018","Currency=USD","Period=FQ","BEST_FPERIOD_OVERRIDE=FQ","FILING_STATUS=MR","Sort=A","Dates=H","DateFormat=P","Fill=—","Direction=H","UseDPDF=Y")</f>
        <v>1080.1669999999999</v>
      </c>
      <c r="G85" s="17">
        <f>_xll.BDH("LUMN US Equity","BS_SH_OUT","FQ1 2019","FQ1 2019","Currency=USD","Period=FQ","BEST_FPERIOD_OVERRIDE=FQ","FILING_STATUS=MR","Sort=A","Dates=H","DateFormat=P","Fill=—","Direction=H","UseDPDF=Y")</f>
        <v>1090.4449999999999</v>
      </c>
      <c r="H85" s="17">
        <f>_xll.BDH("LUMN US Equity","BS_SH_OUT","FQ2 2019","FQ2 2019","Currency=USD","Period=FQ","BEST_FPERIOD_OVERRIDE=FQ","FILING_STATUS=MR","Sort=A","Dates=H","DateFormat=P","Fill=—","Direction=H","UseDPDF=Y")</f>
        <v>1090.1369999999999</v>
      </c>
      <c r="I85" s="17">
        <f>_xll.BDH("LUMN US Equity","BS_SH_OUT","FQ3 2019","FQ3 2019","Currency=USD","Period=FQ","BEST_FPERIOD_OVERRIDE=FQ","FILING_STATUS=MR","Sort=A","Dates=H","DateFormat=P","Fill=—","Direction=H","UseDPDF=Y")</f>
        <v>1090.326</v>
      </c>
      <c r="J85" s="17">
        <f>_xll.BDH("LUMN US Equity","BS_SH_OUT","FQ4 2019","FQ4 2019","Currency=USD","Period=FQ","BEST_FPERIOD_OVERRIDE=FQ","FILING_STATUS=MR","Sort=A","Dates=H","DateFormat=P","Fill=—","Direction=H","UseDPDF=Y")</f>
        <v>1090.058</v>
      </c>
      <c r="K85" s="17">
        <f>_xll.BDH("LUMN US Equity","BS_SH_OUT","FQ1 2020","FQ1 2020","Currency=USD","Period=FQ","BEST_FPERIOD_OVERRIDE=FQ","FILING_STATUS=MR","Sort=A","Dates=H","DateFormat=P","Fill=—","Direction=H","UseDPDF=Y")</f>
        <v>1097.711</v>
      </c>
      <c r="L85" s="17">
        <f>_xll.BDH("LUMN US Equity","BS_SH_OUT","FQ2 2020","FQ2 2020","Currency=USD","Period=FQ","BEST_FPERIOD_OVERRIDE=FQ","FILING_STATUS=MR","Sort=A","Dates=H","DateFormat=P","Fill=—","Direction=H","UseDPDF=Y")</f>
        <v>1097.114</v>
      </c>
    </row>
    <row r="86" spans="1:12" x14ac:dyDescent="0.25">
      <c r="A86" s="16" t="s">
        <v>192</v>
      </c>
      <c r="B86" s="16" t="s">
        <v>191</v>
      </c>
      <c r="C86" s="17">
        <f>_xll.BDH("LUMN US Equity","BS_NUM_OF_TSY_SH","FQ1 2018","FQ1 2018","Currency=USD","Period=FQ","BEST_FPERIOD_OVERRIDE=FQ","FILING_STATUS=MR","Sort=A","Dates=H","DateFormat=P","Fill=—","Direction=H","UseDPDF=Y")</f>
        <v>0</v>
      </c>
      <c r="D86" s="17">
        <f>_xll.BDH("LUMN US Equity","BS_NUM_OF_TSY_SH","FQ2 2018","FQ2 2018","Currency=USD","Period=FQ","BEST_FPERIOD_OVERRIDE=FQ","FILING_STATUS=MR","Sort=A","Dates=H","DateFormat=P","Fill=—","Direction=H","UseDPDF=Y")</f>
        <v>0</v>
      </c>
      <c r="E86" s="17">
        <f>_xll.BDH("LUMN US Equity","BS_NUM_OF_TSY_SH","FQ3 2018","FQ3 2018","Currency=USD","Period=FQ","BEST_FPERIOD_OVERRIDE=FQ","FILING_STATUS=MR","Sort=A","Dates=H","DateFormat=P","Fill=—","Direction=H","UseDPDF=Y")</f>
        <v>0</v>
      </c>
      <c r="F86" s="17">
        <f>_xll.BDH("LUMN US Equity","BS_NUM_OF_TSY_SH","FQ4 2018","FQ4 2018","Currency=USD","Period=FQ","BEST_FPERIOD_OVERRIDE=FQ","FILING_STATUS=MR","Sort=A","Dates=H","DateFormat=P","Fill=—","Direction=H","UseDPDF=Y")</f>
        <v>0</v>
      </c>
      <c r="G86" s="17">
        <f>_xll.BDH("LUMN US Equity","BS_NUM_OF_TSY_SH","FQ1 2019","FQ1 2019","Currency=USD","Period=FQ","BEST_FPERIOD_OVERRIDE=FQ","FILING_STATUS=MR","Sort=A","Dates=H","DateFormat=P","Fill=—","Direction=H","UseDPDF=Y")</f>
        <v>0</v>
      </c>
      <c r="H86" s="17">
        <f>_xll.BDH("LUMN US Equity","BS_NUM_OF_TSY_SH","FQ2 2019","FQ2 2019","Currency=USD","Period=FQ","BEST_FPERIOD_OVERRIDE=FQ","FILING_STATUS=MR","Sort=A","Dates=H","DateFormat=P","Fill=—","Direction=H","UseDPDF=Y")</f>
        <v>0</v>
      </c>
      <c r="I86" s="17">
        <f>_xll.BDH("LUMN US Equity","BS_NUM_OF_TSY_SH","FQ3 2019","FQ3 2019","Currency=USD","Period=FQ","BEST_FPERIOD_OVERRIDE=FQ","FILING_STATUS=MR","Sort=A","Dates=H","DateFormat=P","Fill=—","Direction=H","UseDPDF=Y")</f>
        <v>0</v>
      </c>
      <c r="J86" s="17">
        <f>_xll.BDH("LUMN US Equity","BS_NUM_OF_TSY_SH","FQ4 2019","FQ4 2019","Currency=USD","Period=FQ","BEST_FPERIOD_OVERRIDE=FQ","FILING_STATUS=MR","Sort=A","Dates=H","DateFormat=P","Fill=—","Direction=H","UseDPDF=Y")</f>
        <v>0</v>
      </c>
      <c r="K86" s="17">
        <f>_xll.BDH("LUMN US Equity","BS_NUM_OF_TSY_SH","FQ1 2020","FQ1 2020","Currency=USD","Period=FQ","BEST_FPERIOD_OVERRIDE=FQ","FILING_STATUS=MR","Sort=A","Dates=H","DateFormat=P","Fill=—","Direction=H","UseDPDF=Y")</f>
        <v>0</v>
      </c>
      <c r="L86" s="17">
        <f>_xll.BDH("LUMN US Equity","BS_NUM_OF_TSY_SH","FQ2 2020","FQ2 2020","Currency=USD","Period=FQ","BEST_FPERIOD_OVERRIDE=FQ","FILING_STATUS=MR","Sort=A","Dates=H","DateFormat=P","Fill=—","Direction=H","UseDPDF=Y")</f>
        <v>0</v>
      </c>
    </row>
    <row r="87" spans="1:12" x14ac:dyDescent="0.25">
      <c r="A87" s="16" t="s">
        <v>190</v>
      </c>
      <c r="B87" s="16" t="s">
        <v>189</v>
      </c>
      <c r="C87" s="17">
        <f>_xll.BDH("LUMN US Equity","BS_PENSION_RSRV","FQ1 2018","FQ1 2018","Currency=USD","Period=FQ","BEST_FPERIOD_OVERRIDE=FQ","FILING_STATUS=MR","SCALING_FORMAT=MLN","Sort=A","Dates=H","DateFormat=P","Fill=—","Direction=H","UseDPDF=Y")</f>
        <v>5085</v>
      </c>
      <c r="D87" s="17">
        <f>_xll.BDH("LUMN US Equity","BS_PENSION_RSRV","FQ2 2018","FQ2 2018","Currency=USD","Period=FQ","BEST_FPERIOD_OVERRIDE=FQ","FILING_STATUS=MR","SCALING_FORMAT=MLN","Sort=A","Dates=H","DateFormat=P","Fill=—","Direction=H","UseDPDF=Y")</f>
        <v>4884</v>
      </c>
      <c r="E87" s="17">
        <f>_xll.BDH("LUMN US Equity","BS_PENSION_RSRV","FQ3 2018","FQ3 2018","Currency=USD","Period=FQ","BEST_FPERIOD_OVERRIDE=FQ","FILING_STATUS=MR","SCALING_FORMAT=MLN","Sort=A","Dates=H","DateFormat=P","Fill=—","Direction=H","UseDPDF=Y")</f>
        <v>4392</v>
      </c>
      <c r="F87" s="17">
        <f>_xll.BDH("LUMN US Equity","BS_PENSION_RSRV","FQ4 2018","FQ4 2018","Currency=USD","Period=FQ","BEST_FPERIOD_OVERRIDE=FQ","FILING_STATUS=MR","SCALING_FORMAT=MLN","Sort=A","Dates=H","DateFormat=P","Fill=—","Direction=H","UseDPDF=Y")</f>
        <v>4319</v>
      </c>
      <c r="G87" s="17">
        <f>_xll.BDH("LUMN US Equity","BS_PENSION_RSRV","FQ1 2019","FQ1 2019","Currency=USD","Period=FQ","BEST_FPERIOD_OVERRIDE=FQ","FILING_STATUS=MR","SCALING_FORMAT=MLN","Sort=A","Dates=H","DateFormat=P","Fill=—","Direction=H","UseDPDF=Y")</f>
        <v>4265</v>
      </c>
      <c r="H87" s="17">
        <f>_xll.BDH("LUMN US Equity","BS_PENSION_RSRV","FQ2 2019","FQ2 2019","Currency=USD","Period=FQ","BEST_FPERIOD_OVERRIDE=FQ","FILING_STATUS=MR","SCALING_FORMAT=MLN","Sort=A","Dates=H","DateFormat=P","Fill=—","Direction=H","UseDPDF=Y")</f>
        <v>4213</v>
      </c>
      <c r="I87" s="17">
        <f>_xll.BDH("LUMN US Equity","BS_PENSION_RSRV","FQ3 2019","FQ3 2019","Currency=USD","Period=FQ","BEST_FPERIOD_OVERRIDE=FQ","FILING_STATUS=MR","SCALING_FORMAT=MLN","Sort=A","Dates=H","DateFormat=P","Fill=—","Direction=H","UseDPDF=Y")</f>
        <v>4140</v>
      </c>
      <c r="J87" s="17">
        <f>_xll.BDH("LUMN US Equity","BS_PENSION_RSRV","FQ4 2019","FQ4 2019","Currency=USD","Period=FQ","BEST_FPERIOD_OVERRIDE=FQ","FILING_STATUS=MR","SCALING_FORMAT=MLN","Sort=A","Dates=H","DateFormat=P","Fill=—","Direction=H","UseDPDF=Y")</f>
        <v>4594</v>
      </c>
      <c r="K87" s="17">
        <f>_xll.BDH("LUMN US Equity","BS_PENSION_RSRV","FQ1 2020","FQ1 2020","Currency=USD","Period=FQ","BEST_FPERIOD_OVERRIDE=FQ","FILING_STATUS=MR","SCALING_FORMAT=MLN","Sort=A","Dates=H","DateFormat=P","Fill=—","Direction=H","UseDPDF=Y")</f>
        <v>4516</v>
      </c>
      <c r="L87" s="17">
        <f>_xll.BDH("LUMN US Equity","BS_PENSION_RSRV","FQ2 2020","FQ2 2020","Currency=USD","Period=FQ","BEST_FPERIOD_OVERRIDE=FQ","FILING_STATUS=MR","SCALING_FORMAT=MLN","Sort=A","Dates=H","DateFormat=P","Fill=—","Direction=H","UseDPDF=Y")</f>
        <v>4428</v>
      </c>
    </row>
    <row r="88" spans="1:12" x14ac:dyDescent="0.25">
      <c r="A88" s="16" t="s">
        <v>188</v>
      </c>
      <c r="B88" s="16" t="s">
        <v>187</v>
      </c>
      <c r="C88" s="17" t="str">
        <f>_xll.BDH("LUMN US Equity","BS_FUTURE_MIN_OPER_LEASE_OBLIG","FQ1 2018","FQ1 2018","Currency=USD","Period=FQ","BEST_FPERIOD_OVERRIDE=FQ","FILING_STATUS=MR","SCALING_FORMAT=MLN","Sort=A","Dates=H","DateFormat=P","Fill=—","Direction=H","UseDPDF=Y")</f>
        <v>—</v>
      </c>
      <c r="D88" s="17" t="str">
        <f>_xll.BDH("LUMN US Equity","BS_FUTURE_MIN_OPER_LEASE_OBLIG","FQ2 2018","FQ2 2018","Currency=USD","Period=FQ","BEST_FPERIOD_OVERRIDE=FQ","FILING_STATUS=MR","SCALING_FORMAT=MLN","Sort=A","Dates=H","DateFormat=P","Fill=—","Direction=H","UseDPDF=Y")</f>
        <v>—</v>
      </c>
      <c r="E88" s="17" t="str">
        <f>_xll.BDH("LUMN US Equity","BS_FUTURE_MIN_OPER_LEASE_OBLIG","FQ3 2018","FQ3 2018","Currency=USD","Period=FQ","BEST_FPERIOD_OVERRIDE=FQ","FILING_STATUS=MR","SCALING_FORMAT=MLN","Sort=A","Dates=H","DateFormat=P","Fill=—","Direction=H","UseDPDF=Y")</f>
        <v>—</v>
      </c>
      <c r="F88" s="17">
        <f>_xll.BDH("LUMN US Equity","BS_FUTURE_MIN_OPER_LEASE_OBLIG","FQ4 2018","FQ4 2018","Currency=USD","Period=FQ","BEST_FPERIOD_OVERRIDE=FQ","FILING_STATUS=MR","SCALING_FORMAT=MLN","Sort=A","Dates=H","DateFormat=P","Fill=—","Direction=H","UseDPDF=Y")</f>
        <v>2861</v>
      </c>
      <c r="G88" s="17">
        <f>_xll.BDH("LUMN US Equity","BS_FUTURE_MIN_OPER_LEASE_OBLIG","FQ1 2019","FQ1 2019","Currency=USD","Period=FQ","BEST_FPERIOD_OVERRIDE=FQ","FILING_STATUS=MR","SCALING_FORMAT=MLN","Sort=A","Dates=H","DateFormat=P","Fill=—","Direction=H","UseDPDF=Y")</f>
        <v>2745</v>
      </c>
      <c r="H88" s="17">
        <f>_xll.BDH("LUMN US Equity","BS_FUTURE_MIN_OPER_LEASE_OBLIG","FQ2 2019","FQ2 2019","Currency=USD","Period=FQ","BEST_FPERIOD_OVERRIDE=FQ","FILING_STATUS=MR","SCALING_FORMAT=MLN","Sort=A","Dates=H","DateFormat=P","Fill=—","Direction=H","UseDPDF=Y")</f>
        <v>2599</v>
      </c>
      <c r="I88" s="17">
        <f>_xll.BDH("LUMN US Equity","BS_FUTURE_MIN_OPER_LEASE_OBLIG","FQ3 2019","FQ3 2019","Currency=USD","Period=FQ","BEST_FPERIOD_OVERRIDE=FQ","FILING_STATUS=MR","SCALING_FORMAT=MLN","Sort=A","Dates=H","DateFormat=P","Fill=—","Direction=H","UseDPDF=Y")</f>
        <v>2515</v>
      </c>
      <c r="J88" s="17">
        <f>_xll.BDH("LUMN US Equity","BS_FUTURE_MIN_OPER_LEASE_OBLIG","FQ4 2019","FQ4 2019","Currency=USD","Period=FQ","BEST_FPERIOD_OVERRIDE=FQ","FILING_STATUS=MR","SCALING_FORMAT=MLN","Sort=A","Dates=H","DateFormat=P","Fill=—","Direction=H","UseDPDF=Y")</f>
        <v>2274</v>
      </c>
      <c r="K88" s="17" t="str">
        <f>_xll.BDH("LUMN US Equity","BS_FUTURE_MIN_OPER_LEASE_OBLIG","FQ1 2020","FQ1 2020","Currency=USD","Period=FQ","BEST_FPERIOD_OVERRIDE=FQ","FILING_STATUS=MR","SCALING_FORMAT=MLN","Sort=A","Dates=H","DateFormat=P","Fill=—","Direction=H","UseDPDF=Y")</f>
        <v>—</v>
      </c>
      <c r="L88" s="17" t="str">
        <f>_xll.BDH("LUMN US Equity","BS_FUTURE_MIN_OPER_LEASE_OBLIG","FQ2 2020","FQ2 2020","Currency=USD","Period=FQ","BEST_FPERIOD_OVERRIDE=FQ","FILING_STATUS=MR","SCALING_FORMAT=MLN","Sort=A","Dates=H","DateFormat=P","Fill=—","Direction=H","UseDPDF=Y")</f>
        <v>—</v>
      </c>
    </row>
    <row r="89" spans="1:12" x14ac:dyDescent="0.25">
      <c r="A89" s="16" t="s">
        <v>186</v>
      </c>
      <c r="B89" s="16" t="s">
        <v>185</v>
      </c>
      <c r="C89" s="17" t="str">
        <f>_xll.BDH("LUMN US Equity","BS_TOTAL_CAPITAL_LEASES","FQ1 2018","FQ1 2018","Currency=USD","Period=FQ","BEST_FPERIOD_OVERRIDE=FQ","FILING_STATUS=MR","SCALING_FORMAT=MLN","Sort=A","Dates=H","DateFormat=P","Fill=—","Direction=H","UseDPDF=Y")</f>
        <v>—</v>
      </c>
      <c r="D89" s="17" t="str">
        <f>_xll.BDH("LUMN US Equity","BS_TOTAL_CAPITAL_LEASES","FQ2 2018","FQ2 2018","Currency=USD","Period=FQ","BEST_FPERIOD_OVERRIDE=FQ","FILING_STATUS=MR","SCALING_FORMAT=MLN","Sort=A","Dates=H","DateFormat=P","Fill=—","Direction=H","UseDPDF=Y")</f>
        <v>—</v>
      </c>
      <c r="E89" s="17" t="str">
        <f>_xll.BDH("LUMN US Equity","BS_TOTAL_CAPITAL_LEASES","FQ3 2018","FQ3 2018","Currency=USD","Period=FQ","BEST_FPERIOD_OVERRIDE=FQ","FILING_STATUS=MR","SCALING_FORMAT=MLN","Sort=A","Dates=H","DateFormat=P","Fill=—","Direction=H","UseDPDF=Y")</f>
        <v>—</v>
      </c>
      <c r="F89" s="17">
        <f>_xll.BDH("LUMN US Equity","BS_TOTAL_CAPITAL_LEASES","FQ4 2018","FQ4 2018","Currency=USD","Period=FQ","BEST_FPERIOD_OVERRIDE=FQ","FILING_STATUS=MR","SCALING_FORMAT=MLN","Sort=A","Dates=H","DateFormat=P","Fill=—","Direction=H","UseDPDF=Y")</f>
        <v>234</v>
      </c>
      <c r="G89" s="17">
        <f>_xll.BDH("LUMN US Equity","BS_TOTAL_CAPITAL_LEASES","FQ1 2019","FQ1 2019","Currency=USD","Period=FQ","BEST_FPERIOD_OVERRIDE=FQ","FILING_STATUS=MR","SCALING_FORMAT=MLN","Sort=A","Dates=H","DateFormat=P","Fill=—","Direction=H","UseDPDF=Y")</f>
        <v>226</v>
      </c>
      <c r="H89" s="17">
        <f>_xll.BDH("LUMN US Equity","BS_TOTAL_CAPITAL_LEASES","FQ2 2019","FQ2 2019","Currency=USD","Period=FQ","BEST_FPERIOD_OVERRIDE=FQ","FILING_STATUS=MR","SCALING_FORMAT=MLN","Sort=A","Dates=H","DateFormat=P","Fill=—","Direction=H","UseDPDF=Y")</f>
        <v>220</v>
      </c>
      <c r="I89" s="17">
        <f>_xll.BDH("LUMN US Equity","BS_TOTAL_CAPITAL_LEASES","FQ3 2019","FQ3 2019","Currency=USD","Period=FQ","BEST_FPERIOD_OVERRIDE=FQ","FILING_STATUS=MR","SCALING_FORMAT=MLN","Sort=A","Dates=H","DateFormat=P","Fill=—","Direction=H","UseDPDF=Y")</f>
        <v>212</v>
      </c>
      <c r="J89" s="17">
        <f>_xll.BDH("LUMN US Equity","BS_TOTAL_CAPITAL_LEASES","FQ4 2019","FQ4 2019","Currency=USD","Period=FQ","BEST_FPERIOD_OVERRIDE=FQ","FILING_STATUS=MR","SCALING_FORMAT=MLN","Sort=A","Dates=H","DateFormat=P","Fill=—","Direction=H","UseDPDF=Y")</f>
        <v>220</v>
      </c>
      <c r="K89" s="17" t="str">
        <f>_xll.BDH("LUMN US Equity","BS_TOTAL_CAPITAL_LEASES","FQ1 2020","FQ1 2020","Currency=USD","Period=FQ","BEST_FPERIOD_OVERRIDE=FQ","FILING_STATUS=MR","SCALING_FORMAT=MLN","Sort=A","Dates=H","DateFormat=P","Fill=—","Direction=H","UseDPDF=Y")</f>
        <v>—</v>
      </c>
      <c r="L89" s="17" t="str">
        <f>_xll.BDH("LUMN US Equity","BS_TOTAL_CAPITAL_LEASES","FQ2 2020","FQ2 2020","Currency=USD","Period=FQ","BEST_FPERIOD_OVERRIDE=FQ","FILING_STATUS=MR","SCALING_FORMAT=MLN","Sort=A","Dates=H","DateFormat=P","Fill=—","Direction=H","UseDPDF=Y")</f>
        <v>—</v>
      </c>
    </row>
    <row r="90" spans="1:12" x14ac:dyDescent="0.25">
      <c r="A90" s="16" t="s">
        <v>184</v>
      </c>
      <c r="B90" s="16" t="s">
        <v>183</v>
      </c>
      <c r="C90" s="17" t="str">
        <f>_xll.BDH("LUMN US Equity","BS_OPTIONS_OUTSTANDING","FQ1 2018","FQ1 2018","Currency=USD","Period=FQ","BEST_FPERIOD_OVERRIDE=FQ","FILING_STATUS=MR","Sort=A","Dates=H","DateFormat=P","Fill=—","Direction=H","UseDPDF=Y")</f>
        <v>—</v>
      </c>
      <c r="D90" s="17" t="str">
        <f>_xll.BDH("LUMN US Equity","BS_OPTIONS_OUTSTANDING","FQ2 2018","FQ2 2018","Currency=USD","Period=FQ","BEST_FPERIOD_OVERRIDE=FQ","FILING_STATUS=MR","Sort=A","Dates=H","DateFormat=P","Fill=—","Direction=H","UseDPDF=Y")</f>
        <v>—</v>
      </c>
      <c r="E90" s="17" t="str">
        <f>_xll.BDH("LUMN US Equity","BS_OPTIONS_OUTSTANDING","FQ3 2018","FQ3 2018","Currency=USD","Period=FQ","BEST_FPERIOD_OVERRIDE=FQ","FILING_STATUS=MR","Sort=A","Dates=H","DateFormat=P","Fill=—","Direction=H","UseDPDF=Y")</f>
        <v>—</v>
      </c>
      <c r="F90" s="17">
        <f>_xll.BDH("LUMN US Equity","BS_OPTIONS_OUTSTANDING","FQ4 2018","FQ4 2018","Currency=USD","Period=FQ","BEST_FPERIOD_OVERRIDE=FQ","FILING_STATUS=MR","Sort=A","Dates=H","DateFormat=P","Fill=—","Direction=H","UseDPDF=Y")</f>
        <v>0.54300000000000004</v>
      </c>
      <c r="G90" s="17" t="str">
        <f>_xll.BDH("LUMN US Equity","BS_OPTIONS_OUTSTANDING","FQ1 2019","FQ1 2019","Currency=USD","Period=FQ","BEST_FPERIOD_OVERRIDE=FQ","FILING_STATUS=MR","Sort=A","Dates=H","DateFormat=P","Fill=—","Direction=H","UseDPDF=Y")</f>
        <v>—</v>
      </c>
      <c r="H90" s="17" t="str">
        <f>_xll.BDH("LUMN US Equity","BS_OPTIONS_OUTSTANDING","FQ2 2019","FQ2 2019","Currency=USD","Period=FQ","BEST_FPERIOD_OVERRIDE=FQ","FILING_STATUS=MR","Sort=A","Dates=H","DateFormat=P","Fill=—","Direction=H","UseDPDF=Y")</f>
        <v>—</v>
      </c>
      <c r="I90" s="17" t="str">
        <f>_xll.BDH("LUMN US Equity","BS_OPTIONS_OUTSTANDING","FQ3 2019","FQ3 2019","Currency=USD","Period=FQ","BEST_FPERIOD_OVERRIDE=FQ","FILING_STATUS=MR","Sort=A","Dates=H","DateFormat=P","Fill=—","Direction=H","UseDPDF=Y")</f>
        <v>—</v>
      </c>
      <c r="J90" s="17">
        <f>_xll.BDH("LUMN US Equity","BS_OPTIONS_OUTSTANDING","FQ4 2019","FQ4 2019","Currency=USD","Period=FQ","BEST_FPERIOD_OVERRIDE=FQ","FILING_STATUS=MR","Sort=A","Dates=H","DateFormat=P","Fill=—","Direction=H","UseDPDF=Y")</f>
        <v>0.46899999999999997</v>
      </c>
      <c r="K90" s="17" t="str">
        <f>_xll.BDH("LUMN US Equity","BS_OPTIONS_OUTSTANDING","FQ1 2020","FQ1 2020","Currency=USD","Period=FQ","BEST_FPERIOD_OVERRIDE=FQ","FILING_STATUS=MR","Sort=A","Dates=H","DateFormat=P","Fill=—","Direction=H","UseDPDF=Y")</f>
        <v>—</v>
      </c>
      <c r="L90" s="17" t="str">
        <f>_xll.BDH("LUMN US Equity","BS_OPTIONS_OUTSTANDING","FQ2 2020","FQ2 2020","Currency=USD","Period=FQ","BEST_FPERIOD_OVERRIDE=FQ","FILING_STATUS=MR","Sort=A","Dates=H","DateFormat=P","Fill=—","Direction=H","UseDPDF=Y")</f>
        <v>—</v>
      </c>
    </row>
    <row r="91" spans="1:12" x14ac:dyDescent="0.25">
      <c r="A91" s="16" t="s">
        <v>182</v>
      </c>
      <c r="B91" s="16" t="s">
        <v>181</v>
      </c>
      <c r="C91" s="17">
        <f>_xll.BDH("LUMN US Equity","NET_DEBT","FQ1 2018","FQ1 2018","Currency=USD","Period=FQ","BEST_FPERIOD_OVERRIDE=FQ","FILING_STATUS=MR","SCALING_FORMAT=MLN","Sort=A","Dates=H","DateFormat=P","Fill=—","Direction=H","UseDPDF=Y")</f>
        <v>36876</v>
      </c>
      <c r="D91" s="17">
        <f>_xll.BDH("LUMN US Equity","NET_DEBT","FQ2 2018","FQ2 2018","Currency=USD","Period=FQ","BEST_FPERIOD_OVERRIDE=FQ","FILING_STATUS=MR","SCALING_FORMAT=MLN","Sort=A","Dates=H","DateFormat=P","Fill=—","Direction=H","UseDPDF=Y")</f>
        <v>36615</v>
      </c>
      <c r="E91" s="17">
        <f>_xll.BDH("LUMN US Equity","NET_DEBT","FQ3 2018","FQ3 2018","Currency=USD","Period=FQ","BEST_FPERIOD_OVERRIDE=FQ","FILING_STATUS=MR","SCALING_FORMAT=MLN","Sort=A","Dates=H","DateFormat=P","Fill=—","Direction=H","UseDPDF=Y")</f>
        <v>36137</v>
      </c>
      <c r="F91" s="17">
        <f>_xll.BDH("LUMN US Equity","NET_DEBT","FQ4 2018","FQ4 2018","Currency=USD","Period=FQ","BEST_FPERIOD_OVERRIDE=FQ","FILING_STATUS=MR","SCALING_FORMAT=MLN","Sort=A","Dates=H","DateFormat=P","Fill=—","Direction=H","UseDPDF=Y")</f>
        <v>35573</v>
      </c>
      <c r="G91" s="17">
        <f>_xll.BDH("LUMN US Equity","NET_DEBT","FQ1 2019","FQ1 2019","Currency=USD","Period=FQ","BEST_FPERIOD_OVERRIDE=FQ","FILING_STATUS=MR","SCALING_FORMAT=MLN","Sort=A","Dates=H","DateFormat=P","Fill=—","Direction=H","UseDPDF=Y")</f>
        <v>37111</v>
      </c>
      <c r="H91" s="17">
        <f>_xll.BDH("LUMN US Equity","NET_DEBT","FQ2 2019","FQ2 2019","Currency=USD","Period=FQ","BEST_FPERIOD_OVERRIDE=FQ","FILING_STATUS=MR","SCALING_FORMAT=MLN","Sort=A","Dates=H","DateFormat=P","Fill=—","Direction=H","UseDPDF=Y")</f>
        <v>36333</v>
      </c>
      <c r="I91" s="17">
        <f>_xll.BDH("LUMN US Equity","NET_DEBT","FQ3 2019","FQ3 2019","Currency=USD","Period=FQ","BEST_FPERIOD_OVERRIDE=FQ","FILING_STATUS=MR","SCALING_FORMAT=MLN","Sort=A","Dates=H","DateFormat=P","Fill=—","Direction=H","UseDPDF=Y")</f>
        <v>35491</v>
      </c>
      <c r="J91" s="17">
        <f>_xll.BDH("LUMN US Equity","NET_DEBT","FQ4 2019","FQ4 2019","Currency=USD","Period=FQ","BEST_FPERIOD_OVERRIDE=FQ","FILING_STATUS=MR","SCALING_FORMAT=MLN","Sort=A","Dates=H","DateFormat=P","Fill=—","Direction=H","UseDPDF=Y")</f>
        <v>34762</v>
      </c>
      <c r="K91" s="17">
        <f>_xll.BDH("LUMN US Equity","NET_DEBT","FQ1 2020","FQ1 2020","Currency=USD","Period=FQ","BEST_FPERIOD_OVERRIDE=FQ","FILING_STATUS=MR","SCALING_FORMAT=MLN","Sort=A","Dates=H","DateFormat=P","Fill=—","Direction=H","UseDPDF=Y")</f>
        <v>34778</v>
      </c>
      <c r="L91" s="17">
        <f>_xll.BDH("LUMN US Equity","NET_DEBT","FQ2 2020","FQ2 2020","Currency=USD","Period=FQ","BEST_FPERIOD_OVERRIDE=FQ","FILING_STATUS=MR","SCALING_FORMAT=MLN","Sort=A","Dates=H","DateFormat=P","Fill=—","Direction=H","UseDPDF=Y")</f>
        <v>33010</v>
      </c>
    </row>
    <row r="92" spans="1:12" x14ac:dyDescent="0.25">
      <c r="A92" s="16" t="s">
        <v>180</v>
      </c>
      <c r="B92" s="16" t="s">
        <v>179</v>
      </c>
      <c r="C92" s="15">
        <f>_xll.BDH("LUMN US Equity","NET_DEBT_TO_SHRHLDR_EQTY","FQ1 2018","FQ1 2018","Currency=USD","Period=FQ","BEST_FPERIOD_OVERRIDE=FQ","FILING_STATUS=MR","Sort=A","Dates=H","DateFormat=P","Fill=—","Direction=H","UseDPDF=Y")</f>
        <v>157.30070000000001</v>
      </c>
      <c r="D92" s="15">
        <f>_xll.BDH("LUMN US Equity","NET_DEBT_TO_SHRHLDR_EQTY","FQ2 2018","FQ2 2018","Currency=USD","Period=FQ","BEST_FPERIOD_OVERRIDE=FQ","FILING_STATUS=MR","Sort=A","Dates=H","DateFormat=P","Fill=—","Direction=H","UseDPDF=Y")</f>
        <v>159.27180000000001</v>
      </c>
      <c r="E92" s="15">
        <f>_xll.BDH("LUMN US Equity","NET_DEBT_TO_SHRHLDR_EQTY","FQ3 2018","FQ3 2018","Currency=USD","Period=FQ","BEST_FPERIOD_OVERRIDE=FQ","FILING_STATUS=MR","Sort=A","Dates=H","DateFormat=P","Fill=—","Direction=H","UseDPDF=Y")</f>
        <v>158.47479999999999</v>
      </c>
      <c r="F92" s="15">
        <f>_xll.BDH("LUMN US Equity","NET_DEBT_TO_SHRHLDR_EQTY","FQ4 2018","FQ4 2018","Currency=USD","Period=FQ","BEST_FPERIOD_OVERRIDE=FQ","FILING_STATUS=MR","Sort=A","Dates=H","DateFormat=P","Fill=—","Direction=H","UseDPDF=Y")</f>
        <v>179.40790000000001</v>
      </c>
      <c r="G92" s="15">
        <f>_xll.BDH("LUMN US Equity","NET_DEBT_TO_SHRHLDR_EQTY","FQ1 2019","FQ1 2019","Currency=USD","Period=FQ","BEST_FPERIOD_OVERRIDE=FQ","FILING_STATUS=MR","Sort=A","Dates=H","DateFormat=P","Fill=—","Direction=H","UseDPDF=Y")</f>
        <v>274.02350000000001</v>
      </c>
      <c r="H92" s="15">
        <f>_xll.BDH("LUMN US Equity","NET_DEBT_TO_SHRHLDR_EQTY","FQ2 2019","FQ2 2019","Currency=USD","Period=FQ","BEST_FPERIOD_OVERRIDE=FQ","FILING_STATUS=MR","Sort=A","Dates=H","DateFormat=P","Fill=—","Direction=H","UseDPDF=Y")</f>
        <v>265.35930000000002</v>
      </c>
      <c r="I92" s="15">
        <f>_xll.BDH("LUMN US Equity","NET_DEBT_TO_SHRHLDR_EQTY","FQ3 2019","FQ3 2019","Currency=USD","Period=FQ","BEST_FPERIOD_OVERRIDE=FQ","FILING_STATUS=MR","Sort=A","Dates=H","DateFormat=P","Fill=—","Direction=H","UseDPDF=Y")</f>
        <v>259.55099999999999</v>
      </c>
      <c r="J92" s="15">
        <f>_xll.BDH("LUMN US Equity","NET_DEBT_TO_SHRHLDR_EQTY","FQ4 2019","FQ4 2019","Currency=USD","Period=FQ","BEST_FPERIOD_OVERRIDE=FQ","FILING_STATUS=MR","Sort=A","Dates=H","DateFormat=P","Fill=—","Direction=H","UseDPDF=Y")</f>
        <v>258.06979999999999</v>
      </c>
      <c r="K92" s="15">
        <f>_xll.BDH("LUMN US Equity","NET_DEBT_TO_SHRHLDR_EQTY","FQ1 2020","FQ1 2020","Currency=USD","Period=FQ","BEST_FPERIOD_OVERRIDE=FQ","FILING_STATUS=MR","Sort=A","Dates=H","DateFormat=P","Fill=—","Direction=H","UseDPDF=Y")</f>
        <v>261.66579999999999</v>
      </c>
      <c r="L92" s="15">
        <f>_xll.BDH("LUMN US Equity","NET_DEBT_TO_SHRHLDR_EQTY","FQ2 2020","FQ2 2020","Currency=USD","Period=FQ","BEST_FPERIOD_OVERRIDE=FQ","FILING_STATUS=MR","Sort=A","Dates=H","DateFormat=P","Fill=—","Direction=H","UseDPDF=Y")</f>
        <v>245.20869999999999</v>
      </c>
    </row>
    <row r="93" spans="1:12" x14ac:dyDescent="0.25">
      <c r="A93" s="16" t="s">
        <v>178</v>
      </c>
      <c r="B93" s="16" t="s">
        <v>177</v>
      </c>
      <c r="C93" s="15">
        <f>_xll.BDH("LUMN US Equity","TCE_RATIO","FQ1 2018","FQ1 2018","Currency=USD","Period=FQ","BEST_FPERIOD_OVERRIDE=FQ","FILING_STATUS=MR","Sort=A","Dates=H","DateFormat=P","Fill=—","Direction=H","UseDPDF=Y")</f>
        <v>-60.033700000000003</v>
      </c>
      <c r="D93" s="15">
        <f>_xll.BDH("LUMN US Equity","TCE_RATIO","FQ2 2018","FQ2 2018","Currency=USD","Period=FQ","BEST_FPERIOD_OVERRIDE=FQ","FILING_STATUS=MR","Sort=A","Dates=H","DateFormat=P","Fill=—","Direction=H","UseDPDF=Y")</f>
        <v>-60.015599999999999</v>
      </c>
      <c r="E93" s="15">
        <f>_xll.BDH("LUMN US Equity","TCE_RATIO","FQ3 2018","FQ3 2018","Currency=USD","Period=FQ","BEST_FPERIOD_OVERRIDE=FQ","FILING_STATUS=MR","Sort=A","Dates=H","DateFormat=P","Fill=—","Direction=H","UseDPDF=Y")</f>
        <v>-60.865299999999998</v>
      </c>
      <c r="F93" s="15">
        <f>_xll.BDH("LUMN US Equity","TCE_RATIO","FQ4 2018","FQ4 2018","Currency=USD","Period=FQ","BEST_FPERIOD_OVERRIDE=FQ","FILING_STATUS=MR","Sort=A","Dates=H","DateFormat=P","Fill=—","Direction=H","UseDPDF=Y")</f>
        <v>-60.363799999999998</v>
      </c>
      <c r="G93" s="15">
        <f>_xll.BDH("LUMN US Equity","TCE_RATIO","FQ1 2019","FQ1 2019","Currency=USD","Period=FQ","BEST_FPERIOD_OVERRIDE=FQ","FILING_STATUS=MR","Sort=A","Dates=H","DateFormat=P","Fill=—","Direction=H","UseDPDF=Y")</f>
        <v>-56.459000000000003</v>
      </c>
      <c r="H93" s="15">
        <f>_xll.BDH("LUMN US Equity","TCE_RATIO","FQ2 2019","FQ2 2019","Currency=USD","Period=FQ","BEST_FPERIOD_OVERRIDE=FQ","FILING_STATUS=MR","Sort=A","Dates=H","DateFormat=P","Fill=—","Direction=H","UseDPDF=Y")</f>
        <v>-55.049700000000001</v>
      </c>
      <c r="I93" s="15">
        <f>_xll.BDH("LUMN US Equity","TCE_RATIO","FQ3 2019","FQ3 2019","Currency=USD","Period=FQ","BEST_FPERIOD_OVERRIDE=FQ","FILING_STATUS=MR","Sort=A","Dates=H","DateFormat=P","Fill=—","Direction=H","UseDPDF=Y")</f>
        <v>-53.122199999999999</v>
      </c>
      <c r="J93" s="15">
        <f>_xll.BDH("LUMN US Equity","TCE_RATIO","FQ4 2019","FQ4 2019","Currency=USD","Period=FQ","BEST_FPERIOD_OVERRIDE=FQ","FILING_STATUS=MR","Sort=A","Dates=H","DateFormat=P","Fill=—","Direction=H","UseDPDF=Y")</f>
        <v>-52.409300000000002</v>
      </c>
      <c r="K93" s="15">
        <f>_xll.BDH("LUMN US Equity","TCE_RATIO","FQ1 2020","FQ1 2020","Currency=USD","Period=FQ","BEST_FPERIOD_OVERRIDE=FQ","FILING_STATUS=MR","Sort=A","Dates=H","DateFormat=P","Fill=—","Direction=H","UseDPDF=Y")</f>
        <v>-52.186900000000001</v>
      </c>
      <c r="L93" s="15">
        <f>_xll.BDH("LUMN US Equity","TCE_RATIO","FQ2 2020","FQ2 2020","Currency=USD","Period=FQ","BEST_FPERIOD_OVERRIDE=FQ","FILING_STATUS=MR","Sort=A","Dates=H","DateFormat=P","Fill=—","Direction=H","UseDPDF=Y")</f>
        <v>-50.031100000000002</v>
      </c>
    </row>
    <row r="94" spans="1:12" x14ac:dyDescent="0.25">
      <c r="A94" s="16" t="s">
        <v>176</v>
      </c>
      <c r="B94" s="16" t="s">
        <v>175</v>
      </c>
      <c r="C94" s="15">
        <f>_xll.BDH("LUMN US Equity","CUR_RATIO","FQ1 2018","FQ1 2018","Currency=USD","Period=FQ","BEST_FPERIOD_OVERRIDE=FQ","FILING_STATUS=MR","Sort=A","Dates=H","DateFormat=P","Fill=—","Direction=H","UseDPDF=Y")</f>
        <v>0.87749999999999995</v>
      </c>
      <c r="D94" s="15">
        <f>_xll.BDH("LUMN US Equity","CUR_RATIO","FQ2 2018","FQ2 2018","Currency=USD","Period=FQ","BEST_FPERIOD_OVERRIDE=FQ","FILING_STATUS=MR","Sort=A","Dates=H","DateFormat=P","Fill=—","Direction=H","UseDPDF=Y")</f>
        <v>0.98450000000000004</v>
      </c>
      <c r="E94" s="15">
        <f>_xll.BDH("LUMN US Equity","CUR_RATIO","FQ3 2018","FQ3 2018","Currency=USD","Period=FQ","BEST_FPERIOD_OVERRIDE=FQ","FILING_STATUS=MR","Sort=A","Dates=H","DateFormat=P","Fill=—","Direction=H","UseDPDF=Y")</f>
        <v>0.77829999999999999</v>
      </c>
      <c r="F94" s="15">
        <f>_xll.BDH("LUMN US Equity","CUR_RATIO","FQ4 2018","FQ4 2018","Currency=USD","Period=FQ","BEST_FPERIOD_OVERRIDE=FQ","FILING_STATUS=MR","Sort=A","Dates=H","DateFormat=P","Fill=—","Direction=H","UseDPDF=Y")</f>
        <v>0.69069999999999998</v>
      </c>
      <c r="G94" s="15">
        <f>_xll.BDH("LUMN US Equity","CUR_RATIO","FQ1 2019","FQ1 2019","Currency=USD","Period=FQ","BEST_FPERIOD_OVERRIDE=FQ","FILING_STATUS=MR","Sort=A","Dates=H","DateFormat=P","Fill=—","Direction=H","UseDPDF=Y")</f>
        <v>0.71099999999999997</v>
      </c>
      <c r="H94" s="15">
        <f>_xll.BDH("LUMN US Equity","CUR_RATIO","FQ2 2019","FQ2 2019","Currency=USD","Period=FQ","BEST_FPERIOD_OVERRIDE=FQ","FILING_STATUS=MR","Sort=A","Dates=H","DateFormat=P","Fill=—","Direction=H","UseDPDF=Y")</f>
        <v>0.59709999999999996</v>
      </c>
      <c r="I94" s="15">
        <f>_xll.BDH("LUMN US Equity","CUR_RATIO","FQ3 2019","FQ3 2019","Currency=USD","Period=FQ","BEST_FPERIOD_OVERRIDE=FQ","FILING_STATUS=MR","Sort=A","Dates=H","DateFormat=P","Fill=—","Direction=H","UseDPDF=Y")</f>
        <v>0.69650000000000001</v>
      </c>
      <c r="J94" s="15">
        <f>_xll.BDH("LUMN US Equity","CUR_RATIO","FQ4 2019","FQ4 2019","Currency=USD","Period=FQ","BEST_FPERIOD_OVERRIDE=FQ","FILING_STATUS=MR","Sort=A","Dates=H","DateFormat=P","Fill=—","Direction=H","UseDPDF=Y")</f>
        <v>0.65690000000000004</v>
      </c>
      <c r="K94" s="15">
        <f>_xll.BDH("LUMN US Equity","CUR_RATIO","FQ1 2020","FQ1 2020","Currency=USD","Period=FQ","BEST_FPERIOD_OVERRIDE=FQ","FILING_STATUS=MR","Sort=A","Dates=H","DateFormat=P","Fill=—","Direction=H","UseDPDF=Y")</f>
        <v>0.82240000000000002</v>
      </c>
      <c r="L94" s="15">
        <f>_xll.BDH("LUMN US Equity","CUR_RATIO","FQ2 2020","FQ2 2020","Currency=USD","Period=FQ","BEST_FPERIOD_OVERRIDE=FQ","FILING_STATUS=MR","Sort=A","Dates=H","DateFormat=P","Fill=—","Direction=H","UseDPDF=Y")</f>
        <v>0.6502</v>
      </c>
    </row>
    <row r="95" spans="1:12" x14ac:dyDescent="0.25">
      <c r="A95" s="16" t="s">
        <v>174</v>
      </c>
      <c r="B95" s="16" t="s">
        <v>173</v>
      </c>
      <c r="C95" s="17">
        <f>_xll.BDH("LUMN US Equity","BS_CASH_HELD_OVERSEAS","FQ1 2018","FQ1 2018","Currency=USD","Period=FQ","BEST_FPERIOD_OVERRIDE=FQ","FILING_STATUS=MR","SCALING_FORMAT=MLN","Sort=A","Dates=H","DateFormat=P","Fill=—","Direction=H","UseDPDF=Y")</f>
        <v>314</v>
      </c>
      <c r="D95" s="17">
        <f>_xll.BDH("LUMN US Equity","BS_CASH_HELD_OVERSEAS","FQ2 2018","FQ2 2018","Currency=USD","Period=FQ","BEST_FPERIOD_OVERRIDE=FQ","FILING_STATUS=MR","SCALING_FORMAT=MLN","Sort=A","Dates=H","DateFormat=P","Fill=—","Direction=H","UseDPDF=Y")</f>
        <v>126</v>
      </c>
      <c r="E95" s="17">
        <f>_xll.BDH("LUMN US Equity","BS_CASH_HELD_OVERSEAS","FQ3 2018","FQ3 2018","Currency=USD","Period=FQ","BEST_FPERIOD_OVERRIDE=FQ","FILING_STATUS=MR","SCALING_FORMAT=MLN","Sort=A","Dates=H","DateFormat=P","Fill=—","Direction=H","UseDPDF=Y")</f>
        <v>120</v>
      </c>
      <c r="F95" s="17">
        <f>_xll.BDH("LUMN US Equity","BS_CASH_HELD_OVERSEAS","FQ4 2018","FQ4 2018","Currency=USD","Period=FQ","BEST_FPERIOD_OVERRIDE=FQ","FILING_STATUS=MR","SCALING_FORMAT=MLN","Sort=A","Dates=H","DateFormat=P","Fill=—","Direction=H","UseDPDF=Y")</f>
        <v>108</v>
      </c>
      <c r="G95" s="17">
        <f>_xll.BDH("LUMN US Equity","BS_CASH_HELD_OVERSEAS","FQ1 2019","FQ1 2019","Currency=USD","Period=FQ","BEST_FPERIOD_OVERRIDE=FQ","FILING_STATUS=MR","SCALING_FORMAT=MLN","Sort=A","Dates=H","DateFormat=P","Fill=—","Direction=H","UseDPDF=Y")</f>
        <v>96</v>
      </c>
      <c r="H95" s="17">
        <f>_xll.BDH("LUMN US Equity","BS_CASH_HELD_OVERSEAS","FQ2 2019","FQ2 2019","Currency=USD","Period=FQ","BEST_FPERIOD_OVERRIDE=FQ","FILING_STATUS=MR","SCALING_FORMAT=MLN","Sort=A","Dates=H","DateFormat=P","Fill=—","Direction=H","UseDPDF=Y")</f>
        <v>85</v>
      </c>
      <c r="I95" s="17">
        <f>_xll.BDH("LUMN US Equity","BS_CASH_HELD_OVERSEAS","FQ3 2019","FQ3 2019","Currency=USD","Period=FQ","BEST_FPERIOD_OVERRIDE=FQ","FILING_STATUS=MR","SCALING_FORMAT=MLN","Sort=A","Dates=H","DateFormat=P","Fill=—","Direction=H","UseDPDF=Y")</f>
        <v>73</v>
      </c>
      <c r="J95" s="17">
        <f>_xll.BDH("LUMN US Equity","BS_CASH_HELD_OVERSEAS","FQ4 2019","FQ4 2019","Currency=USD","Period=FQ","BEST_FPERIOD_OVERRIDE=FQ","FILING_STATUS=MR","SCALING_FORMAT=MLN","Sort=A","Dates=H","DateFormat=P","Fill=—","Direction=H","UseDPDF=Y")</f>
        <v>108</v>
      </c>
      <c r="K95" s="17">
        <f>_xll.BDH("LUMN US Equity","BS_CASH_HELD_OVERSEAS","FQ1 2020","FQ1 2020","Currency=USD","Period=FQ","BEST_FPERIOD_OVERRIDE=FQ","FILING_STATUS=MR","SCALING_FORMAT=MLN","Sort=A","Dates=H","DateFormat=P","Fill=—","Direction=H","UseDPDF=Y")</f>
        <v>69</v>
      </c>
      <c r="L95" s="17">
        <f>_xll.BDH("LUMN US Equity","BS_CASH_HELD_OVERSEAS","FQ2 2020","FQ2 2020","Currency=USD","Period=FQ","BEST_FPERIOD_OVERRIDE=FQ","FILING_STATUS=MR","SCALING_FORMAT=MLN","Sort=A","Dates=H","DateFormat=P","Fill=—","Direction=H","UseDPDF=Y")</f>
        <v>121</v>
      </c>
    </row>
    <row r="96" spans="1:12" x14ac:dyDescent="0.25">
      <c r="A96" s="16" t="s">
        <v>172</v>
      </c>
      <c r="B96" s="16" t="s">
        <v>171</v>
      </c>
      <c r="C96" s="15" t="str">
        <f>_xll.BDH("LUMN US Equity","NUM_OF_EMPLOYEES","FQ1 2018","FQ1 2018","Currency=USD","Period=FQ","BEST_FPERIOD_OVERRIDE=FQ","FILING_STATUS=MR","Sort=A","Dates=H","DateFormat=P","Fill=—","Direction=H","UseDPDF=Y")</f>
        <v>—</v>
      </c>
      <c r="D96" s="15">
        <f>_xll.BDH("LUMN US Equity","NUM_OF_EMPLOYEES","FQ2 2018","FQ2 2018","Currency=USD","Period=FQ","BEST_FPERIOD_OVERRIDE=FQ","FILING_STATUS=MR","Sort=A","Dates=H","DateFormat=P","Fill=—","Direction=H","UseDPDF=Y")</f>
        <v>43000</v>
      </c>
      <c r="E96" s="15" t="str">
        <f>_xll.BDH("LUMN US Equity","NUM_OF_EMPLOYEES","FQ3 2018","FQ3 2018","Currency=USD","Period=FQ","BEST_FPERIOD_OVERRIDE=FQ","FILING_STATUS=MR","Sort=A","Dates=H","DateFormat=P","Fill=—","Direction=H","UseDPDF=Y")</f>
        <v>—</v>
      </c>
      <c r="F96" s="15">
        <f>_xll.BDH("LUMN US Equity","NUM_OF_EMPLOYEES","FQ4 2018","FQ4 2018","Currency=USD","Period=FQ","BEST_FPERIOD_OVERRIDE=FQ","FILING_STATUS=MR","Sort=A","Dates=H","DateFormat=P","Fill=—","Direction=H","UseDPDF=Y")</f>
        <v>45000</v>
      </c>
      <c r="G96" s="15" t="str">
        <f>_xll.BDH("LUMN US Equity","NUM_OF_EMPLOYEES","FQ1 2019","FQ1 2019","Currency=USD","Period=FQ","BEST_FPERIOD_OVERRIDE=FQ","FILING_STATUS=MR","Sort=A","Dates=H","DateFormat=P","Fill=—","Direction=H","UseDPDF=Y")</f>
        <v>—</v>
      </c>
      <c r="H96" s="15">
        <f>_xll.BDH("LUMN US Equity","NUM_OF_EMPLOYEES","FQ2 2019","FQ2 2019","Currency=USD","Period=FQ","BEST_FPERIOD_OVERRIDE=FQ","FILING_STATUS=MR","Sort=A","Dates=H","DateFormat=P","Fill=—","Direction=H","UseDPDF=Y")</f>
        <v>43000</v>
      </c>
      <c r="I96" s="15" t="str">
        <f>_xll.BDH("LUMN US Equity","NUM_OF_EMPLOYEES","FQ3 2019","FQ3 2019","Currency=USD","Period=FQ","BEST_FPERIOD_OVERRIDE=FQ","FILING_STATUS=MR","Sort=A","Dates=H","DateFormat=P","Fill=—","Direction=H","UseDPDF=Y")</f>
        <v>—</v>
      </c>
      <c r="J96" s="15">
        <f>_xll.BDH("LUMN US Equity","NUM_OF_EMPLOYEES","FQ4 2019","FQ4 2019","Currency=USD","Period=FQ","BEST_FPERIOD_OVERRIDE=FQ","FILING_STATUS=MR","Sort=A","Dates=H","DateFormat=P","Fill=—","Direction=H","UseDPDF=Y")</f>
        <v>42500</v>
      </c>
      <c r="K96" s="15" t="str">
        <f>_xll.BDH("LUMN US Equity","NUM_OF_EMPLOYEES","FQ1 2020","FQ1 2020","Currency=USD","Period=FQ","BEST_FPERIOD_OVERRIDE=FQ","FILING_STATUS=MR","Sort=A","Dates=H","DateFormat=P","Fill=—","Direction=H","UseDPDF=Y")</f>
        <v>—</v>
      </c>
      <c r="L96" s="15">
        <f>_xll.BDH("LUMN US Equity","NUM_OF_EMPLOYEES","FQ2 2020","FQ2 2020","Currency=USD","Period=FQ","BEST_FPERIOD_OVERRIDE=FQ","FILING_STATUS=MR","Sort=A","Dates=H","DateFormat=P","Fill=—","Direction=H","UseDPDF=Y")</f>
        <v>40000</v>
      </c>
    </row>
    <row r="97" spans="1:12" x14ac:dyDescent="0.25">
      <c r="A97" s="18" t="s">
        <v>56</v>
      </c>
      <c r="B97" s="18"/>
      <c r="C97" s="18" t="s">
        <v>3</v>
      </c>
      <c r="D97" s="18"/>
      <c r="E97" s="18"/>
      <c r="F97" s="18"/>
      <c r="G97" s="18"/>
      <c r="H97" s="18"/>
      <c r="I97" s="18"/>
      <c r="J97" s="18"/>
      <c r="K97" s="18"/>
      <c r="L9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D9B6-886A-453C-8A97-FDF67B7E7290}">
  <dimension ref="A1:L70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12" width="11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 x14ac:dyDescent="0.25">
      <c r="A2" s="2" t="s">
        <v>343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169</v>
      </c>
      <c r="B4" s="4"/>
      <c r="C4" s="5" t="s">
        <v>342</v>
      </c>
      <c r="D4" s="5" t="s">
        <v>341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</row>
    <row r="5" spans="1:12" x14ac:dyDescent="0.25">
      <c r="A5" s="6" t="s">
        <v>16</v>
      </c>
      <c r="B5" s="6"/>
      <c r="C5" s="7" t="s">
        <v>340</v>
      </c>
      <c r="D5" s="7" t="s">
        <v>339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</row>
    <row r="6" spans="1:12" x14ac:dyDescent="0.25">
      <c r="A6" s="12" t="s">
        <v>420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6" t="s">
        <v>443</v>
      </c>
      <c r="B7" s="16" t="s">
        <v>442</v>
      </c>
      <c r="C7" s="17">
        <f>_xll.BDH("LUMN US Equity","CF_NET_INC","FQ1 2018","FQ1 2018","Currency=USD","Period=FQ","BEST_FPERIOD_OVERRIDE=FQ","FILING_STATUS=MR","SCALING_FORMAT=MLN","Sort=A","Dates=H","DateFormat=P","Fill=—","Direction=H","UseDPDF=Y")</f>
        <v>115</v>
      </c>
      <c r="D7" s="17">
        <f>_xll.BDH("LUMN US Equity","CF_NET_INC","FQ2 2018","FQ2 2018","Currency=USD","Period=FQ","BEST_FPERIOD_OVERRIDE=FQ","FILING_STATUS=MR","SCALING_FORMAT=MLN","Sort=A","Dates=H","DateFormat=P","Fill=—","Direction=H","UseDPDF=Y")</f>
        <v>292</v>
      </c>
      <c r="E7" s="17">
        <f>_xll.BDH("LUMN US Equity","CF_NET_INC","FQ3 2018","FQ3 2018","Currency=USD","Period=FQ","BEST_FPERIOD_OVERRIDE=FQ","FILING_STATUS=MR","SCALING_FORMAT=MLN","Sort=A","Dates=H","DateFormat=P","Fill=—","Direction=H","UseDPDF=Y")</f>
        <v>272</v>
      </c>
      <c r="F7" s="17">
        <f>_xll.BDH("LUMN US Equity","CF_NET_INC","FQ4 2018","FQ4 2018","Currency=USD","Period=FQ","BEST_FPERIOD_OVERRIDE=FQ","FILING_STATUS=MR","SCALING_FORMAT=MLN","Sort=A","Dates=H","DateFormat=P","Fill=—","Direction=H","UseDPDF=Y")</f>
        <v>-2412</v>
      </c>
      <c r="G7" s="17">
        <f>_xll.BDH("LUMN US Equity","CF_NET_INC","FQ1 2019","FQ1 2019","Currency=USD","Period=FQ","BEST_FPERIOD_OVERRIDE=FQ","FILING_STATUS=MR","SCALING_FORMAT=MLN","Sort=A","Dates=H","DateFormat=P","Fill=—","Direction=H","UseDPDF=Y")</f>
        <v>-6165</v>
      </c>
      <c r="H7" s="17">
        <f>_xll.BDH("LUMN US Equity","CF_NET_INC","FQ2 2019","FQ2 2019","Currency=USD","Period=FQ","BEST_FPERIOD_OVERRIDE=FQ","FILING_STATUS=MR","SCALING_FORMAT=MLN","Sort=A","Dates=H","DateFormat=P","Fill=—","Direction=H","UseDPDF=Y")</f>
        <v>371</v>
      </c>
      <c r="I7" s="17">
        <f>_xll.BDH("LUMN US Equity","CF_NET_INC","FQ3 2019","FQ3 2019","Currency=USD","Period=FQ","BEST_FPERIOD_OVERRIDE=FQ","FILING_STATUS=MR","SCALING_FORMAT=MLN","Sort=A","Dates=H","DateFormat=P","Fill=—","Direction=H","UseDPDF=Y")</f>
        <v>302</v>
      </c>
      <c r="J7" s="17">
        <f>_xll.BDH("LUMN US Equity","CF_NET_INC","FQ4 2019","FQ4 2019","Currency=USD","Period=FQ","BEST_FPERIOD_OVERRIDE=FQ","FILING_STATUS=MR","SCALING_FORMAT=MLN","Sort=A","Dates=H","DateFormat=P","Fill=—","Direction=H","UseDPDF=Y")</f>
        <v>223</v>
      </c>
      <c r="K7" s="17">
        <f>_xll.BDH("LUMN US Equity","CF_NET_INC","FQ1 2020","FQ1 2020","Currency=USD","Period=FQ","BEST_FPERIOD_OVERRIDE=FQ","FILING_STATUS=MR","SCALING_FORMAT=MLN","Sort=A","Dates=H","DateFormat=P","Fill=—","Direction=H","UseDPDF=Y")</f>
        <v>314</v>
      </c>
      <c r="L7" s="17">
        <f>_xll.BDH("LUMN US Equity","CF_NET_INC","FQ2 2020","FQ2 2020","Currency=USD","Period=FQ","BEST_FPERIOD_OVERRIDE=FQ","FILING_STATUS=MR","SCALING_FORMAT=MLN","Sort=A","Dates=H","DateFormat=P","Fill=—","Direction=H","UseDPDF=Y")</f>
        <v>377</v>
      </c>
    </row>
    <row r="8" spans="1:12" x14ac:dyDescent="0.25">
      <c r="A8" s="16" t="s">
        <v>441</v>
      </c>
      <c r="B8" s="16" t="s">
        <v>440</v>
      </c>
      <c r="C8" s="17">
        <f>_xll.BDH("LUMN US Equity","CF_DEPR_AMORT","FQ1 2018","FQ1 2018","Currency=USD","Period=FQ","BEST_FPERIOD_OVERRIDE=FQ","FILING_STATUS=MR","SCALING_FORMAT=MLN","Sort=A","Dates=H","DateFormat=P","Fill=—","Direction=H","UseDPDF=Y")</f>
        <v>1283</v>
      </c>
      <c r="D8" s="17">
        <f>_xll.BDH("LUMN US Equity","CF_DEPR_AMORT","FQ2 2018","FQ2 2018","Currency=USD","Period=FQ","BEST_FPERIOD_OVERRIDE=FQ","FILING_STATUS=MR","SCALING_FORMAT=MLN","Sort=A","Dates=H","DateFormat=P","Fill=—","Direction=H","UseDPDF=Y")</f>
        <v>1290</v>
      </c>
      <c r="E8" s="17">
        <f>_xll.BDH("LUMN US Equity","CF_DEPR_AMORT","FQ3 2018","FQ3 2018","Currency=USD","Period=FQ","BEST_FPERIOD_OVERRIDE=FQ","FILING_STATUS=MR","SCALING_FORMAT=MLN","Sort=A","Dates=H","DateFormat=P","Fill=—","Direction=H","UseDPDF=Y")</f>
        <v>1285</v>
      </c>
      <c r="F8" s="17">
        <f>_xll.BDH("LUMN US Equity","CF_DEPR_AMORT","FQ4 2018","FQ4 2018","Currency=USD","Period=FQ","BEST_FPERIOD_OVERRIDE=FQ","FILING_STATUS=MR","SCALING_FORMAT=MLN","Sort=A","Dates=H","DateFormat=P","Fill=—","Direction=H","UseDPDF=Y")</f>
        <v>1262</v>
      </c>
      <c r="G8" s="17">
        <f>_xll.BDH("LUMN US Equity","CF_DEPR_AMORT","FQ1 2019","FQ1 2019","Currency=USD","Period=FQ","BEST_FPERIOD_OVERRIDE=FQ","FILING_STATUS=MR","SCALING_FORMAT=MLN","Sort=A","Dates=H","DateFormat=P","Fill=—","Direction=H","UseDPDF=Y")</f>
        <v>1188</v>
      </c>
      <c r="H8" s="17">
        <f>_xll.BDH("LUMN US Equity","CF_DEPR_AMORT","FQ2 2019","FQ2 2019","Currency=USD","Period=FQ","BEST_FPERIOD_OVERRIDE=FQ","FILING_STATUS=MR","SCALING_FORMAT=MLN","Sort=A","Dates=H","DateFormat=P","Fill=—","Direction=H","UseDPDF=Y")</f>
        <v>1196</v>
      </c>
      <c r="I8" s="17">
        <f>_xll.BDH("LUMN US Equity","CF_DEPR_AMORT","FQ3 2019","FQ3 2019","Currency=USD","Period=FQ","BEST_FPERIOD_OVERRIDE=FQ","FILING_STATUS=MR","SCALING_FORMAT=MLN","Sort=A","Dates=H","DateFormat=P","Fill=—","Direction=H","UseDPDF=Y")</f>
        <v>1235</v>
      </c>
      <c r="J8" s="17">
        <f>_xll.BDH("LUMN US Equity","CF_DEPR_AMORT","FQ4 2019","FQ4 2019","Currency=USD","Period=FQ","BEST_FPERIOD_OVERRIDE=FQ","FILING_STATUS=MR","SCALING_FORMAT=MLN","Sort=A","Dates=H","DateFormat=P","Fill=—","Direction=H","UseDPDF=Y")</f>
        <v>1210</v>
      </c>
      <c r="K8" s="17">
        <f>_xll.BDH("LUMN US Equity","CF_DEPR_AMORT","FQ1 2020","FQ1 2020","Currency=USD","Period=FQ","BEST_FPERIOD_OVERRIDE=FQ","FILING_STATUS=MR","SCALING_FORMAT=MLN","Sort=A","Dates=H","DateFormat=P","Fill=—","Direction=H","UseDPDF=Y")</f>
        <v>1160</v>
      </c>
      <c r="L8" s="17">
        <f>_xll.BDH("LUMN US Equity","CF_DEPR_AMORT","FQ2 2020","FQ2 2020","Currency=USD","Period=FQ","BEST_FPERIOD_OVERRIDE=FQ","FILING_STATUS=MR","SCALING_FORMAT=MLN","Sort=A","Dates=H","DateFormat=P","Fill=—","Direction=H","UseDPDF=Y")</f>
        <v>1162</v>
      </c>
    </row>
    <row r="9" spans="1:12" x14ac:dyDescent="0.25">
      <c r="A9" s="16" t="s">
        <v>439</v>
      </c>
      <c r="B9" s="16" t="s">
        <v>438</v>
      </c>
      <c r="C9" s="17">
        <f>_xll.BDH("LUMN US Equity","NON_CASH_ITEMS_DETAILED","FQ1 2018","FQ1 2018","Currency=USD","Period=FQ","BEST_FPERIOD_OVERRIDE=FQ","FILING_STATUS=MR","SCALING_FORMAT=MLN","Sort=A","Dates=H","DateFormat=P","Fill=—","Direction=H","UseDPDF=Y")</f>
        <v>408</v>
      </c>
      <c r="D9" s="17">
        <f>_xll.BDH("LUMN US Equity","NON_CASH_ITEMS_DETAILED","FQ2 2018","FQ2 2018","Currency=USD","Period=FQ","BEST_FPERIOD_OVERRIDE=FQ","FILING_STATUS=MR","SCALING_FORMAT=MLN","Sort=A","Dates=H","DateFormat=P","Fill=—","Direction=H","UseDPDF=Y")</f>
        <v>422</v>
      </c>
      <c r="E9" s="17">
        <f>_xll.BDH("LUMN US Equity","NON_CASH_ITEMS_DETAILED","FQ3 2018","FQ3 2018","Currency=USD","Period=FQ","BEST_FPERIOD_OVERRIDE=FQ","FILING_STATUS=MR","SCALING_FORMAT=MLN","Sort=A","Dates=H","DateFormat=P","Fill=—","Direction=H","UseDPDF=Y")</f>
        <v>-347</v>
      </c>
      <c r="F9" s="17">
        <f>_xll.BDH("LUMN US Equity","NON_CASH_ITEMS_DETAILED","FQ4 2018","FQ4 2018","Currency=USD","Period=FQ","BEST_FPERIOD_OVERRIDE=FQ","FILING_STATUS=MR","SCALING_FORMAT=MLN","Sort=A","Dates=H","DateFormat=P","Fill=—","Direction=H","UseDPDF=Y")</f>
        <v>2793</v>
      </c>
      <c r="G9" s="17">
        <f>_xll.BDH("LUMN US Equity","NON_CASH_ITEMS_DETAILED","FQ1 2019","FQ1 2019","Currency=USD","Period=FQ","BEST_FPERIOD_OVERRIDE=FQ","FILING_STATUS=MR","SCALING_FORMAT=MLN","Sort=A","Dates=H","DateFormat=P","Fill=—","Direction=H","UseDPDF=Y")</f>
        <v>6684</v>
      </c>
      <c r="H9" s="17">
        <f>_xll.BDH("LUMN US Equity","NON_CASH_ITEMS_DETAILED","FQ2 2019","FQ2 2019","Currency=USD","Period=FQ","BEST_FPERIOD_OVERRIDE=FQ","FILING_STATUS=MR","SCALING_FORMAT=MLN","Sort=A","Dates=H","DateFormat=P","Fill=—","Direction=H","UseDPDF=Y")</f>
        <v>220</v>
      </c>
      <c r="I9" s="17">
        <f>_xll.BDH("LUMN US Equity","NON_CASH_ITEMS_DETAILED","FQ3 2019","FQ3 2019","Currency=USD","Period=FQ","BEST_FPERIOD_OVERRIDE=FQ","FILING_STATUS=MR","SCALING_FORMAT=MLN","Sort=A","Dates=H","DateFormat=P","Fill=—","Direction=H","UseDPDF=Y")</f>
        <v>204</v>
      </c>
      <c r="J9" s="17">
        <f>_xll.BDH("LUMN US Equity","NON_CASH_ITEMS_DETAILED","FQ4 2019","FQ4 2019","Currency=USD","Period=FQ","BEST_FPERIOD_OVERRIDE=FQ","FILING_STATUS=MR","SCALING_FORMAT=MLN","Sort=A","Dates=H","DateFormat=P","Fill=—","Direction=H","UseDPDF=Y")</f>
        <v>306</v>
      </c>
      <c r="K9" s="17">
        <f>_xll.BDH("LUMN US Equity","NON_CASH_ITEMS_DETAILED","FQ1 2020","FQ1 2020","Currency=USD","Period=FQ","BEST_FPERIOD_OVERRIDE=FQ","FILING_STATUS=MR","SCALING_FORMAT=MLN","Sort=A","Dates=H","DateFormat=P","Fill=—","Direction=H","UseDPDF=Y")</f>
        <v>262</v>
      </c>
      <c r="L9" s="17">
        <f>_xll.BDH("LUMN US Equity","NON_CASH_ITEMS_DETAILED","FQ2 2020","FQ2 2020","Currency=USD","Period=FQ","BEST_FPERIOD_OVERRIDE=FQ","FILING_STATUS=MR","SCALING_FORMAT=MLN","Sort=A","Dates=H","DateFormat=P","Fill=—","Direction=H","UseDPDF=Y")</f>
        <v>208</v>
      </c>
    </row>
    <row r="10" spans="1:12" x14ac:dyDescent="0.25">
      <c r="A10" s="16" t="s">
        <v>437</v>
      </c>
      <c r="B10" s="16" t="s">
        <v>436</v>
      </c>
      <c r="C10" s="17">
        <f>_xll.BDH("LUMN US Equity","CF_STOCK_BASED_COMPENSATION","FQ1 2018","FQ1 2018","Currency=USD","Period=FQ","BEST_FPERIOD_OVERRIDE=FQ","FILING_STATUS=MR","SCALING_FORMAT=MLN","Sort=A","Dates=H","DateFormat=P","Fill=—","Direction=H","UseDPDF=Y")</f>
        <v>41</v>
      </c>
      <c r="D10" s="17">
        <f>_xll.BDH("LUMN US Equity","CF_STOCK_BASED_COMPENSATION","FQ2 2018","FQ2 2018","Currency=USD","Period=FQ","BEST_FPERIOD_OVERRIDE=FQ","FILING_STATUS=MR","SCALING_FORMAT=MLN","Sort=A","Dates=H","DateFormat=P","Fill=—","Direction=H","UseDPDF=Y")</f>
        <v>54</v>
      </c>
      <c r="E10" s="17">
        <f>_xll.BDH("LUMN US Equity","CF_STOCK_BASED_COMPENSATION","FQ3 2018","FQ3 2018","Currency=USD","Period=FQ","BEST_FPERIOD_OVERRIDE=FQ","FILING_STATUS=MR","SCALING_FORMAT=MLN","Sort=A","Dates=H","DateFormat=P","Fill=—","Direction=H","UseDPDF=Y")</f>
        <v>49</v>
      </c>
      <c r="F10" s="17">
        <f>_xll.BDH("LUMN US Equity","CF_STOCK_BASED_COMPENSATION","FQ4 2018","FQ4 2018","Currency=USD","Period=FQ","BEST_FPERIOD_OVERRIDE=FQ","FILING_STATUS=MR","SCALING_FORMAT=MLN","Sort=A","Dates=H","DateFormat=P","Fill=—","Direction=H","UseDPDF=Y")</f>
        <v>42</v>
      </c>
      <c r="G10" s="17">
        <f>_xll.BDH("LUMN US Equity","CF_STOCK_BASED_COMPENSATION","FQ1 2019","FQ1 2019","Currency=USD","Period=FQ","BEST_FPERIOD_OVERRIDE=FQ","FILING_STATUS=MR","SCALING_FORMAT=MLN","Sort=A","Dates=H","DateFormat=P","Fill=—","Direction=H","UseDPDF=Y")</f>
        <v>33</v>
      </c>
      <c r="H10" s="17">
        <f>_xll.BDH("LUMN US Equity","CF_STOCK_BASED_COMPENSATION","FQ2 2019","FQ2 2019","Currency=USD","Period=FQ","BEST_FPERIOD_OVERRIDE=FQ","FILING_STATUS=MR","SCALING_FORMAT=MLN","Sort=A","Dates=H","DateFormat=P","Fill=—","Direction=H","UseDPDF=Y")</f>
        <v>43</v>
      </c>
      <c r="I10" s="17">
        <f>_xll.BDH("LUMN US Equity","CF_STOCK_BASED_COMPENSATION","FQ3 2019","FQ3 2019","Currency=USD","Period=FQ","BEST_FPERIOD_OVERRIDE=FQ","FILING_STATUS=MR","SCALING_FORMAT=MLN","Sort=A","Dates=H","DateFormat=P","Fill=—","Direction=H","UseDPDF=Y")</f>
        <v>38</v>
      </c>
      <c r="J10" s="17">
        <f>_xll.BDH("LUMN US Equity","CF_STOCK_BASED_COMPENSATION","FQ4 2019","FQ4 2019","Currency=USD","Period=FQ","BEST_FPERIOD_OVERRIDE=FQ","FILING_STATUS=MR","SCALING_FORMAT=MLN","Sort=A","Dates=H","DateFormat=P","Fill=—","Direction=H","UseDPDF=Y")</f>
        <v>48</v>
      </c>
      <c r="K10" s="17">
        <f>_xll.BDH("LUMN US Equity","CF_STOCK_BASED_COMPENSATION","FQ1 2020","FQ1 2020","Currency=USD","Period=FQ","BEST_FPERIOD_OVERRIDE=FQ","FILING_STATUS=MR","SCALING_FORMAT=MLN","Sort=A","Dates=H","DateFormat=P","Fill=—","Direction=H","UseDPDF=Y")</f>
        <v>69</v>
      </c>
      <c r="L10" s="17">
        <f>_xll.BDH("LUMN US Equity","CF_STOCK_BASED_COMPENSATION","FQ2 2020","FQ2 2020","Currency=USD","Period=FQ","BEST_FPERIOD_OVERRIDE=FQ","FILING_STATUS=MR","SCALING_FORMAT=MLN","Sort=A","Dates=H","DateFormat=P","Fill=—","Direction=H","UseDPDF=Y")</f>
        <v>20</v>
      </c>
    </row>
    <row r="11" spans="1:12" x14ac:dyDescent="0.25">
      <c r="A11" s="16" t="s">
        <v>435</v>
      </c>
      <c r="B11" s="16" t="s">
        <v>434</v>
      </c>
      <c r="C11" s="17">
        <f>_xll.BDH("LUMN US Equity","CF_DEF_INC_TAX","FQ1 2018","FQ1 2018","Currency=USD","Period=FQ","BEST_FPERIOD_OVERRIDE=FQ","FILING_STATUS=MR","SCALING_FORMAT=MLN","Sort=A","Dates=H","DateFormat=P","Fill=—","Direction=H","UseDPDF=Y")</f>
        <v>123</v>
      </c>
      <c r="D11" s="17">
        <f>_xll.BDH("LUMN US Equity","CF_DEF_INC_TAX","FQ2 2018","FQ2 2018","Currency=USD","Period=FQ","BEST_FPERIOD_OVERRIDE=FQ","FILING_STATUS=MR","SCALING_FORMAT=MLN","Sort=A","Dates=H","DateFormat=P","Fill=—","Direction=H","UseDPDF=Y")</f>
        <v>277</v>
      </c>
      <c r="E11" s="17">
        <f>_xll.BDH("LUMN US Equity","CF_DEF_INC_TAX","FQ3 2018","FQ3 2018","Currency=USD","Period=FQ","BEST_FPERIOD_OVERRIDE=FQ","FILING_STATUS=MR","SCALING_FORMAT=MLN","Sort=A","Dates=H","DateFormat=P","Fill=—","Direction=H","UseDPDF=Y")</f>
        <v>86</v>
      </c>
      <c r="F11" s="17">
        <f>_xll.BDH("LUMN US Equity","CF_DEF_INC_TAX","FQ4 2018","FQ4 2018","Currency=USD","Period=FQ","BEST_FPERIOD_OVERRIDE=FQ","FILING_STATUS=MR","SCALING_FORMAT=MLN","Sort=A","Dates=H","DateFormat=P","Fill=—","Direction=H","UseDPDF=Y")</f>
        <v>36</v>
      </c>
      <c r="G11" s="17">
        <f>_xll.BDH("LUMN US Equity","CF_DEF_INC_TAX","FQ1 2019","FQ1 2019","Currency=USD","Period=FQ","BEST_FPERIOD_OVERRIDE=FQ","FILING_STATUS=MR","SCALING_FORMAT=MLN","Sort=A","Dates=H","DateFormat=P","Fill=—","Direction=H","UseDPDF=Y")</f>
        <v>126</v>
      </c>
      <c r="H11" s="17">
        <f>_xll.BDH("LUMN US Equity","CF_DEF_INC_TAX","FQ2 2019","FQ2 2019","Currency=USD","Period=FQ","BEST_FPERIOD_OVERRIDE=FQ","FILING_STATUS=MR","SCALING_FORMAT=MLN","Sort=A","Dates=H","DateFormat=P","Fill=—","Direction=H","UseDPDF=Y")</f>
        <v>118</v>
      </c>
      <c r="I11" s="17">
        <f>_xll.BDH("LUMN US Equity","CF_DEF_INC_TAX","FQ3 2019","FQ3 2019","Currency=USD","Period=FQ","BEST_FPERIOD_OVERRIDE=FQ","FILING_STATUS=MR","SCALING_FORMAT=MLN","Sort=A","Dates=H","DateFormat=P","Fill=—","Direction=H","UseDPDF=Y")</f>
        <v>106</v>
      </c>
      <c r="J11" s="17">
        <f>_xll.BDH("LUMN US Equity","CF_DEF_INC_TAX","FQ4 2019","FQ4 2019","Currency=USD","Period=FQ","BEST_FPERIOD_OVERRIDE=FQ","FILING_STATUS=MR","SCALING_FORMAT=MLN","Sort=A","Dates=H","DateFormat=P","Fill=—","Direction=H","UseDPDF=Y")</f>
        <v>90</v>
      </c>
      <c r="K11" s="17">
        <f>_xll.BDH("LUMN US Equity","CF_DEF_INC_TAX","FQ1 2020","FQ1 2020","Currency=USD","Period=FQ","BEST_FPERIOD_OVERRIDE=FQ","FILING_STATUS=MR","SCALING_FORMAT=MLN","Sort=A","Dates=H","DateFormat=P","Fill=—","Direction=H","UseDPDF=Y")</f>
        <v>105</v>
      </c>
      <c r="L11" s="17">
        <f>_xll.BDH("LUMN US Equity","CF_DEF_INC_TAX","FQ2 2020","FQ2 2020","Currency=USD","Period=FQ","BEST_FPERIOD_OVERRIDE=FQ","FILING_STATUS=MR","SCALING_FORMAT=MLN","Sort=A","Dates=H","DateFormat=P","Fill=—","Direction=H","UseDPDF=Y")</f>
        <v>115</v>
      </c>
    </row>
    <row r="12" spans="1:12" x14ac:dyDescent="0.25">
      <c r="A12" s="16" t="s">
        <v>433</v>
      </c>
      <c r="B12" s="16" t="s">
        <v>432</v>
      </c>
      <c r="C12" s="17">
        <f>_xll.BDH("LUMN US Equity","OTHER_NON_CASH_ADJ_LESS_DETAILED","FQ1 2018","FQ1 2018","Currency=USD","Period=FQ","BEST_FPERIOD_OVERRIDE=FQ","FILING_STATUS=MR","SCALING_FORMAT=MLN","Sort=A","Dates=H","DateFormat=P","Fill=—","Direction=H","UseDPDF=Y")</f>
        <v>244</v>
      </c>
      <c r="D12" s="17">
        <f>_xll.BDH("LUMN US Equity","OTHER_NON_CASH_ADJ_LESS_DETAILED","FQ2 2018","FQ2 2018","Currency=USD","Period=FQ","BEST_FPERIOD_OVERRIDE=FQ","FILING_STATUS=MR","SCALING_FORMAT=MLN","Sort=A","Dates=H","DateFormat=P","Fill=—","Direction=H","UseDPDF=Y")</f>
        <v>91</v>
      </c>
      <c r="E12" s="17">
        <f>_xll.BDH("LUMN US Equity","OTHER_NON_CASH_ADJ_LESS_DETAILED","FQ3 2018","FQ3 2018","Currency=USD","Period=FQ","BEST_FPERIOD_OVERRIDE=FQ","FILING_STATUS=MR","SCALING_FORMAT=MLN","Sort=A","Dates=H","DateFormat=P","Fill=—","Direction=H","UseDPDF=Y")</f>
        <v>-482</v>
      </c>
      <c r="F12" s="17">
        <f>_xll.BDH("LUMN US Equity","OTHER_NON_CASH_ADJ_LESS_DETAILED","FQ4 2018","FQ4 2018","Currency=USD","Period=FQ","BEST_FPERIOD_OVERRIDE=FQ","FILING_STATUS=MR","SCALING_FORMAT=MLN","Sort=A","Dates=H","DateFormat=P","Fill=—","Direction=H","UseDPDF=Y")</f>
        <v>2715</v>
      </c>
      <c r="G12" s="17">
        <f>_xll.BDH("LUMN US Equity","OTHER_NON_CASH_ADJ_LESS_DETAILED","FQ1 2019","FQ1 2019","Currency=USD","Period=FQ","BEST_FPERIOD_OVERRIDE=FQ","FILING_STATUS=MR","SCALING_FORMAT=MLN","Sort=A","Dates=H","DateFormat=P","Fill=—","Direction=H","UseDPDF=Y")</f>
        <v>6525</v>
      </c>
      <c r="H12" s="17">
        <f>_xll.BDH("LUMN US Equity","OTHER_NON_CASH_ADJ_LESS_DETAILED","FQ2 2019","FQ2 2019","Currency=USD","Period=FQ","BEST_FPERIOD_OVERRIDE=FQ","FILING_STATUS=MR","SCALING_FORMAT=MLN","Sort=A","Dates=H","DateFormat=P","Fill=—","Direction=H","UseDPDF=Y")</f>
        <v>59</v>
      </c>
      <c r="I12" s="17">
        <f>_xll.BDH("LUMN US Equity","OTHER_NON_CASH_ADJ_LESS_DETAILED","FQ3 2019","FQ3 2019","Currency=USD","Period=FQ","BEST_FPERIOD_OVERRIDE=FQ","FILING_STATUS=MR","SCALING_FORMAT=MLN","Sort=A","Dates=H","DateFormat=P","Fill=—","Direction=H","UseDPDF=Y")</f>
        <v>60</v>
      </c>
      <c r="J12" s="17">
        <f>_xll.BDH("LUMN US Equity","OTHER_NON_CASH_ADJ_LESS_DETAILED","FQ4 2019","FQ4 2019","Currency=USD","Period=FQ","BEST_FPERIOD_OVERRIDE=FQ","FILING_STATUS=MR","SCALING_FORMAT=MLN","Sort=A","Dates=H","DateFormat=P","Fill=—","Direction=H","UseDPDF=Y")</f>
        <v>168</v>
      </c>
      <c r="K12" s="17">
        <f>_xll.BDH("LUMN US Equity","OTHER_NON_CASH_ADJ_LESS_DETAILED","FQ1 2020","FQ1 2020","Currency=USD","Period=FQ","BEST_FPERIOD_OVERRIDE=FQ","FILING_STATUS=MR","SCALING_FORMAT=MLN","Sort=A","Dates=H","DateFormat=P","Fill=—","Direction=H","UseDPDF=Y")</f>
        <v>88</v>
      </c>
      <c r="L12" s="17">
        <f>_xll.BDH("LUMN US Equity","OTHER_NON_CASH_ADJ_LESS_DETAILED","FQ2 2020","FQ2 2020","Currency=USD","Period=FQ","BEST_FPERIOD_OVERRIDE=FQ","FILING_STATUS=MR","SCALING_FORMAT=MLN","Sort=A","Dates=H","DateFormat=P","Fill=—","Direction=H","UseDPDF=Y")</f>
        <v>73</v>
      </c>
    </row>
    <row r="13" spans="1:12" x14ac:dyDescent="0.25">
      <c r="A13" s="16" t="s">
        <v>431</v>
      </c>
      <c r="B13" s="16" t="s">
        <v>430</v>
      </c>
      <c r="C13" s="17">
        <f>_xll.BDH("LUMN US Equity","CF_CHNG_NON_CASH_WORK_CAP","FQ1 2018","FQ1 2018","Currency=USD","Period=FQ","BEST_FPERIOD_OVERRIDE=FQ","FILING_STATUS=MR","SCALING_FORMAT=MLN","Sort=A","Dates=H","DateFormat=P","Fill=—","Direction=H","UseDPDF=Y")</f>
        <v>-139</v>
      </c>
      <c r="D13" s="17">
        <f>_xll.BDH("LUMN US Equity","CF_CHNG_NON_CASH_WORK_CAP","FQ2 2018","FQ2 2018","Currency=USD","Period=FQ","BEST_FPERIOD_OVERRIDE=FQ","FILING_STATUS=MR","SCALING_FORMAT=MLN","Sort=A","Dates=H","DateFormat=P","Fill=—","Direction=H","UseDPDF=Y")</f>
        <v>-422</v>
      </c>
      <c r="E13" s="17">
        <f>_xll.BDH("LUMN US Equity","CF_CHNG_NON_CASH_WORK_CAP","FQ3 2018","FQ3 2018","Currency=USD","Period=FQ","BEST_FPERIOD_OVERRIDE=FQ","FILING_STATUS=MR","SCALING_FORMAT=MLN","Sort=A","Dates=H","DateFormat=P","Fill=—","Direction=H","UseDPDF=Y")</f>
        <v>577</v>
      </c>
      <c r="F13" s="17">
        <f>_xll.BDH("LUMN US Equity","CF_CHNG_NON_CASH_WORK_CAP","FQ4 2018","FQ4 2018","Currency=USD","Period=FQ","BEST_FPERIOD_OVERRIDE=FQ","FILING_STATUS=MR","SCALING_FORMAT=MLN","Sort=A","Dates=H","DateFormat=P","Fill=—","Direction=H","UseDPDF=Y")</f>
        <v>353</v>
      </c>
      <c r="G13" s="17">
        <f>_xll.BDH("LUMN US Equity","CF_CHNG_NON_CASH_WORK_CAP","FQ1 2019","FQ1 2019","Currency=USD","Period=FQ","BEST_FPERIOD_OVERRIDE=FQ","FILING_STATUS=MR","SCALING_FORMAT=MLN","Sort=A","Dates=H","DateFormat=P","Fill=—","Direction=H","UseDPDF=Y")</f>
        <v>-525</v>
      </c>
      <c r="H13" s="17">
        <f>_xll.BDH("LUMN US Equity","CF_CHNG_NON_CASH_WORK_CAP","FQ2 2019","FQ2 2019","Currency=USD","Period=FQ","BEST_FPERIOD_OVERRIDE=FQ","FILING_STATUS=MR","SCALING_FORMAT=MLN","Sort=A","Dates=H","DateFormat=P","Fill=—","Direction=H","UseDPDF=Y")</f>
        <v>-86</v>
      </c>
      <c r="I13" s="17">
        <f>_xll.BDH("LUMN US Equity","CF_CHNG_NON_CASH_WORK_CAP","FQ3 2019","FQ3 2019","Currency=USD","Period=FQ","BEST_FPERIOD_OVERRIDE=FQ","FILING_STATUS=MR","SCALING_FORMAT=MLN","Sort=A","Dates=H","DateFormat=P","Fill=—","Direction=H","UseDPDF=Y")</f>
        <v>147</v>
      </c>
      <c r="J13" s="17">
        <f>_xll.BDH("LUMN US Equity","CF_CHNG_NON_CASH_WORK_CAP","FQ4 2019","FQ4 2019","Currency=USD","Period=FQ","BEST_FPERIOD_OVERRIDE=FQ","FILING_STATUS=MR","SCALING_FORMAT=MLN","Sort=A","Dates=H","DateFormat=P","Fill=—","Direction=H","UseDPDF=Y")</f>
        <v>170</v>
      </c>
      <c r="K13" s="17">
        <f>_xll.BDH("LUMN US Equity","CF_CHNG_NON_CASH_WORK_CAP","FQ1 2020","FQ1 2020","Currency=USD","Period=FQ","BEST_FPERIOD_OVERRIDE=FQ","FILING_STATUS=MR","SCALING_FORMAT=MLN","Sort=A","Dates=H","DateFormat=P","Fill=—","Direction=H","UseDPDF=Y")</f>
        <v>-437</v>
      </c>
      <c r="L13" s="17">
        <f>_xll.BDH("LUMN US Equity","CF_CHNG_NON_CASH_WORK_CAP","FQ2 2020","FQ2 2020","Currency=USD","Period=FQ","BEST_FPERIOD_OVERRIDE=FQ","FILING_STATUS=MR","SCALING_FORMAT=MLN","Sort=A","Dates=H","DateFormat=P","Fill=—","Direction=H","UseDPDF=Y")</f>
        <v>2</v>
      </c>
    </row>
    <row r="14" spans="1:12" x14ac:dyDescent="0.25">
      <c r="A14" s="16" t="s">
        <v>429</v>
      </c>
      <c r="B14" s="16" t="s">
        <v>428</v>
      </c>
      <c r="C14" s="17">
        <f>_xll.BDH("LUMN US Equity","CF_ACCT_RCV_UNBILLED_REV","FQ1 2018","FQ1 2018","Currency=USD","Period=FQ","BEST_FPERIOD_OVERRIDE=FQ","FILING_STATUS=MR","SCALING_FORMAT=MLN","Sort=A","Dates=H","DateFormat=P","Fill=—","Direction=H","UseDPDF=Y")</f>
        <v>117</v>
      </c>
      <c r="D14" s="17">
        <f>_xll.BDH("LUMN US Equity","CF_ACCT_RCV_UNBILLED_REV","FQ2 2018","FQ2 2018","Currency=USD","Period=FQ","BEST_FPERIOD_OVERRIDE=FQ","FILING_STATUS=MR","SCALING_FORMAT=MLN","Sort=A","Dates=H","DateFormat=P","Fill=—","Direction=H","UseDPDF=Y")</f>
        <v>-82</v>
      </c>
      <c r="E14" s="17">
        <f>_xll.BDH("LUMN US Equity","CF_ACCT_RCV_UNBILLED_REV","FQ3 2018","FQ3 2018","Currency=USD","Period=FQ","BEST_FPERIOD_OVERRIDE=FQ","FILING_STATUS=MR","SCALING_FORMAT=MLN","Sort=A","Dates=H","DateFormat=P","Fill=—","Direction=H","UseDPDF=Y")</f>
        <v>-43</v>
      </c>
      <c r="F14" s="17">
        <f>_xll.BDH("LUMN US Equity","CF_ACCT_RCV_UNBILLED_REV","FQ4 2018","FQ4 2018","Currency=USD","Period=FQ","BEST_FPERIOD_OVERRIDE=FQ","FILING_STATUS=MR","SCALING_FORMAT=MLN","Sort=A","Dates=H","DateFormat=P","Fill=—","Direction=H","UseDPDF=Y")</f>
        <v>-49</v>
      </c>
      <c r="G14" s="17">
        <f>_xll.BDH("LUMN US Equity","CF_ACCT_RCV_UNBILLED_REV","FQ1 2019","FQ1 2019","Currency=USD","Period=FQ","BEST_FPERIOD_OVERRIDE=FQ","FILING_STATUS=MR","SCALING_FORMAT=MLN","Sort=A","Dates=H","DateFormat=P","Fill=—","Direction=H","UseDPDF=Y")</f>
        <v>5</v>
      </c>
      <c r="H14" s="17">
        <f>_xll.BDH("LUMN US Equity","CF_ACCT_RCV_UNBILLED_REV","FQ2 2019","FQ2 2019","Currency=USD","Period=FQ","BEST_FPERIOD_OVERRIDE=FQ","FILING_STATUS=MR","SCALING_FORMAT=MLN","Sort=A","Dates=H","DateFormat=P","Fill=—","Direction=H","UseDPDF=Y")</f>
        <v>-137</v>
      </c>
      <c r="I14" s="17">
        <f>_xll.BDH("LUMN US Equity","CF_ACCT_RCV_UNBILLED_REV","FQ3 2019","FQ3 2019","Currency=USD","Period=FQ","BEST_FPERIOD_OVERRIDE=FQ","FILING_STATUS=MR","SCALING_FORMAT=MLN","Sort=A","Dates=H","DateFormat=P","Fill=—","Direction=H","UseDPDF=Y")</f>
        <v>125</v>
      </c>
      <c r="J14" s="17">
        <f>_xll.BDH("LUMN US Equity","CF_ACCT_RCV_UNBILLED_REV","FQ4 2019","FQ4 2019","Currency=USD","Period=FQ","BEST_FPERIOD_OVERRIDE=FQ","FILING_STATUS=MR","SCALING_FORMAT=MLN","Sort=A","Dates=H","DateFormat=P","Fill=—","Direction=H","UseDPDF=Y")</f>
        <v>2</v>
      </c>
      <c r="K14" s="17">
        <f>_xll.BDH("LUMN US Equity","CF_ACCT_RCV_UNBILLED_REV","FQ1 2020","FQ1 2020","Currency=USD","Period=FQ","BEST_FPERIOD_OVERRIDE=FQ","FILING_STATUS=MR","SCALING_FORMAT=MLN","Sort=A","Dates=H","DateFormat=P","Fill=—","Direction=H","UseDPDF=Y")</f>
        <v>60</v>
      </c>
      <c r="L14" s="17">
        <f>_xll.BDH("LUMN US Equity","CF_ACCT_RCV_UNBILLED_REV","FQ2 2020","FQ2 2020","Currency=USD","Period=FQ","BEST_FPERIOD_OVERRIDE=FQ","FILING_STATUS=MR","SCALING_FORMAT=MLN","Sort=A","Dates=H","DateFormat=P","Fill=—","Direction=H","UseDPDF=Y")</f>
        <v>-62</v>
      </c>
    </row>
    <row r="15" spans="1:12" x14ac:dyDescent="0.25">
      <c r="A15" s="16" t="s">
        <v>427</v>
      </c>
      <c r="B15" s="16" t="s">
        <v>426</v>
      </c>
      <c r="C15" s="17">
        <f>_xll.BDH("LUMN US Equity","CF_CHANGE_IN_INVENTORIES","FQ1 2018","FQ1 2018","Currency=USD","Period=FQ","BEST_FPERIOD_OVERRIDE=FQ","FILING_STATUS=MR","SCALING_FORMAT=MLN","Sort=A","Dates=H","DateFormat=P","Fill=—","Direction=H","UseDPDF=Y")</f>
        <v>0</v>
      </c>
      <c r="D15" s="17">
        <f>_xll.BDH("LUMN US Equity","CF_CHANGE_IN_INVENTORIES","FQ2 2018","FQ2 2018","Currency=USD","Period=FQ","BEST_FPERIOD_OVERRIDE=FQ","FILING_STATUS=MR","SCALING_FORMAT=MLN","Sort=A","Dates=H","DateFormat=P","Fill=—","Direction=H","UseDPDF=Y")</f>
        <v>0</v>
      </c>
      <c r="E15" s="17">
        <f>_xll.BDH("LUMN US Equity","CF_CHANGE_IN_INVENTORIES","FQ3 2018","FQ3 2018","Currency=USD","Period=FQ","BEST_FPERIOD_OVERRIDE=FQ","FILING_STATUS=MR","SCALING_FORMAT=MLN","Sort=A","Dates=H","DateFormat=P","Fill=—","Direction=H","UseDPDF=Y")</f>
        <v>0</v>
      </c>
      <c r="F15" s="17">
        <f>_xll.BDH("LUMN US Equity","CF_CHANGE_IN_INVENTORIES","FQ4 2018","FQ4 2018","Currency=USD","Period=FQ","BEST_FPERIOD_OVERRIDE=FQ","FILING_STATUS=MR","SCALING_FORMAT=MLN","Sort=A","Dates=H","DateFormat=P","Fill=—","Direction=H","UseDPDF=Y")</f>
        <v>0</v>
      </c>
      <c r="G15" s="17">
        <f>_xll.BDH("LUMN US Equity","CF_CHANGE_IN_INVENTORIES","FQ1 2019","FQ1 2019","Currency=USD","Period=FQ","BEST_FPERIOD_OVERRIDE=FQ","FILING_STATUS=MR","SCALING_FORMAT=MLN","Sort=A","Dates=H","DateFormat=P","Fill=—","Direction=H","UseDPDF=Y")</f>
        <v>0</v>
      </c>
      <c r="H15" s="17">
        <f>_xll.BDH("LUMN US Equity","CF_CHANGE_IN_INVENTORIES","FQ2 2019","FQ2 2019","Currency=USD","Period=FQ","BEST_FPERIOD_OVERRIDE=FQ","FILING_STATUS=MR","SCALING_FORMAT=MLN","Sort=A","Dates=H","DateFormat=P","Fill=—","Direction=H","UseDPDF=Y")</f>
        <v>0</v>
      </c>
      <c r="I15" s="17">
        <f>_xll.BDH("LUMN US Equity","CF_CHANGE_IN_INVENTORIES","FQ3 2019","FQ3 2019","Currency=USD","Period=FQ","BEST_FPERIOD_OVERRIDE=FQ","FILING_STATUS=MR","SCALING_FORMAT=MLN","Sort=A","Dates=H","DateFormat=P","Fill=—","Direction=H","UseDPDF=Y")</f>
        <v>0</v>
      </c>
      <c r="J15" s="17">
        <f>_xll.BDH("LUMN US Equity","CF_CHANGE_IN_INVENTORIES","FQ4 2019","FQ4 2019","Currency=USD","Period=FQ","BEST_FPERIOD_OVERRIDE=FQ","FILING_STATUS=MR","SCALING_FORMAT=MLN","Sort=A","Dates=H","DateFormat=P","Fill=—","Direction=H","UseDPDF=Y")</f>
        <v>0</v>
      </c>
      <c r="K15" s="17">
        <f>_xll.BDH("LUMN US Equity","CF_CHANGE_IN_INVENTORIES","FQ1 2020","FQ1 2020","Currency=USD","Period=FQ","BEST_FPERIOD_OVERRIDE=FQ","FILING_STATUS=MR","SCALING_FORMAT=MLN","Sort=A","Dates=H","DateFormat=P","Fill=—","Direction=H","UseDPDF=Y")</f>
        <v>0</v>
      </c>
      <c r="L15" s="17">
        <f>_xll.BDH("LUMN US Equity","CF_CHANGE_IN_INVENTORIES","FQ2 2020","FQ2 2020","Currency=USD","Period=FQ","BEST_FPERIOD_OVERRIDE=FQ","FILING_STATUS=MR","SCALING_FORMAT=MLN","Sort=A","Dates=H","DateFormat=P","Fill=—","Direction=H","UseDPDF=Y")</f>
        <v>0</v>
      </c>
    </row>
    <row r="16" spans="1:12" x14ac:dyDescent="0.25">
      <c r="A16" s="16" t="s">
        <v>425</v>
      </c>
      <c r="B16" s="16" t="s">
        <v>424</v>
      </c>
      <c r="C16" s="17">
        <f>_xll.BDH("LUMN US Equity","CF_CHANGE_IN_ACCOUNTS_PAYABLE","FQ1 2018","FQ1 2018","Currency=USD","Period=FQ","BEST_FPERIOD_OVERRIDE=FQ","FILING_STATUS=MR","SCALING_FORMAT=MLN","Sort=A","Dates=H","DateFormat=P","Fill=—","Direction=H","UseDPDF=Y")</f>
        <v>-14</v>
      </c>
      <c r="D16" s="17">
        <f>_xll.BDH("LUMN US Equity","CF_CHANGE_IN_ACCOUNTS_PAYABLE","FQ2 2018","FQ2 2018","Currency=USD","Period=FQ","BEST_FPERIOD_OVERRIDE=FQ","FILING_STATUS=MR","SCALING_FORMAT=MLN","Sort=A","Dates=H","DateFormat=P","Fill=—","Direction=H","UseDPDF=Y")</f>
        <v>-159</v>
      </c>
      <c r="E16" s="17">
        <f>_xll.BDH("LUMN US Equity","CF_CHANGE_IN_ACCOUNTS_PAYABLE","FQ3 2018","FQ3 2018","Currency=USD","Period=FQ","BEST_FPERIOD_OVERRIDE=FQ","FILING_STATUS=MR","SCALING_FORMAT=MLN","Sort=A","Dates=H","DateFormat=P","Fill=—","Direction=H","UseDPDF=Y")</f>
        <v>22</v>
      </c>
      <c r="F16" s="17">
        <f>_xll.BDH("LUMN US Equity","CF_CHANGE_IN_ACCOUNTS_PAYABLE","FQ4 2018","FQ4 2018","Currency=USD","Period=FQ","BEST_FPERIOD_OVERRIDE=FQ","FILING_STATUS=MR","SCALING_FORMAT=MLN","Sort=A","Dates=H","DateFormat=P","Fill=—","Direction=H","UseDPDF=Y")</f>
        <v>116</v>
      </c>
      <c r="G16" s="17">
        <f>_xll.BDH("LUMN US Equity","CF_CHANGE_IN_ACCOUNTS_PAYABLE","FQ1 2019","FQ1 2019","Currency=USD","Period=FQ","BEST_FPERIOD_OVERRIDE=FQ","FILING_STATUS=MR","SCALING_FORMAT=MLN","Sort=A","Dates=H","DateFormat=P","Fill=—","Direction=H","UseDPDF=Y")</f>
        <v>-239</v>
      </c>
      <c r="H16" s="17">
        <f>_xll.BDH("LUMN US Equity","CF_CHANGE_IN_ACCOUNTS_PAYABLE","FQ2 2019","FQ2 2019","Currency=USD","Period=FQ","BEST_FPERIOD_OVERRIDE=FQ","FILING_STATUS=MR","SCALING_FORMAT=MLN","Sort=A","Dates=H","DateFormat=P","Fill=—","Direction=H","UseDPDF=Y")</f>
        <v>-27</v>
      </c>
      <c r="I16" s="17">
        <f>_xll.BDH("LUMN US Equity","CF_CHANGE_IN_ACCOUNTS_PAYABLE","FQ3 2019","FQ3 2019","Currency=USD","Period=FQ","BEST_FPERIOD_OVERRIDE=FQ","FILING_STATUS=MR","SCALING_FORMAT=MLN","Sort=A","Dates=H","DateFormat=P","Fill=—","Direction=H","UseDPDF=Y")</f>
        <v>1</v>
      </c>
      <c r="J16" s="17">
        <f>_xll.BDH("LUMN US Equity","CF_CHANGE_IN_ACCOUNTS_PAYABLE","FQ4 2019","FQ4 2019","Currency=USD","Period=FQ","BEST_FPERIOD_OVERRIDE=FQ","FILING_STATUS=MR","SCALING_FORMAT=MLN","Sort=A","Dates=H","DateFormat=P","Fill=—","Direction=H","UseDPDF=Y")</f>
        <v>4</v>
      </c>
      <c r="K16" s="17">
        <f>_xll.BDH("LUMN US Equity","CF_CHANGE_IN_ACCOUNTS_PAYABLE","FQ1 2020","FQ1 2020","Currency=USD","Period=FQ","BEST_FPERIOD_OVERRIDE=FQ","FILING_STATUS=MR","SCALING_FORMAT=MLN","Sort=A","Dates=H","DateFormat=P","Fill=—","Direction=H","UseDPDF=Y")</f>
        <v>-115</v>
      </c>
      <c r="L16" s="17">
        <f>_xll.BDH("LUMN US Equity","CF_CHANGE_IN_ACCOUNTS_PAYABLE","FQ2 2020","FQ2 2020","Currency=USD","Period=FQ","BEST_FPERIOD_OVERRIDE=FQ","FILING_STATUS=MR","SCALING_FORMAT=MLN","Sort=A","Dates=H","DateFormat=P","Fill=—","Direction=H","UseDPDF=Y")</f>
        <v>-112</v>
      </c>
    </row>
    <row r="17" spans="1:12" x14ac:dyDescent="0.25">
      <c r="A17" s="16" t="s">
        <v>423</v>
      </c>
      <c r="B17" s="16" t="s">
        <v>422</v>
      </c>
      <c r="C17" s="17">
        <f>_xll.BDH("LUMN US Equity","INC_DEC_IN_OT_OP_AST_LIAB_DETAIL","FQ1 2018","FQ1 2018","Currency=USD","Period=FQ","BEST_FPERIOD_OVERRIDE=FQ","FILING_STATUS=MR","SCALING_FORMAT=MLN","Sort=A","Dates=H","DateFormat=P","Fill=—","Direction=H","UseDPDF=Y")</f>
        <v>-242</v>
      </c>
      <c r="D17" s="17">
        <f>_xll.BDH("LUMN US Equity","INC_DEC_IN_OT_OP_AST_LIAB_DETAIL","FQ2 2018","FQ2 2018","Currency=USD","Period=FQ","BEST_FPERIOD_OVERRIDE=FQ","FILING_STATUS=MR","SCALING_FORMAT=MLN","Sort=A","Dates=H","DateFormat=P","Fill=—","Direction=H","UseDPDF=Y")</f>
        <v>-181</v>
      </c>
      <c r="E17" s="17">
        <f>_xll.BDH("LUMN US Equity","INC_DEC_IN_OT_OP_AST_LIAB_DETAIL","FQ3 2018","FQ3 2018","Currency=USD","Period=FQ","BEST_FPERIOD_OVERRIDE=FQ","FILING_STATUS=MR","SCALING_FORMAT=MLN","Sort=A","Dates=H","DateFormat=P","Fill=—","Direction=H","UseDPDF=Y")</f>
        <v>598</v>
      </c>
      <c r="F17" s="17">
        <f>_xll.BDH("LUMN US Equity","INC_DEC_IN_OT_OP_AST_LIAB_DETAIL","FQ4 2018","FQ4 2018","Currency=USD","Period=FQ","BEST_FPERIOD_OVERRIDE=FQ","FILING_STATUS=MR","SCALING_FORMAT=MLN","Sort=A","Dates=H","DateFormat=P","Fill=—","Direction=H","UseDPDF=Y")</f>
        <v>286</v>
      </c>
      <c r="G17" s="17">
        <f>_xll.BDH("LUMN US Equity","INC_DEC_IN_OT_OP_AST_LIAB_DETAIL","FQ1 2019","FQ1 2019","Currency=USD","Period=FQ","BEST_FPERIOD_OVERRIDE=FQ","FILING_STATUS=MR","SCALING_FORMAT=MLN","Sort=A","Dates=H","DateFormat=P","Fill=—","Direction=H","UseDPDF=Y")</f>
        <v>-291</v>
      </c>
      <c r="H17" s="17">
        <f>_xll.BDH("LUMN US Equity","INC_DEC_IN_OT_OP_AST_LIAB_DETAIL","FQ2 2019","FQ2 2019","Currency=USD","Period=FQ","BEST_FPERIOD_OVERRIDE=FQ","FILING_STATUS=MR","SCALING_FORMAT=MLN","Sort=A","Dates=H","DateFormat=P","Fill=—","Direction=H","UseDPDF=Y")</f>
        <v>78</v>
      </c>
      <c r="I17" s="17">
        <f>_xll.BDH("LUMN US Equity","INC_DEC_IN_OT_OP_AST_LIAB_DETAIL","FQ3 2019","FQ3 2019","Currency=USD","Period=FQ","BEST_FPERIOD_OVERRIDE=FQ","FILING_STATUS=MR","SCALING_FORMAT=MLN","Sort=A","Dates=H","DateFormat=P","Fill=—","Direction=H","UseDPDF=Y")</f>
        <v>21</v>
      </c>
      <c r="J17" s="17">
        <f>_xll.BDH("LUMN US Equity","INC_DEC_IN_OT_OP_AST_LIAB_DETAIL","FQ4 2019","FQ4 2019","Currency=USD","Period=FQ","BEST_FPERIOD_OVERRIDE=FQ","FILING_STATUS=MR","SCALING_FORMAT=MLN","Sort=A","Dates=H","DateFormat=P","Fill=—","Direction=H","UseDPDF=Y")</f>
        <v>164</v>
      </c>
      <c r="K17" s="17">
        <f>_xll.BDH("LUMN US Equity","INC_DEC_IN_OT_OP_AST_LIAB_DETAIL","FQ1 2020","FQ1 2020","Currency=USD","Period=FQ","BEST_FPERIOD_OVERRIDE=FQ","FILING_STATUS=MR","SCALING_FORMAT=MLN","Sort=A","Dates=H","DateFormat=P","Fill=—","Direction=H","UseDPDF=Y")</f>
        <v>-382</v>
      </c>
      <c r="L17" s="17">
        <f>_xll.BDH("LUMN US Equity","INC_DEC_IN_OT_OP_AST_LIAB_DETAIL","FQ2 2020","FQ2 2020","Currency=USD","Period=FQ","BEST_FPERIOD_OVERRIDE=FQ","FILING_STATUS=MR","SCALING_FORMAT=MLN","Sort=A","Dates=H","DateFormat=P","Fill=—","Direction=H","UseDPDF=Y")</f>
        <v>176</v>
      </c>
    </row>
    <row r="18" spans="1:12" x14ac:dyDescent="0.25">
      <c r="A18" s="16" t="s">
        <v>368</v>
      </c>
      <c r="B18" s="16" t="s">
        <v>421</v>
      </c>
      <c r="C18" s="17">
        <f>_xll.BDH("LUMN US Equity","CF_NET_CASH_DISCONT_OPS_OPER","FQ1 2018","FQ1 2018","Currency=USD","Period=FQ","BEST_FPERIOD_OVERRIDE=FQ","FILING_STATUS=MR","SCALING_FORMAT=MLN","Sort=A","Dates=H","DateFormat=P","Fill=—","Direction=H","UseDPDF=Y")</f>
        <v>0</v>
      </c>
      <c r="D18" s="17">
        <f>_xll.BDH("LUMN US Equity","CF_NET_CASH_DISCONT_OPS_OPER","FQ2 2018","FQ2 2018","Currency=USD","Period=FQ","BEST_FPERIOD_OVERRIDE=FQ","FILING_STATUS=MR","SCALING_FORMAT=MLN","Sort=A","Dates=H","DateFormat=P","Fill=—","Direction=H","UseDPDF=Y")</f>
        <v>0</v>
      </c>
      <c r="E18" s="17">
        <f>_xll.BDH("LUMN US Equity","CF_NET_CASH_DISCONT_OPS_OPER","FQ3 2018","FQ3 2018","Currency=USD","Period=FQ","BEST_FPERIOD_OVERRIDE=FQ","FILING_STATUS=MR","SCALING_FORMAT=MLN","Sort=A","Dates=H","DateFormat=P","Fill=—","Direction=H","UseDPDF=Y")</f>
        <v>0</v>
      </c>
      <c r="F18" s="17">
        <f>_xll.BDH("LUMN US Equity","CF_NET_CASH_DISCONT_OPS_OPER","FQ4 2018","FQ4 2018","Currency=USD","Period=FQ","BEST_FPERIOD_OVERRIDE=FQ","FILING_STATUS=MR","SCALING_FORMAT=MLN","Sort=A","Dates=H","DateFormat=P","Fill=—","Direction=H","UseDPDF=Y")</f>
        <v>0</v>
      </c>
      <c r="G18" s="17">
        <f>_xll.BDH("LUMN US Equity","CF_NET_CASH_DISCONT_OPS_OPER","FQ1 2019","FQ1 2019","Currency=USD","Period=FQ","BEST_FPERIOD_OVERRIDE=FQ","FILING_STATUS=MR","SCALING_FORMAT=MLN","Sort=A","Dates=H","DateFormat=P","Fill=—","Direction=H","UseDPDF=Y")</f>
        <v>0</v>
      </c>
      <c r="H18" s="17">
        <f>_xll.BDH("LUMN US Equity","CF_NET_CASH_DISCONT_OPS_OPER","FQ2 2019","FQ2 2019","Currency=USD","Period=FQ","BEST_FPERIOD_OVERRIDE=FQ","FILING_STATUS=MR","SCALING_FORMAT=MLN","Sort=A","Dates=H","DateFormat=P","Fill=—","Direction=H","UseDPDF=Y")</f>
        <v>0</v>
      </c>
      <c r="I18" s="17">
        <f>_xll.BDH("LUMN US Equity","CF_NET_CASH_DISCONT_OPS_OPER","FQ3 2019","FQ3 2019","Currency=USD","Period=FQ","BEST_FPERIOD_OVERRIDE=FQ","FILING_STATUS=MR","SCALING_FORMAT=MLN","Sort=A","Dates=H","DateFormat=P","Fill=—","Direction=H","UseDPDF=Y")</f>
        <v>0</v>
      </c>
      <c r="J18" s="17">
        <f>_xll.BDH("LUMN US Equity","CF_NET_CASH_DISCONT_OPS_OPER","FQ4 2019","FQ4 2019","Currency=USD","Period=FQ","BEST_FPERIOD_OVERRIDE=FQ","FILING_STATUS=MR","SCALING_FORMAT=MLN","Sort=A","Dates=H","DateFormat=P","Fill=—","Direction=H","UseDPDF=Y")</f>
        <v>0</v>
      </c>
      <c r="K18" s="17">
        <f>_xll.BDH("LUMN US Equity","CF_NET_CASH_DISCONT_OPS_OPER","FQ1 2020","FQ1 2020","Currency=USD","Period=FQ","BEST_FPERIOD_OVERRIDE=FQ","FILING_STATUS=MR","SCALING_FORMAT=MLN","Sort=A","Dates=H","DateFormat=P","Fill=—","Direction=H","UseDPDF=Y")</f>
        <v>0</v>
      </c>
      <c r="L18" s="17">
        <f>_xll.BDH("LUMN US Equity","CF_NET_CASH_DISCONT_OPS_OPER","FQ2 2020","FQ2 2020","Currency=USD","Period=FQ","BEST_FPERIOD_OVERRIDE=FQ","FILING_STATUS=MR","SCALING_FORMAT=MLN","Sort=A","Dates=H","DateFormat=P","Fill=—","Direction=H","UseDPDF=Y")</f>
        <v>0</v>
      </c>
    </row>
    <row r="19" spans="1:12" x14ac:dyDescent="0.25">
      <c r="A19" s="12" t="s">
        <v>420</v>
      </c>
      <c r="B19" s="12" t="s">
        <v>51</v>
      </c>
      <c r="C19" s="10">
        <f>_xll.BDH("LUMN US Equity","CF_CASH_FROM_OPER","FQ1 2018","FQ1 2018","Currency=USD","Period=FQ","BEST_FPERIOD_OVERRIDE=FQ","FILING_STATUS=MR","SCALING_FORMAT=MLN","Sort=A","Dates=H","DateFormat=P","Fill=—","Direction=H","UseDPDF=Y")</f>
        <v>1667</v>
      </c>
      <c r="D19" s="10">
        <f>_xll.BDH("LUMN US Equity","CF_CASH_FROM_OPER","FQ2 2018","FQ2 2018","Currency=USD","Period=FQ","BEST_FPERIOD_OVERRIDE=FQ","FILING_STATUS=MR","SCALING_FORMAT=MLN","Sort=A","Dates=H","DateFormat=P","Fill=—","Direction=H","UseDPDF=Y")</f>
        <v>1582</v>
      </c>
      <c r="E19" s="10">
        <f>_xll.BDH("LUMN US Equity","CF_CASH_FROM_OPER","FQ3 2018","FQ3 2018","Currency=USD","Period=FQ","BEST_FPERIOD_OVERRIDE=FQ","FILING_STATUS=MR","SCALING_FORMAT=MLN","Sort=A","Dates=H","DateFormat=P","Fill=—","Direction=H","UseDPDF=Y")</f>
        <v>1787</v>
      </c>
      <c r="F19" s="10">
        <f>_xll.BDH("LUMN US Equity","CF_CASH_FROM_OPER","FQ4 2018","FQ4 2018","Currency=USD","Period=FQ","BEST_FPERIOD_OVERRIDE=FQ","FILING_STATUS=MR","SCALING_FORMAT=MLN","Sort=A","Dates=H","DateFormat=P","Fill=—","Direction=H","UseDPDF=Y")</f>
        <v>1996</v>
      </c>
      <c r="G19" s="10">
        <f>_xll.BDH("LUMN US Equity","CF_CASH_FROM_OPER","FQ1 2019","FQ1 2019","Currency=USD","Period=FQ","BEST_FPERIOD_OVERRIDE=FQ","FILING_STATUS=MR","SCALING_FORMAT=MLN","Sort=A","Dates=H","DateFormat=P","Fill=—","Direction=H","UseDPDF=Y")</f>
        <v>1182</v>
      </c>
      <c r="H19" s="10">
        <f>_xll.BDH("LUMN US Equity","CF_CASH_FROM_OPER","FQ2 2019","FQ2 2019","Currency=USD","Period=FQ","BEST_FPERIOD_OVERRIDE=FQ","FILING_STATUS=MR","SCALING_FORMAT=MLN","Sort=A","Dates=H","DateFormat=P","Fill=—","Direction=H","UseDPDF=Y")</f>
        <v>1701</v>
      </c>
      <c r="I19" s="10">
        <f>_xll.BDH("LUMN US Equity","CF_CASH_FROM_OPER","FQ3 2019","FQ3 2019","Currency=USD","Period=FQ","BEST_FPERIOD_OVERRIDE=FQ","FILING_STATUS=MR","SCALING_FORMAT=MLN","Sort=A","Dates=H","DateFormat=P","Fill=—","Direction=H","UseDPDF=Y")</f>
        <v>1888</v>
      </c>
      <c r="J19" s="10">
        <f>_xll.BDH("LUMN US Equity","CF_CASH_FROM_OPER","FQ4 2019","FQ4 2019","Currency=USD","Period=FQ","BEST_FPERIOD_OVERRIDE=FQ","FILING_STATUS=MR","SCALING_FORMAT=MLN","Sort=A","Dates=H","DateFormat=P","Fill=—","Direction=H","UseDPDF=Y")</f>
        <v>1909</v>
      </c>
      <c r="K19" s="10">
        <f>_xll.BDH("LUMN US Equity","CF_CASH_FROM_OPER","FQ1 2020","FQ1 2020","Currency=USD","Period=FQ","BEST_FPERIOD_OVERRIDE=FQ","FILING_STATUS=MR","SCALING_FORMAT=MLN","Sort=A","Dates=H","DateFormat=P","Fill=—","Direction=H","UseDPDF=Y")</f>
        <v>1299</v>
      </c>
      <c r="L19" s="10">
        <f>_xll.BDH("LUMN US Equity","CF_CASH_FROM_OPER","FQ2 2020","FQ2 2020","Currency=USD","Period=FQ","BEST_FPERIOD_OVERRIDE=FQ","FILING_STATUS=MR","SCALING_FORMAT=MLN","Sort=A","Dates=H","DateFormat=P","Fill=—","Direction=H","UseDPDF=Y")</f>
        <v>1749</v>
      </c>
    </row>
    <row r="20" spans="1:12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2" t="s">
        <v>388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6" t="s">
        <v>419</v>
      </c>
      <c r="B22" s="16" t="s">
        <v>418</v>
      </c>
      <c r="C22" s="17">
        <f>_xll.BDH("LUMN US Equity","CHG_IN_FXD_&amp;_INTANG_AST_DETAILED","FQ1 2018","FQ1 2018","Currency=USD","Period=FQ","BEST_FPERIOD_OVERRIDE=FQ","FILING_STATUS=MR","SCALING_FORMAT=MLN","Sort=A","Dates=H","DateFormat=P","Fill=—","Direction=H","UseDPDF=Y")</f>
        <v>-802</v>
      </c>
      <c r="D22" s="17">
        <f>_xll.BDH("LUMN US Equity","CHG_IN_FXD_&amp;_INTANG_AST_DETAILED","FQ2 2018","FQ2 2018","Currency=USD","Period=FQ","BEST_FPERIOD_OVERRIDE=FQ","FILING_STATUS=MR","SCALING_FORMAT=MLN","Sort=A","Dates=H","DateFormat=P","Fill=—","Direction=H","UseDPDF=Y")</f>
        <v>-649</v>
      </c>
      <c r="E22" s="17">
        <f>_xll.BDH("LUMN US Equity","CHG_IN_FXD_&amp;_INTANG_AST_DETAILED","FQ3 2018","FQ3 2018","Currency=USD","Period=FQ","BEST_FPERIOD_OVERRIDE=FQ","FILING_STATUS=MR","SCALING_FORMAT=MLN","Sort=A","Dates=H","DateFormat=P","Fill=—","Direction=H","UseDPDF=Y")</f>
        <v>-684</v>
      </c>
      <c r="F22" s="17">
        <f>_xll.BDH("LUMN US Equity","CHG_IN_FXD_&amp;_INTANG_AST_DETAILED","FQ4 2018","FQ4 2018","Currency=USD","Period=FQ","BEST_FPERIOD_OVERRIDE=FQ","FILING_STATUS=MR","SCALING_FORMAT=MLN","Sort=A","Dates=H","DateFormat=P","Fill=—","Direction=H","UseDPDF=Y")</f>
        <v>-882</v>
      </c>
      <c r="G22" s="17">
        <f>_xll.BDH("LUMN US Equity","CHG_IN_FXD_&amp;_INTANG_AST_DETAILED","FQ1 2019","FQ1 2019","Currency=USD","Period=FQ","BEST_FPERIOD_OVERRIDE=FQ","FILING_STATUS=MR","SCALING_FORMAT=MLN","Sort=A","Dates=H","DateFormat=P","Fill=—","Direction=H","UseDPDF=Y")</f>
        <v>-906</v>
      </c>
      <c r="H22" s="17">
        <f>_xll.BDH("LUMN US Equity","CHG_IN_FXD_&amp;_INTANG_AST_DETAILED","FQ2 2019","FQ2 2019","Currency=USD","Period=FQ","BEST_FPERIOD_OVERRIDE=FQ","FILING_STATUS=MR","SCALING_FORMAT=MLN","Sort=A","Dates=H","DateFormat=P","Fill=—","Direction=H","UseDPDF=Y")</f>
        <v>-799</v>
      </c>
      <c r="I22" s="17">
        <f>_xll.BDH("LUMN US Equity","CHG_IN_FXD_&amp;_INTANG_AST_DETAILED","FQ3 2019","FQ3 2019","Currency=USD","Period=FQ","BEST_FPERIOD_OVERRIDE=FQ","FILING_STATUS=MR","SCALING_FORMAT=MLN","Sort=A","Dates=H","DateFormat=P","Fill=—","Direction=H","UseDPDF=Y")</f>
        <v>-929</v>
      </c>
      <c r="J22" s="17">
        <f>_xll.BDH("LUMN US Equity","CHG_IN_FXD_&amp;_INTANG_AST_DETAILED","FQ4 2019","FQ4 2019","Currency=USD","Period=FQ","BEST_FPERIOD_OVERRIDE=FQ","FILING_STATUS=MR","SCALING_FORMAT=MLN","Sort=A","Dates=H","DateFormat=P","Fill=—","Direction=H","UseDPDF=Y")</f>
        <v>-901</v>
      </c>
      <c r="K22" s="17">
        <f>_xll.BDH("LUMN US Equity","CHG_IN_FXD_&amp;_INTANG_AST_DETAILED","FQ1 2020","FQ1 2020","Currency=USD","Period=FQ","BEST_FPERIOD_OVERRIDE=FQ","FILING_STATUS=MR","SCALING_FORMAT=MLN","Sort=A","Dates=H","DateFormat=P","Fill=—","Direction=H","UseDPDF=Y")</f>
        <v>-939</v>
      </c>
      <c r="L22" s="17">
        <f>_xll.BDH("LUMN US Equity","CHG_IN_FXD_&amp;_INTANG_AST_DETAILED","FQ2 2020","FQ2 2020","Currency=USD","Period=FQ","BEST_FPERIOD_OVERRIDE=FQ","FILING_STATUS=MR","SCALING_FORMAT=MLN","Sort=A","Dates=H","DateFormat=P","Fill=—","Direction=H","UseDPDF=Y")</f>
        <v>-960</v>
      </c>
    </row>
    <row r="23" spans="1:12" x14ac:dyDescent="0.25">
      <c r="A23" s="16" t="s">
        <v>417</v>
      </c>
      <c r="B23" s="16" t="s">
        <v>416</v>
      </c>
      <c r="C23" s="17">
        <f>_xll.BDH("LUMN US Equity","DISP_FXD_&amp;_INTANGIBLES_DETAILED","FQ1 2018","FQ1 2018","Currency=USD","Period=FQ","BEST_FPERIOD_OVERRIDE=FQ","FILING_STATUS=MR","SCALING_FORMAT=MLN","Sort=A","Dates=H","DateFormat=P","Fill=—","Direction=H","UseDPDF=Y")</f>
        <v>3</v>
      </c>
      <c r="D23" s="17">
        <f>_xll.BDH("LUMN US Equity","DISP_FXD_&amp;_INTANGIBLES_DETAILED","FQ2 2018","FQ2 2018","Currency=USD","Period=FQ","BEST_FPERIOD_OVERRIDE=FQ","FILING_STATUS=MR","SCALING_FORMAT=MLN","Sort=A","Dates=H","DateFormat=P","Fill=—","Direction=H","UseDPDF=Y")</f>
        <v>122</v>
      </c>
      <c r="E23" s="17">
        <f>_xll.BDH("LUMN US Equity","DISP_FXD_&amp;_INTANGIBLES_DETAILED","FQ3 2018","FQ3 2018","Currency=USD","Period=FQ","BEST_FPERIOD_OVERRIDE=FQ","FILING_STATUS=MR","SCALING_FORMAT=MLN","Sort=A","Dates=H","DateFormat=P","Fill=—","Direction=H","UseDPDF=Y")</f>
        <v>0</v>
      </c>
      <c r="F23" s="17">
        <f>_xll.BDH("LUMN US Equity","DISP_FXD_&amp;_INTANGIBLES_DETAILED","FQ4 2018","FQ4 2018","Currency=USD","Period=FQ","BEST_FPERIOD_OVERRIDE=FQ","FILING_STATUS=MR","SCALING_FORMAT=MLN","Sort=A","Dates=H","DateFormat=P","Fill=—","Direction=H","UseDPDF=Y")</f>
        <v>33</v>
      </c>
      <c r="G23" s="17">
        <f>_xll.BDH("LUMN US Equity","DISP_FXD_&amp;_INTANGIBLES_DETAILED","FQ1 2019","FQ1 2019","Currency=USD","Period=FQ","BEST_FPERIOD_OVERRIDE=FQ","FILING_STATUS=MR","SCALING_FORMAT=MLN","Sort=A","Dates=H","DateFormat=P","Fill=—","Direction=H","UseDPDF=Y")</f>
        <v>25</v>
      </c>
      <c r="H23" s="17">
        <f>_xll.BDH("LUMN US Equity","DISP_FXD_&amp;_INTANGIBLES_DETAILED","FQ2 2019","FQ2 2019","Currency=USD","Period=FQ","BEST_FPERIOD_OVERRIDE=FQ","FILING_STATUS=MR","SCALING_FORMAT=MLN","Sort=A","Dates=H","DateFormat=P","Fill=—","Direction=H","UseDPDF=Y")</f>
        <v>1</v>
      </c>
      <c r="I23" s="17">
        <f>_xll.BDH("LUMN US Equity","DISP_FXD_&amp;_INTANGIBLES_DETAILED","FQ3 2019","FQ3 2019","Currency=USD","Period=FQ","BEST_FPERIOD_OVERRIDE=FQ","FILING_STATUS=MR","SCALING_FORMAT=MLN","Sort=A","Dates=H","DateFormat=P","Fill=—","Direction=H","UseDPDF=Y")</f>
        <v>28</v>
      </c>
      <c r="J23" s="17">
        <f>_xll.BDH("LUMN US Equity","DISP_FXD_&amp;_INTANGIBLES_DETAILED","FQ4 2019","FQ4 2019","Currency=USD","Period=FQ","BEST_FPERIOD_OVERRIDE=FQ","FILING_STATUS=MR","SCALING_FORMAT=MLN","Sort=A","Dates=H","DateFormat=P","Fill=—","Direction=H","UseDPDF=Y")</f>
        <v>39</v>
      </c>
      <c r="K23" s="17">
        <f>_xll.BDH("LUMN US Equity","DISP_FXD_&amp;_INTANGIBLES_DETAILED","FQ1 2020","FQ1 2020","Currency=USD","Period=FQ","BEST_FPERIOD_OVERRIDE=FQ","FILING_STATUS=MR","SCALING_FORMAT=MLN","Sort=A","Dates=H","DateFormat=P","Fill=—","Direction=H","UseDPDF=Y")</f>
        <v>35</v>
      </c>
      <c r="L23" s="17">
        <f>_xll.BDH("LUMN US Equity","DISP_FXD_&amp;_INTANGIBLES_DETAILED","FQ2 2020","FQ2 2020","Currency=USD","Period=FQ","BEST_FPERIOD_OVERRIDE=FQ","FILING_STATUS=MR","SCALING_FORMAT=MLN","Sort=A","Dates=H","DateFormat=P","Fill=—","Direction=H","UseDPDF=Y")</f>
        <v>49</v>
      </c>
    </row>
    <row r="24" spans="1:12" x14ac:dyDescent="0.25">
      <c r="A24" s="8" t="s">
        <v>415</v>
      </c>
      <c r="B24" s="8" t="s">
        <v>414</v>
      </c>
      <c r="C24" s="9">
        <f>_xll.BDH("LUMN US Equity","CF_DISPOSAL_OF_FIXED_PROD_ASSETS","FQ1 2018","FQ1 2018","Currency=USD","Period=FQ","BEST_FPERIOD_OVERRIDE=FQ","FILING_STATUS=MR","SCALING_FORMAT=MLN","Sort=A","Dates=H","DateFormat=P","Fill=—","Direction=H","UseDPDF=Y")</f>
        <v>3</v>
      </c>
      <c r="D24" s="9">
        <f>_xll.BDH("LUMN US Equity","CF_DISPOSAL_OF_FIXED_PROD_ASSETS","FQ2 2018","FQ2 2018","Currency=USD","Period=FQ","BEST_FPERIOD_OVERRIDE=FQ","FILING_STATUS=MR","SCALING_FORMAT=MLN","Sort=A","Dates=H","DateFormat=P","Fill=—","Direction=H","UseDPDF=Y")</f>
        <v>122</v>
      </c>
      <c r="E24" s="9">
        <f>_xll.BDH("LUMN US Equity","CF_DISPOSAL_OF_FIXED_PROD_ASSETS","FQ3 2018","FQ3 2018","Currency=USD","Period=FQ","BEST_FPERIOD_OVERRIDE=FQ","FILING_STATUS=MR","SCALING_FORMAT=MLN","Sort=A","Dates=H","DateFormat=P","Fill=—","Direction=H","UseDPDF=Y")</f>
        <v>0</v>
      </c>
      <c r="F24" s="9">
        <f>_xll.BDH("LUMN US Equity","CF_DISPOSAL_OF_FIXED_PROD_ASSETS","FQ4 2018","FQ4 2018","Currency=USD","Period=FQ","BEST_FPERIOD_OVERRIDE=FQ","FILING_STATUS=MR","SCALING_FORMAT=MLN","Sort=A","Dates=H","DateFormat=P","Fill=—","Direction=H","UseDPDF=Y")</f>
        <v>33</v>
      </c>
      <c r="G24" s="9">
        <f>_xll.BDH("LUMN US Equity","CF_DISPOSAL_OF_FIXED_PROD_ASSETS","FQ1 2019","FQ1 2019","Currency=USD","Period=FQ","BEST_FPERIOD_OVERRIDE=FQ","FILING_STATUS=MR","SCALING_FORMAT=MLN","Sort=A","Dates=H","DateFormat=P","Fill=—","Direction=H","UseDPDF=Y")</f>
        <v>25</v>
      </c>
      <c r="H24" s="9">
        <f>_xll.BDH("LUMN US Equity","CF_DISPOSAL_OF_FIXED_PROD_ASSETS","FQ2 2019","FQ2 2019","Currency=USD","Period=FQ","BEST_FPERIOD_OVERRIDE=FQ","FILING_STATUS=MR","SCALING_FORMAT=MLN","Sort=A","Dates=H","DateFormat=P","Fill=—","Direction=H","UseDPDF=Y")</f>
        <v>1</v>
      </c>
      <c r="I24" s="9">
        <f>_xll.BDH("LUMN US Equity","CF_DISPOSAL_OF_FIXED_PROD_ASSETS","FQ3 2019","FQ3 2019","Currency=USD","Period=FQ","BEST_FPERIOD_OVERRIDE=FQ","FILING_STATUS=MR","SCALING_FORMAT=MLN","Sort=A","Dates=H","DateFormat=P","Fill=—","Direction=H","UseDPDF=Y")</f>
        <v>28</v>
      </c>
      <c r="J24" s="9">
        <f>_xll.BDH("LUMN US Equity","CF_DISPOSAL_OF_FIXED_PROD_ASSETS","FQ4 2019","FQ4 2019","Currency=USD","Period=FQ","BEST_FPERIOD_OVERRIDE=FQ","FILING_STATUS=MR","SCALING_FORMAT=MLN","Sort=A","Dates=H","DateFormat=P","Fill=—","Direction=H","UseDPDF=Y")</f>
        <v>39</v>
      </c>
      <c r="K24" s="9">
        <f>_xll.BDH("LUMN US Equity","CF_DISPOSAL_OF_FIXED_PROD_ASSETS","FQ1 2020","FQ1 2020","Currency=USD","Period=FQ","BEST_FPERIOD_OVERRIDE=FQ","FILING_STATUS=MR","SCALING_FORMAT=MLN","Sort=A","Dates=H","DateFormat=P","Fill=—","Direction=H","UseDPDF=Y")</f>
        <v>35</v>
      </c>
      <c r="L24" s="9">
        <f>_xll.BDH("LUMN US Equity","CF_DISPOSAL_OF_FIXED_PROD_ASSETS","FQ2 2020","FQ2 2020","Currency=USD","Period=FQ","BEST_FPERIOD_OVERRIDE=FQ","FILING_STATUS=MR","SCALING_FORMAT=MLN","Sort=A","Dates=H","DateFormat=P","Fill=—","Direction=H","UseDPDF=Y")</f>
        <v>49</v>
      </c>
    </row>
    <row r="25" spans="1:12" x14ac:dyDescent="0.25">
      <c r="A25" s="8" t="s">
        <v>413</v>
      </c>
      <c r="B25" s="8" t="s">
        <v>412</v>
      </c>
      <c r="C25" s="9">
        <f>_xll.BDH("LUMN US Equity","CF_DISPOSAL_OF_INTANGIBLE_ASSETS","FQ1 2018","FQ1 2018","Currency=USD","Period=FQ","BEST_FPERIOD_OVERRIDE=FQ","FILING_STATUS=MR","SCALING_FORMAT=MLN","Sort=A","Dates=H","DateFormat=P","Fill=—","Direction=H","UseDPDF=Y")</f>
        <v>0</v>
      </c>
      <c r="D25" s="9">
        <f>_xll.BDH("LUMN US Equity","CF_DISPOSAL_OF_INTANGIBLE_ASSETS","FQ2 2018","FQ2 2018","Currency=USD","Period=FQ","BEST_FPERIOD_OVERRIDE=FQ","FILING_STATUS=MR","SCALING_FORMAT=MLN","Sort=A","Dates=H","DateFormat=P","Fill=—","Direction=H","UseDPDF=Y")</f>
        <v>0</v>
      </c>
      <c r="E25" s="9">
        <f>_xll.BDH("LUMN US Equity","CF_DISPOSAL_OF_INTANGIBLE_ASSETS","FQ3 2018","FQ3 2018","Currency=USD","Period=FQ","BEST_FPERIOD_OVERRIDE=FQ","FILING_STATUS=MR","SCALING_FORMAT=MLN","Sort=A","Dates=H","DateFormat=P","Fill=—","Direction=H","UseDPDF=Y")</f>
        <v>0</v>
      </c>
      <c r="F25" s="9">
        <f>_xll.BDH("LUMN US Equity","CF_DISPOSAL_OF_INTANGIBLE_ASSETS","FQ4 2018","FQ4 2018","Currency=USD","Period=FQ","BEST_FPERIOD_OVERRIDE=FQ","FILING_STATUS=MR","SCALING_FORMAT=MLN","Sort=A","Dates=H","DateFormat=P","Fill=—","Direction=H","UseDPDF=Y")</f>
        <v>0</v>
      </c>
      <c r="G25" s="9">
        <f>_xll.BDH("LUMN US Equity","CF_DISPOSAL_OF_INTANGIBLE_ASSETS","FQ1 2019","FQ1 2019","Currency=USD","Period=FQ","BEST_FPERIOD_OVERRIDE=FQ","FILING_STATUS=MR","SCALING_FORMAT=MLN","Sort=A","Dates=H","DateFormat=P","Fill=—","Direction=H","UseDPDF=Y")</f>
        <v>0</v>
      </c>
      <c r="H25" s="9">
        <f>_xll.BDH("LUMN US Equity","CF_DISPOSAL_OF_INTANGIBLE_ASSETS","FQ2 2019","FQ2 2019","Currency=USD","Period=FQ","BEST_FPERIOD_OVERRIDE=FQ","FILING_STATUS=MR","SCALING_FORMAT=MLN","Sort=A","Dates=H","DateFormat=P","Fill=—","Direction=H","UseDPDF=Y")</f>
        <v>0</v>
      </c>
      <c r="I25" s="9">
        <f>_xll.BDH("LUMN US Equity","CF_DISPOSAL_OF_INTANGIBLE_ASSETS","FQ3 2019","FQ3 2019","Currency=USD","Period=FQ","BEST_FPERIOD_OVERRIDE=FQ","FILING_STATUS=MR","SCALING_FORMAT=MLN","Sort=A","Dates=H","DateFormat=P","Fill=—","Direction=H","UseDPDF=Y")</f>
        <v>0</v>
      </c>
      <c r="J25" s="9">
        <f>_xll.BDH("LUMN US Equity","CF_DISPOSAL_OF_INTANGIBLE_ASSETS","FQ4 2019","FQ4 2019","Currency=USD","Period=FQ","BEST_FPERIOD_OVERRIDE=FQ","FILING_STATUS=MR","SCALING_FORMAT=MLN","Sort=A","Dates=H","DateFormat=P","Fill=—","Direction=H","UseDPDF=Y")</f>
        <v>0</v>
      </c>
      <c r="K25" s="9">
        <f>_xll.BDH("LUMN US Equity","CF_DISPOSAL_OF_INTANGIBLE_ASSETS","FQ1 2020","FQ1 2020","Currency=USD","Period=FQ","BEST_FPERIOD_OVERRIDE=FQ","FILING_STATUS=MR","SCALING_FORMAT=MLN","Sort=A","Dates=H","DateFormat=P","Fill=—","Direction=H","UseDPDF=Y")</f>
        <v>0</v>
      </c>
      <c r="L25" s="9">
        <f>_xll.BDH("LUMN US Equity","CF_DISPOSAL_OF_INTANGIBLE_ASSETS","FQ2 2020","FQ2 2020","Currency=USD","Period=FQ","BEST_FPERIOD_OVERRIDE=FQ","FILING_STATUS=MR","SCALING_FORMAT=MLN","Sort=A","Dates=H","DateFormat=P","Fill=—","Direction=H","UseDPDF=Y")</f>
        <v>0</v>
      </c>
    </row>
    <row r="26" spans="1:12" x14ac:dyDescent="0.25">
      <c r="A26" s="16" t="s">
        <v>411</v>
      </c>
      <c r="B26" s="16" t="s">
        <v>410</v>
      </c>
      <c r="C26" s="17">
        <f>_xll.BDH("LUMN US Equity","ACQUIS_FXD_&amp;_INTANG_DETAILED","FQ1 2018","FQ1 2018","Currency=USD","Period=FQ","BEST_FPERIOD_OVERRIDE=FQ","FILING_STATUS=MR","SCALING_FORMAT=MLN","Sort=A","Dates=H","DateFormat=P","Fill=—","Direction=H","UseDPDF=Y")</f>
        <v>-805</v>
      </c>
      <c r="D26" s="17">
        <f>_xll.BDH("LUMN US Equity","ACQUIS_FXD_&amp;_INTANG_DETAILED","FQ2 2018","FQ2 2018","Currency=USD","Period=FQ","BEST_FPERIOD_OVERRIDE=FQ","FILING_STATUS=MR","SCALING_FORMAT=MLN","Sort=A","Dates=H","DateFormat=P","Fill=—","Direction=H","UseDPDF=Y")</f>
        <v>-771</v>
      </c>
      <c r="E26" s="17">
        <f>_xll.BDH("LUMN US Equity","ACQUIS_FXD_&amp;_INTANG_DETAILED","FQ3 2018","FQ3 2018","Currency=USD","Period=FQ","BEST_FPERIOD_OVERRIDE=FQ","FILING_STATUS=MR","SCALING_FORMAT=MLN","Sort=A","Dates=H","DateFormat=P","Fill=—","Direction=H","UseDPDF=Y")</f>
        <v>-684</v>
      </c>
      <c r="F26" s="17">
        <f>_xll.BDH("LUMN US Equity","ACQUIS_FXD_&amp;_INTANG_DETAILED","FQ4 2018","FQ4 2018","Currency=USD","Period=FQ","BEST_FPERIOD_OVERRIDE=FQ","FILING_STATUS=MR","SCALING_FORMAT=MLN","Sort=A","Dates=H","DateFormat=P","Fill=—","Direction=H","UseDPDF=Y")</f>
        <v>-915</v>
      </c>
      <c r="G26" s="17">
        <f>_xll.BDH("LUMN US Equity","ACQUIS_FXD_&amp;_INTANG_DETAILED","FQ1 2019","FQ1 2019","Currency=USD","Period=FQ","BEST_FPERIOD_OVERRIDE=FQ","FILING_STATUS=MR","SCALING_FORMAT=MLN","Sort=A","Dates=H","DateFormat=P","Fill=—","Direction=H","UseDPDF=Y")</f>
        <v>-931</v>
      </c>
      <c r="H26" s="17">
        <f>_xll.BDH("LUMN US Equity","ACQUIS_FXD_&amp;_INTANG_DETAILED","FQ2 2019","FQ2 2019","Currency=USD","Period=FQ","BEST_FPERIOD_OVERRIDE=FQ","FILING_STATUS=MR","SCALING_FORMAT=MLN","Sort=A","Dates=H","DateFormat=P","Fill=—","Direction=H","UseDPDF=Y")</f>
        <v>-800</v>
      </c>
      <c r="I26" s="17">
        <f>_xll.BDH("LUMN US Equity","ACQUIS_FXD_&amp;_INTANG_DETAILED","FQ3 2019","FQ3 2019","Currency=USD","Period=FQ","BEST_FPERIOD_OVERRIDE=FQ","FILING_STATUS=MR","SCALING_FORMAT=MLN","Sort=A","Dates=H","DateFormat=P","Fill=—","Direction=H","UseDPDF=Y")</f>
        <v>-957</v>
      </c>
      <c r="J26" s="17">
        <f>_xll.BDH("LUMN US Equity","ACQUIS_FXD_&amp;_INTANG_DETAILED","FQ4 2019","FQ4 2019","Currency=USD","Period=FQ","BEST_FPERIOD_OVERRIDE=FQ","FILING_STATUS=MR","SCALING_FORMAT=MLN","Sort=A","Dates=H","DateFormat=P","Fill=—","Direction=H","UseDPDF=Y")</f>
        <v>-940</v>
      </c>
      <c r="K26" s="17">
        <f>_xll.BDH("LUMN US Equity","ACQUIS_FXD_&amp;_INTANG_DETAILED","FQ1 2020","FQ1 2020","Currency=USD","Period=FQ","BEST_FPERIOD_OVERRIDE=FQ","FILING_STATUS=MR","SCALING_FORMAT=MLN","Sort=A","Dates=H","DateFormat=P","Fill=—","Direction=H","UseDPDF=Y")</f>
        <v>-974</v>
      </c>
      <c r="L26" s="17">
        <f>_xll.BDH("LUMN US Equity","ACQUIS_FXD_&amp;_INTANG_DETAILED","FQ2 2020","FQ2 2020","Currency=USD","Period=FQ","BEST_FPERIOD_OVERRIDE=FQ","FILING_STATUS=MR","SCALING_FORMAT=MLN","Sort=A","Dates=H","DateFormat=P","Fill=—","Direction=H","UseDPDF=Y")</f>
        <v>-1009</v>
      </c>
    </row>
    <row r="27" spans="1:12" x14ac:dyDescent="0.25">
      <c r="A27" s="8" t="s">
        <v>409</v>
      </c>
      <c r="B27" s="8" t="s">
        <v>408</v>
      </c>
      <c r="C27" s="9">
        <f>_xll.BDH("LUMN US Equity","CF_PURCHASE_OF_FIXED_PROD_ASSETS","FQ1 2018","FQ1 2018","Currency=USD","Period=FQ","BEST_FPERIOD_OVERRIDE=FQ","FILING_STATUS=MR","SCALING_FORMAT=MLN","Sort=A","Dates=H","DateFormat=P","Fill=—","Direction=H","UseDPDF=Y")</f>
        <v>-805</v>
      </c>
      <c r="D27" s="9">
        <f>_xll.BDH("LUMN US Equity","CF_PURCHASE_OF_FIXED_PROD_ASSETS","FQ2 2018","FQ2 2018","Currency=USD","Period=FQ","BEST_FPERIOD_OVERRIDE=FQ","FILING_STATUS=MR","SCALING_FORMAT=MLN","Sort=A","Dates=H","DateFormat=P","Fill=—","Direction=H","UseDPDF=Y")</f>
        <v>-771</v>
      </c>
      <c r="E27" s="9">
        <f>_xll.BDH("LUMN US Equity","CF_PURCHASE_OF_FIXED_PROD_ASSETS","FQ3 2018","FQ3 2018","Currency=USD","Period=FQ","BEST_FPERIOD_OVERRIDE=FQ","FILING_STATUS=MR","SCALING_FORMAT=MLN","Sort=A","Dates=H","DateFormat=P","Fill=—","Direction=H","UseDPDF=Y")</f>
        <v>-684</v>
      </c>
      <c r="F27" s="9">
        <f>_xll.BDH("LUMN US Equity","CF_PURCHASE_OF_FIXED_PROD_ASSETS","FQ4 2018","FQ4 2018","Currency=USD","Period=FQ","BEST_FPERIOD_OVERRIDE=FQ","FILING_STATUS=MR","SCALING_FORMAT=MLN","Sort=A","Dates=H","DateFormat=P","Fill=—","Direction=H","UseDPDF=Y")</f>
        <v>-915</v>
      </c>
      <c r="G27" s="9">
        <f>_xll.BDH("LUMN US Equity","CF_PURCHASE_OF_FIXED_PROD_ASSETS","FQ1 2019","FQ1 2019","Currency=USD","Period=FQ","BEST_FPERIOD_OVERRIDE=FQ","FILING_STATUS=MR","SCALING_FORMAT=MLN","Sort=A","Dates=H","DateFormat=P","Fill=—","Direction=H","UseDPDF=Y")</f>
        <v>-931</v>
      </c>
      <c r="H27" s="9">
        <f>_xll.BDH("LUMN US Equity","CF_PURCHASE_OF_FIXED_PROD_ASSETS","FQ2 2019","FQ2 2019","Currency=USD","Period=FQ","BEST_FPERIOD_OVERRIDE=FQ","FILING_STATUS=MR","SCALING_FORMAT=MLN","Sort=A","Dates=H","DateFormat=P","Fill=—","Direction=H","UseDPDF=Y")</f>
        <v>-800</v>
      </c>
      <c r="I27" s="9">
        <f>_xll.BDH("LUMN US Equity","CF_PURCHASE_OF_FIXED_PROD_ASSETS","FQ3 2019","FQ3 2019","Currency=USD","Period=FQ","BEST_FPERIOD_OVERRIDE=FQ","FILING_STATUS=MR","SCALING_FORMAT=MLN","Sort=A","Dates=H","DateFormat=P","Fill=—","Direction=H","UseDPDF=Y")</f>
        <v>-957</v>
      </c>
      <c r="J27" s="9">
        <f>_xll.BDH("LUMN US Equity","CF_PURCHASE_OF_FIXED_PROD_ASSETS","FQ4 2019","FQ4 2019","Currency=USD","Period=FQ","BEST_FPERIOD_OVERRIDE=FQ","FILING_STATUS=MR","SCALING_FORMAT=MLN","Sort=A","Dates=H","DateFormat=P","Fill=—","Direction=H","UseDPDF=Y")</f>
        <v>-940</v>
      </c>
      <c r="K27" s="9">
        <f>_xll.BDH("LUMN US Equity","CF_PURCHASE_OF_FIXED_PROD_ASSETS","FQ1 2020","FQ1 2020","Currency=USD","Period=FQ","BEST_FPERIOD_OVERRIDE=FQ","FILING_STATUS=MR","SCALING_FORMAT=MLN","Sort=A","Dates=H","DateFormat=P","Fill=—","Direction=H","UseDPDF=Y")</f>
        <v>-974</v>
      </c>
      <c r="L27" s="9">
        <f>_xll.BDH("LUMN US Equity","CF_PURCHASE_OF_FIXED_PROD_ASSETS","FQ2 2020","FQ2 2020","Currency=USD","Period=FQ","BEST_FPERIOD_OVERRIDE=FQ","FILING_STATUS=MR","SCALING_FORMAT=MLN","Sort=A","Dates=H","DateFormat=P","Fill=—","Direction=H","UseDPDF=Y")</f>
        <v>-1009</v>
      </c>
    </row>
    <row r="28" spans="1:12" x14ac:dyDescent="0.25">
      <c r="A28" s="8" t="s">
        <v>407</v>
      </c>
      <c r="B28" s="8" t="s">
        <v>406</v>
      </c>
      <c r="C28" s="9">
        <f>_xll.BDH("LUMN US Equity","CF_ACQUISITION_OF_INTANG_ASSETS","FQ1 2018","FQ1 2018","Currency=USD","Period=FQ","BEST_FPERIOD_OVERRIDE=FQ","FILING_STATUS=MR","SCALING_FORMAT=MLN","Sort=A","Dates=H","DateFormat=P","Fill=—","Direction=H","UseDPDF=Y")</f>
        <v>0</v>
      </c>
      <c r="D28" s="9">
        <f>_xll.BDH("LUMN US Equity","CF_ACQUISITION_OF_INTANG_ASSETS","FQ2 2018","FQ2 2018","Currency=USD","Period=FQ","BEST_FPERIOD_OVERRIDE=FQ","FILING_STATUS=MR","SCALING_FORMAT=MLN","Sort=A","Dates=H","DateFormat=P","Fill=—","Direction=H","UseDPDF=Y")</f>
        <v>0</v>
      </c>
      <c r="E28" s="9">
        <f>_xll.BDH("LUMN US Equity","CF_ACQUISITION_OF_INTANG_ASSETS","FQ3 2018","FQ3 2018","Currency=USD","Period=FQ","BEST_FPERIOD_OVERRIDE=FQ","FILING_STATUS=MR","SCALING_FORMAT=MLN","Sort=A","Dates=H","DateFormat=P","Fill=—","Direction=H","UseDPDF=Y")</f>
        <v>0</v>
      </c>
      <c r="F28" s="9">
        <f>_xll.BDH("LUMN US Equity","CF_ACQUISITION_OF_INTANG_ASSETS","FQ4 2018","FQ4 2018","Currency=USD","Period=FQ","BEST_FPERIOD_OVERRIDE=FQ","FILING_STATUS=MR","SCALING_FORMAT=MLN","Sort=A","Dates=H","DateFormat=P","Fill=—","Direction=H","UseDPDF=Y")</f>
        <v>0</v>
      </c>
      <c r="G28" s="9">
        <f>_xll.BDH("LUMN US Equity","CF_ACQUISITION_OF_INTANG_ASSETS","FQ1 2019","FQ1 2019","Currency=USD","Period=FQ","BEST_FPERIOD_OVERRIDE=FQ","FILING_STATUS=MR","SCALING_FORMAT=MLN","Sort=A","Dates=H","DateFormat=P","Fill=—","Direction=H","UseDPDF=Y")</f>
        <v>0</v>
      </c>
      <c r="H28" s="9">
        <f>_xll.BDH("LUMN US Equity","CF_ACQUISITION_OF_INTANG_ASSETS","FQ2 2019","FQ2 2019","Currency=USD","Period=FQ","BEST_FPERIOD_OVERRIDE=FQ","FILING_STATUS=MR","SCALING_FORMAT=MLN","Sort=A","Dates=H","DateFormat=P","Fill=—","Direction=H","UseDPDF=Y")</f>
        <v>0</v>
      </c>
      <c r="I28" s="9">
        <f>_xll.BDH("LUMN US Equity","CF_ACQUISITION_OF_INTANG_ASSETS","FQ3 2019","FQ3 2019","Currency=USD","Period=FQ","BEST_FPERIOD_OVERRIDE=FQ","FILING_STATUS=MR","SCALING_FORMAT=MLN","Sort=A","Dates=H","DateFormat=P","Fill=—","Direction=H","UseDPDF=Y")</f>
        <v>0</v>
      </c>
      <c r="J28" s="9">
        <f>_xll.BDH("LUMN US Equity","CF_ACQUISITION_OF_INTANG_ASSETS","FQ4 2019","FQ4 2019","Currency=USD","Period=FQ","BEST_FPERIOD_OVERRIDE=FQ","FILING_STATUS=MR","SCALING_FORMAT=MLN","Sort=A","Dates=H","DateFormat=P","Fill=—","Direction=H","UseDPDF=Y")</f>
        <v>0</v>
      </c>
      <c r="K28" s="9">
        <f>_xll.BDH("LUMN US Equity","CF_ACQUISITION_OF_INTANG_ASSETS","FQ1 2020","FQ1 2020","Currency=USD","Period=FQ","BEST_FPERIOD_OVERRIDE=FQ","FILING_STATUS=MR","SCALING_FORMAT=MLN","Sort=A","Dates=H","DateFormat=P","Fill=—","Direction=H","UseDPDF=Y")</f>
        <v>0</v>
      </c>
      <c r="L28" s="9">
        <f>_xll.BDH("LUMN US Equity","CF_ACQUISITION_OF_INTANG_ASSETS","FQ2 2020","FQ2 2020","Currency=USD","Period=FQ","BEST_FPERIOD_OVERRIDE=FQ","FILING_STATUS=MR","SCALING_FORMAT=MLN","Sort=A","Dates=H","DateFormat=P","Fill=—","Direction=H","UseDPDF=Y")</f>
        <v>0</v>
      </c>
    </row>
    <row r="29" spans="1:12" x14ac:dyDescent="0.25">
      <c r="A29" s="16" t="s">
        <v>405</v>
      </c>
      <c r="B29" s="16" t="s">
        <v>404</v>
      </c>
      <c r="C29" s="17">
        <f>_xll.BDH("LUMN US Equity","NET_CHG_IN_LT_INVEST_DETAILED","FQ1 2018","FQ1 2018","Currency=USD","Period=FQ","BEST_FPERIOD_OVERRIDE=FQ","FILING_STATUS=MR","SCALING_FORMAT=MLN","Sort=A","Dates=H","DateFormat=P","Fill=—","Direction=H","UseDPDF=Y")</f>
        <v>0</v>
      </c>
      <c r="D29" s="17">
        <f>_xll.BDH("LUMN US Equity","NET_CHG_IN_LT_INVEST_DETAILED","FQ2 2018","FQ2 2018","Currency=USD","Period=FQ","BEST_FPERIOD_OVERRIDE=FQ","FILING_STATUS=MR","SCALING_FORMAT=MLN","Sort=A","Dates=H","DateFormat=P","Fill=—","Direction=H","UseDPDF=Y")</f>
        <v>0</v>
      </c>
      <c r="E29" s="17">
        <f>_xll.BDH("LUMN US Equity","NET_CHG_IN_LT_INVEST_DETAILED","FQ3 2018","FQ3 2018","Currency=USD","Period=FQ","BEST_FPERIOD_OVERRIDE=FQ","FILING_STATUS=MR","SCALING_FORMAT=MLN","Sort=A","Dates=H","DateFormat=P","Fill=—","Direction=H","UseDPDF=Y")</f>
        <v>0</v>
      </c>
      <c r="F29" s="17">
        <f>_xll.BDH("LUMN US Equity","NET_CHG_IN_LT_INVEST_DETAILED","FQ4 2018","FQ4 2018","Currency=USD","Period=FQ","BEST_FPERIOD_OVERRIDE=FQ","FILING_STATUS=MR","SCALING_FORMAT=MLN","Sort=A","Dates=H","DateFormat=P","Fill=—","Direction=H","UseDPDF=Y")</f>
        <v>0</v>
      </c>
      <c r="G29" s="17">
        <f>_xll.BDH("LUMN US Equity","NET_CHG_IN_LT_INVEST_DETAILED","FQ1 2019","FQ1 2019","Currency=USD","Period=FQ","BEST_FPERIOD_OVERRIDE=FQ","FILING_STATUS=MR","SCALING_FORMAT=MLN","Sort=A","Dates=H","DateFormat=P","Fill=—","Direction=H","UseDPDF=Y")</f>
        <v>0</v>
      </c>
      <c r="H29" s="17">
        <f>_xll.BDH("LUMN US Equity","NET_CHG_IN_LT_INVEST_DETAILED","FQ2 2019","FQ2 2019","Currency=USD","Period=FQ","BEST_FPERIOD_OVERRIDE=FQ","FILING_STATUS=MR","SCALING_FORMAT=MLN","Sort=A","Dates=H","DateFormat=P","Fill=—","Direction=H","UseDPDF=Y")</f>
        <v>0</v>
      </c>
      <c r="I29" s="17">
        <f>_xll.BDH("LUMN US Equity","NET_CHG_IN_LT_INVEST_DETAILED","FQ3 2019","FQ3 2019","Currency=USD","Period=FQ","BEST_FPERIOD_OVERRIDE=FQ","FILING_STATUS=MR","SCALING_FORMAT=MLN","Sort=A","Dates=H","DateFormat=P","Fill=—","Direction=H","UseDPDF=Y")</f>
        <v>0</v>
      </c>
      <c r="J29" s="17">
        <f>_xll.BDH("LUMN US Equity","NET_CHG_IN_LT_INVEST_DETAILED","FQ4 2019","FQ4 2019","Currency=USD","Period=FQ","BEST_FPERIOD_OVERRIDE=FQ","FILING_STATUS=MR","SCALING_FORMAT=MLN","Sort=A","Dates=H","DateFormat=P","Fill=—","Direction=H","UseDPDF=Y")</f>
        <v>0</v>
      </c>
      <c r="K29" s="17">
        <f>_xll.BDH("LUMN US Equity","NET_CHG_IN_LT_INVEST_DETAILED","FQ1 2020","FQ1 2020","Currency=USD","Period=FQ","BEST_FPERIOD_OVERRIDE=FQ","FILING_STATUS=MR","SCALING_FORMAT=MLN","Sort=A","Dates=H","DateFormat=P","Fill=—","Direction=H","UseDPDF=Y")</f>
        <v>0</v>
      </c>
      <c r="L29" s="17">
        <f>_xll.BDH("LUMN US Equity","NET_CHG_IN_LT_INVEST_DETAILED","FQ2 2020","FQ2 2020","Currency=USD","Period=FQ","BEST_FPERIOD_OVERRIDE=FQ","FILING_STATUS=MR","SCALING_FORMAT=MLN","Sort=A","Dates=H","DateFormat=P","Fill=—","Direction=H","UseDPDF=Y")</f>
        <v>0</v>
      </c>
    </row>
    <row r="30" spans="1:12" x14ac:dyDescent="0.25">
      <c r="A30" s="16" t="s">
        <v>403</v>
      </c>
      <c r="B30" s="16" t="s">
        <v>402</v>
      </c>
      <c r="C30" s="17">
        <f>_xll.BDH("LUMN US Equity","CF_DECR_INVEST","FQ1 2018","FQ1 2018","Currency=USD","Period=FQ","BEST_FPERIOD_OVERRIDE=FQ","FILING_STATUS=MR","SCALING_FORMAT=MLN","Sort=A","Dates=H","DateFormat=P","Fill=—","Direction=H","UseDPDF=Y")</f>
        <v>0</v>
      </c>
      <c r="D30" s="17">
        <f>_xll.BDH("LUMN US Equity","CF_DECR_INVEST","FQ2 2018","FQ2 2018","Currency=USD","Period=FQ","BEST_FPERIOD_OVERRIDE=FQ","FILING_STATUS=MR","SCALING_FORMAT=MLN","Sort=A","Dates=H","DateFormat=P","Fill=—","Direction=H","UseDPDF=Y")</f>
        <v>0</v>
      </c>
      <c r="E30" s="17">
        <f>_xll.BDH("LUMN US Equity","CF_DECR_INVEST","FQ3 2018","FQ3 2018","Currency=USD","Period=FQ","BEST_FPERIOD_OVERRIDE=FQ","FILING_STATUS=MR","SCALING_FORMAT=MLN","Sort=A","Dates=H","DateFormat=P","Fill=—","Direction=H","UseDPDF=Y")</f>
        <v>0</v>
      </c>
      <c r="F30" s="17">
        <f>_xll.BDH("LUMN US Equity","CF_DECR_INVEST","FQ4 2018","FQ4 2018","Currency=USD","Period=FQ","BEST_FPERIOD_OVERRIDE=FQ","FILING_STATUS=MR","SCALING_FORMAT=MLN","Sort=A","Dates=H","DateFormat=P","Fill=—","Direction=H","UseDPDF=Y")</f>
        <v>0</v>
      </c>
      <c r="G30" s="17">
        <f>_xll.BDH("LUMN US Equity","CF_DECR_INVEST","FQ1 2019","FQ1 2019","Currency=USD","Period=FQ","BEST_FPERIOD_OVERRIDE=FQ","FILING_STATUS=MR","SCALING_FORMAT=MLN","Sort=A","Dates=H","DateFormat=P","Fill=—","Direction=H","UseDPDF=Y")</f>
        <v>0</v>
      </c>
      <c r="H30" s="17">
        <f>_xll.BDH("LUMN US Equity","CF_DECR_INVEST","FQ2 2019","FQ2 2019","Currency=USD","Period=FQ","BEST_FPERIOD_OVERRIDE=FQ","FILING_STATUS=MR","SCALING_FORMAT=MLN","Sort=A","Dates=H","DateFormat=P","Fill=—","Direction=H","UseDPDF=Y")</f>
        <v>0</v>
      </c>
      <c r="I30" s="17">
        <f>_xll.BDH("LUMN US Equity","CF_DECR_INVEST","FQ3 2019","FQ3 2019","Currency=USD","Period=FQ","BEST_FPERIOD_OVERRIDE=FQ","FILING_STATUS=MR","SCALING_FORMAT=MLN","Sort=A","Dates=H","DateFormat=P","Fill=—","Direction=H","UseDPDF=Y")</f>
        <v>0</v>
      </c>
      <c r="J30" s="17">
        <f>_xll.BDH("LUMN US Equity","CF_DECR_INVEST","FQ4 2019","FQ4 2019","Currency=USD","Period=FQ","BEST_FPERIOD_OVERRIDE=FQ","FILING_STATUS=MR","SCALING_FORMAT=MLN","Sort=A","Dates=H","DateFormat=P","Fill=—","Direction=H","UseDPDF=Y")</f>
        <v>0</v>
      </c>
      <c r="K30" s="17">
        <f>_xll.BDH("LUMN US Equity","CF_DECR_INVEST","FQ1 2020","FQ1 2020","Currency=USD","Period=FQ","BEST_FPERIOD_OVERRIDE=FQ","FILING_STATUS=MR","SCALING_FORMAT=MLN","Sort=A","Dates=H","DateFormat=P","Fill=—","Direction=H","UseDPDF=Y")</f>
        <v>0</v>
      </c>
      <c r="L30" s="17">
        <f>_xll.BDH("LUMN US Equity","CF_DECR_INVEST","FQ2 2020","FQ2 2020","Currency=USD","Period=FQ","BEST_FPERIOD_OVERRIDE=FQ","FILING_STATUS=MR","SCALING_FORMAT=MLN","Sort=A","Dates=H","DateFormat=P","Fill=—","Direction=H","UseDPDF=Y")</f>
        <v>0</v>
      </c>
    </row>
    <row r="31" spans="1:12" x14ac:dyDescent="0.25">
      <c r="A31" s="16" t="s">
        <v>401</v>
      </c>
      <c r="B31" s="16" t="s">
        <v>400</v>
      </c>
      <c r="C31" s="17">
        <f>_xll.BDH("LUMN US Equity","CF_INCR_INVEST","FQ1 2018","FQ1 2018","Currency=USD","Period=FQ","BEST_FPERIOD_OVERRIDE=FQ","FILING_STATUS=MR","SCALING_FORMAT=MLN","Sort=A","Dates=H","DateFormat=P","Fill=—","Direction=H","UseDPDF=Y")</f>
        <v>0</v>
      </c>
      <c r="D31" s="17">
        <f>_xll.BDH("LUMN US Equity","CF_INCR_INVEST","FQ2 2018","FQ2 2018","Currency=USD","Period=FQ","BEST_FPERIOD_OVERRIDE=FQ","FILING_STATUS=MR","SCALING_FORMAT=MLN","Sort=A","Dates=H","DateFormat=P","Fill=—","Direction=H","UseDPDF=Y")</f>
        <v>0</v>
      </c>
      <c r="E31" s="17">
        <f>_xll.BDH("LUMN US Equity","CF_INCR_INVEST","FQ3 2018","FQ3 2018","Currency=USD","Period=FQ","BEST_FPERIOD_OVERRIDE=FQ","FILING_STATUS=MR","SCALING_FORMAT=MLN","Sort=A","Dates=H","DateFormat=P","Fill=—","Direction=H","UseDPDF=Y")</f>
        <v>0</v>
      </c>
      <c r="F31" s="17">
        <f>_xll.BDH("LUMN US Equity","CF_INCR_INVEST","FQ4 2018","FQ4 2018","Currency=USD","Period=FQ","BEST_FPERIOD_OVERRIDE=FQ","FILING_STATUS=MR","SCALING_FORMAT=MLN","Sort=A","Dates=H","DateFormat=P","Fill=—","Direction=H","UseDPDF=Y")</f>
        <v>0</v>
      </c>
      <c r="G31" s="17">
        <f>_xll.BDH("LUMN US Equity","CF_INCR_INVEST","FQ1 2019","FQ1 2019","Currency=USD","Period=FQ","BEST_FPERIOD_OVERRIDE=FQ","FILING_STATUS=MR","SCALING_FORMAT=MLN","Sort=A","Dates=H","DateFormat=P","Fill=—","Direction=H","UseDPDF=Y")</f>
        <v>0</v>
      </c>
      <c r="H31" s="17">
        <f>_xll.BDH("LUMN US Equity","CF_INCR_INVEST","FQ2 2019","FQ2 2019","Currency=USD","Period=FQ","BEST_FPERIOD_OVERRIDE=FQ","FILING_STATUS=MR","SCALING_FORMAT=MLN","Sort=A","Dates=H","DateFormat=P","Fill=—","Direction=H","UseDPDF=Y")</f>
        <v>0</v>
      </c>
      <c r="I31" s="17">
        <f>_xll.BDH("LUMN US Equity","CF_INCR_INVEST","FQ3 2019","FQ3 2019","Currency=USD","Period=FQ","BEST_FPERIOD_OVERRIDE=FQ","FILING_STATUS=MR","SCALING_FORMAT=MLN","Sort=A","Dates=H","DateFormat=P","Fill=—","Direction=H","UseDPDF=Y")</f>
        <v>0</v>
      </c>
      <c r="J31" s="17">
        <f>_xll.BDH("LUMN US Equity","CF_INCR_INVEST","FQ4 2019","FQ4 2019","Currency=USD","Period=FQ","BEST_FPERIOD_OVERRIDE=FQ","FILING_STATUS=MR","SCALING_FORMAT=MLN","Sort=A","Dates=H","DateFormat=P","Fill=—","Direction=H","UseDPDF=Y")</f>
        <v>0</v>
      </c>
      <c r="K31" s="17">
        <f>_xll.BDH("LUMN US Equity","CF_INCR_INVEST","FQ1 2020","FQ1 2020","Currency=USD","Period=FQ","BEST_FPERIOD_OVERRIDE=FQ","FILING_STATUS=MR","SCALING_FORMAT=MLN","Sort=A","Dates=H","DateFormat=P","Fill=—","Direction=H","UseDPDF=Y")</f>
        <v>0</v>
      </c>
      <c r="L31" s="17">
        <f>_xll.BDH("LUMN US Equity","CF_INCR_INVEST","FQ2 2020","FQ2 2020","Currency=USD","Period=FQ","BEST_FPERIOD_OVERRIDE=FQ","FILING_STATUS=MR","SCALING_FORMAT=MLN","Sort=A","Dates=H","DateFormat=P","Fill=—","Direction=H","UseDPDF=Y")</f>
        <v>0</v>
      </c>
    </row>
    <row r="32" spans="1:12" x14ac:dyDescent="0.25">
      <c r="A32" s="16" t="s">
        <v>399</v>
      </c>
      <c r="B32" s="16" t="s">
        <v>398</v>
      </c>
      <c r="C32" s="17">
        <f>_xll.BDH("LUMN US Equity","CF_NT_CSH_RCVD_PD_FOR_ACQUIS_DIV","FQ1 2018","FQ1 2018","Currency=USD","Period=FQ","BEST_FPERIOD_OVERRIDE=FQ","FILING_STATUS=MR","SCALING_FORMAT=MLN","Sort=A","Dates=H","DateFormat=P","Fill=—","Direction=H","UseDPDF=Y")</f>
        <v>0</v>
      </c>
      <c r="D32" s="17">
        <f>_xll.BDH("LUMN US Equity","CF_NT_CSH_RCVD_PD_FOR_ACQUIS_DIV","FQ2 2018","FQ2 2018","Currency=USD","Period=FQ","BEST_FPERIOD_OVERRIDE=FQ","FILING_STATUS=MR","SCALING_FORMAT=MLN","Sort=A","Dates=H","DateFormat=P","Fill=—","Direction=H","UseDPDF=Y")</f>
        <v>-61</v>
      </c>
      <c r="E32" s="17">
        <f>_xll.BDH("LUMN US Equity","CF_NT_CSH_RCVD_PD_FOR_ACQUIS_DIV","FQ3 2018","FQ3 2018","Currency=USD","Period=FQ","BEST_FPERIOD_OVERRIDE=FQ","FILING_STATUS=MR","SCALING_FORMAT=MLN","Sort=A","Dates=H","DateFormat=P","Fill=—","Direction=H","UseDPDF=Y")</f>
        <v>0</v>
      </c>
      <c r="F32" s="17">
        <f>_xll.BDH("LUMN US Equity","CF_NT_CSH_RCVD_PD_FOR_ACQUIS_DIV","FQ4 2018","FQ4 2018","Currency=USD","Period=FQ","BEST_FPERIOD_OVERRIDE=FQ","FILING_STATUS=MR","SCALING_FORMAT=MLN","Sort=A","Dates=H","DateFormat=P","Fill=—","Direction=H","UseDPDF=Y")</f>
        <v>61</v>
      </c>
      <c r="G32" s="17">
        <f>_xll.BDH("LUMN US Equity","CF_NT_CSH_RCVD_PD_FOR_ACQUIS_DIV","FQ1 2019","FQ1 2019","Currency=USD","Period=FQ","BEST_FPERIOD_OVERRIDE=FQ","FILING_STATUS=MR","SCALING_FORMAT=MLN","Sort=A","Dates=H","DateFormat=P","Fill=—","Direction=H","UseDPDF=Y")</f>
        <v>0</v>
      </c>
      <c r="H32" s="17">
        <f>_xll.BDH("LUMN US Equity","CF_NT_CSH_RCVD_PD_FOR_ACQUIS_DIV","FQ2 2019","FQ2 2019","Currency=USD","Period=FQ","BEST_FPERIOD_OVERRIDE=FQ","FILING_STATUS=MR","SCALING_FORMAT=MLN","Sort=A","Dates=H","DateFormat=P","Fill=—","Direction=H","UseDPDF=Y")</f>
        <v>0</v>
      </c>
      <c r="I32" s="17">
        <f>_xll.BDH("LUMN US Equity","CF_NT_CSH_RCVD_PD_FOR_ACQUIS_DIV","FQ3 2019","FQ3 2019","Currency=USD","Period=FQ","BEST_FPERIOD_OVERRIDE=FQ","FILING_STATUS=MR","SCALING_FORMAT=MLN","Sort=A","Dates=H","DateFormat=P","Fill=—","Direction=H","UseDPDF=Y")</f>
        <v>-25</v>
      </c>
      <c r="J32" s="17">
        <f>_xll.BDH("LUMN US Equity","CF_NT_CSH_RCVD_PD_FOR_ACQUIS_DIV","FQ4 2019","FQ4 2019","Currency=USD","Period=FQ","BEST_FPERIOD_OVERRIDE=FQ","FILING_STATUS=MR","SCALING_FORMAT=MLN","Sort=A","Dates=H","DateFormat=P","Fill=—","Direction=H","UseDPDF=Y")</f>
        <v>37</v>
      </c>
      <c r="K32" s="17">
        <f>_xll.BDH("LUMN US Equity","CF_NT_CSH_RCVD_PD_FOR_ACQUIS_DIV","FQ1 2020","FQ1 2020","Currency=USD","Period=FQ","BEST_FPERIOD_OVERRIDE=FQ","FILING_STATUS=MR","SCALING_FORMAT=MLN","Sort=A","Dates=H","DateFormat=P","Fill=—","Direction=H","UseDPDF=Y")</f>
        <v>0</v>
      </c>
      <c r="L32" s="17">
        <f>_xll.BDH("LUMN US Equity","CF_NT_CSH_RCVD_PD_FOR_ACQUIS_DIV","FQ2 2020","FQ2 2020","Currency=USD","Period=FQ","BEST_FPERIOD_OVERRIDE=FQ","FILING_STATUS=MR","SCALING_FORMAT=MLN","Sort=A","Dates=H","DateFormat=P","Fill=—","Direction=H","UseDPDF=Y")</f>
        <v>0</v>
      </c>
    </row>
    <row r="33" spans="1:12" x14ac:dyDescent="0.25">
      <c r="A33" s="16" t="s">
        <v>397</v>
      </c>
      <c r="B33" s="16" t="s">
        <v>396</v>
      </c>
      <c r="C33" s="17">
        <f>_xll.BDH("LUMN US Equity","CF_CASH_FOR_DIVESTITURES","FQ1 2018","FQ1 2018","Currency=USD","Period=FQ","BEST_FPERIOD_OVERRIDE=FQ","FILING_STATUS=MR","SCALING_FORMAT=MLN","Sort=A","Dates=H","DateFormat=P","Fill=—","Direction=H","UseDPDF=Y")</f>
        <v>0</v>
      </c>
      <c r="D33" s="17">
        <f>_xll.BDH("LUMN US Equity","CF_CASH_FOR_DIVESTITURES","FQ2 2018","FQ2 2018","Currency=USD","Period=FQ","BEST_FPERIOD_OVERRIDE=FQ","FILING_STATUS=MR","SCALING_FORMAT=MLN","Sort=A","Dates=H","DateFormat=P","Fill=—","Direction=H","UseDPDF=Y")</f>
        <v>0</v>
      </c>
      <c r="E33" s="17">
        <f>_xll.BDH("LUMN US Equity","CF_CASH_FOR_DIVESTITURES","FQ3 2018","FQ3 2018","Currency=USD","Period=FQ","BEST_FPERIOD_OVERRIDE=FQ","FILING_STATUS=MR","SCALING_FORMAT=MLN","Sort=A","Dates=H","DateFormat=P","Fill=—","Direction=H","UseDPDF=Y")</f>
        <v>0</v>
      </c>
      <c r="F33" s="17">
        <f>_xll.BDH("LUMN US Equity","CF_CASH_FOR_DIVESTITURES","FQ4 2018","FQ4 2018","Currency=USD","Period=FQ","BEST_FPERIOD_OVERRIDE=FQ","FILING_STATUS=MR","SCALING_FORMAT=MLN","Sort=A","Dates=H","DateFormat=P","Fill=—","Direction=H","UseDPDF=Y")</f>
        <v>0</v>
      </c>
      <c r="G33" s="17">
        <f>_xll.BDH("LUMN US Equity","CF_CASH_FOR_DIVESTITURES","FQ1 2019","FQ1 2019","Currency=USD","Period=FQ","BEST_FPERIOD_OVERRIDE=FQ","FILING_STATUS=MR","SCALING_FORMAT=MLN","Sort=A","Dates=H","DateFormat=P","Fill=—","Direction=H","UseDPDF=Y")</f>
        <v>0</v>
      </c>
      <c r="H33" s="17">
        <f>_xll.BDH("LUMN US Equity","CF_CASH_FOR_DIVESTITURES","FQ2 2019","FQ2 2019","Currency=USD","Period=FQ","BEST_FPERIOD_OVERRIDE=FQ","FILING_STATUS=MR","SCALING_FORMAT=MLN","Sort=A","Dates=H","DateFormat=P","Fill=—","Direction=H","UseDPDF=Y")</f>
        <v>0</v>
      </c>
      <c r="I33" s="17">
        <f>_xll.BDH("LUMN US Equity","CF_CASH_FOR_DIVESTITURES","FQ3 2019","FQ3 2019","Currency=USD","Period=FQ","BEST_FPERIOD_OVERRIDE=FQ","FILING_STATUS=MR","SCALING_FORMAT=MLN","Sort=A","Dates=H","DateFormat=P","Fill=—","Direction=H","UseDPDF=Y")</f>
        <v>0</v>
      </c>
      <c r="J33" s="17">
        <f>_xll.BDH("LUMN US Equity","CF_CASH_FOR_DIVESTITURES","FQ4 2019","FQ4 2019","Currency=USD","Period=FQ","BEST_FPERIOD_OVERRIDE=FQ","FILING_STATUS=MR","SCALING_FORMAT=MLN","Sort=A","Dates=H","DateFormat=P","Fill=—","Direction=H","UseDPDF=Y")</f>
        <v>0</v>
      </c>
      <c r="K33" s="17">
        <f>_xll.BDH("LUMN US Equity","CF_CASH_FOR_DIVESTITURES","FQ1 2020","FQ1 2020","Currency=USD","Period=FQ","BEST_FPERIOD_OVERRIDE=FQ","FILING_STATUS=MR","SCALING_FORMAT=MLN","Sort=A","Dates=H","DateFormat=P","Fill=—","Direction=H","UseDPDF=Y")</f>
        <v>0</v>
      </c>
      <c r="L33" s="17">
        <f>_xll.BDH("LUMN US Equity","CF_CASH_FOR_DIVESTITURES","FQ2 2020","FQ2 2020","Currency=USD","Period=FQ","BEST_FPERIOD_OVERRIDE=FQ","FILING_STATUS=MR","SCALING_FORMAT=MLN","Sort=A","Dates=H","DateFormat=P","Fill=—","Direction=H","UseDPDF=Y")</f>
        <v>0</v>
      </c>
    </row>
    <row r="34" spans="1:12" x14ac:dyDescent="0.25">
      <c r="A34" s="16" t="s">
        <v>395</v>
      </c>
      <c r="B34" s="16" t="s">
        <v>394</v>
      </c>
      <c r="C34" s="17">
        <f>_xll.BDH("LUMN US Equity","CF_CASH_FOR_ACQUIS_SUBSIDIARIES","FQ1 2018","FQ1 2018","Currency=USD","Period=FQ","BEST_FPERIOD_OVERRIDE=FQ","FILING_STATUS=MR","SCALING_FORMAT=MLN","Sort=A","Dates=H","DateFormat=P","Fill=—","Direction=H","UseDPDF=Y")</f>
        <v>0</v>
      </c>
      <c r="D34" s="17">
        <f>_xll.BDH("LUMN US Equity","CF_CASH_FOR_ACQUIS_SUBSIDIARIES","FQ2 2018","FQ2 2018","Currency=USD","Period=FQ","BEST_FPERIOD_OVERRIDE=FQ","FILING_STATUS=MR","SCALING_FORMAT=MLN","Sort=A","Dates=H","DateFormat=P","Fill=—","Direction=H","UseDPDF=Y")</f>
        <v>-61</v>
      </c>
      <c r="E34" s="17">
        <f>_xll.BDH("LUMN US Equity","CF_CASH_FOR_ACQUIS_SUBSIDIARIES","FQ3 2018","FQ3 2018","Currency=USD","Period=FQ","BEST_FPERIOD_OVERRIDE=FQ","FILING_STATUS=MR","SCALING_FORMAT=MLN","Sort=A","Dates=H","DateFormat=P","Fill=—","Direction=H","UseDPDF=Y")</f>
        <v>0</v>
      </c>
      <c r="F34" s="17">
        <f>_xll.BDH("LUMN US Equity","CF_CASH_FOR_ACQUIS_SUBSIDIARIES","FQ4 2018","FQ4 2018","Currency=USD","Period=FQ","BEST_FPERIOD_OVERRIDE=FQ","FILING_STATUS=MR","SCALING_FORMAT=MLN","Sort=A","Dates=H","DateFormat=P","Fill=—","Direction=H","UseDPDF=Y")</f>
        <v>61</v>
      </c>
      <c r="G34" s="17">
        <f>_xll.BDH("LUMN US Equity","CF_CASH_FOR_ACQUIS_SUBSIDIARIES","FQ1 2019","FQ1 2019","Currency=USD","Period=FQ","BEST_FPERIOD_OVERRIDE=FQ","FILING_STATUS=MR","SCALING_FORMAT=MLN","Sort=A","Dates=H","DateFormat=P","Fill=—","Direction=H","UseDPDF=Y")</f>
        <v>0</v>
      </c>
      <c r="H34" s="17">
        <f>_xll.BDH("LUMN US Equity","CF_CASH_FOR_ACQUIS_SUBSIDIARIES","FQ2 2019","FQ2 2019","Currency=USD","Period=FQ","BEST_FPERIOD_OVERRIDE=FQ","FILING_STATUS=MR","SCALING_FORMAT=MLN","Sort=A","Dates=H","DateFormat=P","Fill=—","Direction=H","UseDPDF=Y")</f>
        <v>0</v>
      </c>
      <c r="I34" s="17">
        <f>_xll.BDH("LUMN US Equity","CF_CASH_FOR_ACQUIS_SUBSIDIARIES","FQ3 2019","FQ3 2019","Currency=USD","Period=FQ","BEST_FPERIOD_OVERRIDE=FQ","FILING_STATUS=MR","SCALING_FORMAT=MLN","Sort=A","Dates=H","DateFormat=P","Fill=—","Direction=H","UseDPDF=Y")</f>
        <v>-25</v>
      </c>
      <c r="J34" s="17">
        <f>_xll.BDH("LUMN US Equity","CF_CASH_FOR_ACQUIS_SUBSIDIARIES","FQ4 2019","FQ4 2019","Currency=USD","Period=FQ","BEST_FPERIOD_OVERRIDE=FQ","FILING_STATUS=MR","SCALING_FORMAT=MLN","Sort=A","Dates=H","DateFormat=P","Fill=—","Direction=H","UseDPDF=Y")</f>
        <v>37</v>
      </c>
      <c r="K34" s="17">
        <f>_xll.BDH("LUMN US Equity","CF_CASH_FOR_ACQUIS_SUBSIDIARIES","FQ1 2020","FQ1 2020","Currency=USD","Period=FQ","BEST_FPERIOD_OVERRIDE=FQ","FILING_STATUS=MR","SCALING_FORMAT=MLN","Sort=A","Dates=H","DateFormat=P","Fill=—","Direction=H","UseDPDF=Y")</f>
        <v>0</v>
      </c>
      <c r="L34" s="17">
        <f>_xll.BDH("LUMN US Equity","CF_CASH_FOR_ACQUIS_SUBSIDIARIES","FQ2 2020","FQ2 2020","Currency=USD","Period=FQ","BEST_FPERIOD_OVERRIDE=FQ","FILING_STATUS=MR","SCALING_FORMAT=MLN","Sort=A","Dates=H","DateFormat=P","Fill=—","Direction=H","UseDPDF=Y")</f>
        <v>0</v>
      </c>
    </row>
    <row r="35" spans="1:12" x14ac:dyDescent="0.25">
      <c r="A35" s="16" t="s">
        <v>393</v>
      </c>
      <c r="B35" s="16" t="s">
        <v>392</v>
      </c>
      <c r="C35" s="17">
        <f>_xll.BDH("LUMN US Equity","CF_CASH_FOR_JOINT_VENTURES_ASSOC","FQ1 2018","FQ1 2018","Currency=USD","Period=FQ","BEST_FPERIOD_OVERRIDE=FQ","FILING_STATUS=MR","SCALING_FORMAT=MLN","Sort=A","Dates=H","DateFormat=P","Fill=—","Direction=H","UseDPDF=Y")</f>
        <v>0</v>
      </c>
      <c r="D35" s="17">
        <f>_xll.BDH("LUMN US Equity","CF_CASH_FOR_JOINT_VENTURES_ASSOC","FQ2 2018","FQ2 2018","Currency=USD","Period=FQ","BEST_FPERIOD_OVERRIDE=FQ","FILING_STATUS=MR","SCALING_FORMAT=MLN","Sort=A","Dates=H","DateFormat=P","Fill=—","Direction=H","UseDPDF=Y")</f>
        <v>0</v>
      </c>
      <c r="E35" s="17">
        <f>_xll.BDH("LUMN US Equity","CF_CASH_FOR_JOINT_VENTURES_ASSOC","FQ3 2018","FQ3 2018","Currency=USD","Period=FQ","BEST_FPERIOD_OVERRIDE=FQ","FILING_STATUS=MR","SCALING_FORMAT=MLN","Sort=A","Dates=H","DateFormat=P","Fill=—","Direction=H","UseDPDF=Y")</f>
        <v>0</v>
      </c>
      <c r="F35" s="17">
        <f>_xll.BDH("LUMN US Equity","CF_CASH_FOR_JOINT_VENTURES_ASSOC","FQ4 2018","FQ4 2018","Currency=USD","Period=FQ","BEST_FPERIOD_OVERRIDE=FQ","FILING_STATUS=MR","SCALING_FORMAT=MLN","Sort=A","Dates=H","DateFormat=P","Fill=—","Direction=H","UseDPDF=Y")</f>
        <v>0</v>
      </c>
      <c r="G35" s="17">
        <f>_xll.BDH("LUMN US Equity","CF_CASH_FOR_JOINT_VENTURES_ASSOC","FQ1 2019","FQ1 2019","Currency=USD","Period=FQ","BEST_FPERIOD_OVERRIDE=FQ","FILING_STATUS=MR","SCALING_FORMAT=MLN","Sort=A","Dates=H","DateFormat=P","Fill=—","Direction=H","UseDPDF=Y")</f>
        <v>0</v>
      </c>
      <c r="H35" s="17">
        <f>_xll.BDH("LUMN US Equity","CF_CASH_FOR_JOINT_VENTURES_ASSOC","FQ2 2019","FQ2 2019","Currency=USD","Period=FQ","BEST_FPERIOD_OVERRIDE=FQ","FILING_STATUS=MR","SCALING_FORMAT=MLN","Sort=A","Dates=H","DateFormat=P","Fill=—","Direction=H","UseDPDF=Y")</f>
        <v>0</v>
      </c>
      <c r="I35" s="17">
        <f>_xll.BDH("LUMN US Equity","CF_CASH_FOR_JOINT_VENTURES_ASSOC","FQ3 2019","FQ3 2019","Currency=USD","Period=FQ","BEST_FPERIOD_OVERRIDE=FQ","FILING_STATUS=MR","SCALING_FORMAT=MLN","Sort=A","Dates=H","DateFormat=P","Fill=—","Direction=H","UseDPDF=Y")</f>
        <v>0</v>
      </c>
      <c r="J35" s="17">
        <f>_xll.BDH("LUMN US Equity","CF_CASH_FOR_JOINT_VENTURES_ASSOC","FQ4 2019","FQ4 2019","Currency=USD","Period=FQ","BEST_FPERIOD_OVERRIDE=FQ","FILING_STATUS=MR","SCALING_FORMAT=MLN","Sort=A","Dates=H","DateFormat=P","Fill=—","Direction=H","UseDPDF=Y")</f>
        <v>0</v>
      </c>
      <c r="K35" s="17">
        <f>_xll.BDH("LUMN US Equity","CF_CASH_FOR_JOINT_VENTURES_ASSOC","FQ1 2020","FQ1 2020","Currency=USD","Period=FQ","BEST_FPERIOD_OVERRIDE=FQ","FILING_STATUS=MR","SCALING_FORMAT=MLN","Sort=A","Dates=H","DateFormat=P","Fill=—","Direction=H","UseDPDF=Y")</f>
        <v>0</v>
      </c>
      <c r="L35" s="17">
        <f>_xll.BDH("LUMN US Equity","CF_CASH_FOR_JOINT_VENTURES_ASSOC","FQ2 2020","FQ2 2020","Currency=USD","Period=FQ","BEST_FPERIOD_OVERRIDE=FQ","FILING_STATUS=MR","SCALING_FORMAT=MLN","Sort=A","Dates=H","DateFormat=P","Fill=—","Direction=H","UseDPDF=Y")</f>
        <v>0</v>
      </c>
    </row>
    <row r="36" spans="1:12" x14ac:dyDescent="0.25">
      <c r="A36" s="16" t="s">
        <v>391</v>
      </c>
      <c r="B36" s="16" t="s">
        <v>390</v>
      </c>
      <c r="C36" s="17">
        <f>_xll.BDH("LUMN US Equity","OTHER_INVESTING_ACT_DETAILED","FQ1 2018","FQ1 2018","Currency=USD","Period=FQ","BEST_FPERIOD_OVERRIDE=FQ","FILING_STATUS=MR","SCALING_FORMAT=MLN","Sort=A","Dates=H","DateFormat=P","Fill=—","Direction=H","UseDPDF=Y")</f>
        <v>34</v>
      </c>
      <c r="D36" s="17">
        <f>_xll.BDH("LUMN US Equity","OTHER_INVESTING_ACT_DETAILED","FQ2 2018","FQ2 2018","Currency=USD","Period=FQ","BEST_FPERIOD_OVERRIDE=FQ","FILING_STATUS=MR","SCALING_FORMAT=MLN","Sort=A","Dates=H","DateFormat=P","Fill=—","Direction=H","UseDPDF=Y")</f>
        <v>-34</v>
      </c>
      <c r="E36" s="17">
        <f>_xll.BDH("LUMN US Equity","OTHER_INVESTING_ACT_DETAILED","FQ3 2018","FQ3 2018","Currency=USD","Period=FQ","BEST_FPERIOD_OVERRIDE=FQ","FILING_STATUS=MR","SCALING_FORMAT=MLN","Sort=A","Dates=H","DateFormat=P","Fill=—","Direction=H","UseDPDF=Y")</f>
        <v>0</v>
      </c>
      <c r="F36" s="17">
        <f>_xll.BDH("LUMN US Equity","OTHER_INVESTING_ACT_DETAILED","FQ4 2018","FQ4 2018","Currency=USD","Period=FQ","BEST_FPERIOD_OVERRIDE=FQ","FILING_STATUS=MR","SCALING_FORMAT=MLN","Sort=A","Dates=H","DateFormat=P","Fill=—","Direction=H","UseDPDF=Y")</f>
        <v>-61</v>
      </c>
      <c r="G36" s="17">
        <f>_xll.BDH("LUMN US Equity","OTHER_INVESTING_ACT_DETAILED","FQ1 2019","FQ1 2019","Currency=USD","Period=FQ","BEST_FPERIOD_OVERRIDE=FQ","FILING_STATUS=MR","SCALING_FORMAT=MLN","Sort=A","Dates=H","DateFormat=P","Fill=—","Direction=H","UseDPDF=Y")</f>
        <v>0</v>
      </c>
      <c r="H36" s="17">
        <f>_xll.BDH("LUMN US Equity","OTHER_INVESTING_ACT_DETAILED","FQ2 2019","FQ2 2019","Currency=USD","Period=FQ","BEST_FPERIOD_OVERRIDE=FQ","FILING_STATUS=MR","SCALING_FORMAT=MLN","Sort=A","Dates=H","DateFormat=P","Fill=—","Direction=H","UseDPDF=Y")</f>
        <v>-12</v>
      </c>
      <c r="I36" s="17">
        <f>_xll.BDH("LUMN US Equity","OTHER_INVESTING_ACT_DETAILED","FQ3 2019","FQ3 2019","Currency=USD","Period=FQ","BEST_FPERIOD_OVERRIDE=FQ","FILING_STATUS=MR","SCALING_FORMAT=MLN","Sort=A","Dates=H","DateFormat=P","Fill=—","Direction=H","UseDPDF=Y")</f>
        <v>0</v>
      </c>
      <c r="J36" s="17">
        <f>_xll.BDH("LUMN US Equity","OTHER_INVESTING_ACT_DETAILED","FQ4 2019","FQ4 2019","Currency=USD","Period=FQ","BEST_FPERIOD_OVERRIDE=FQ","FILING_STATUS=MR","SCALING_FORMAT=MLN","Sort=A","Dates=H","DateFormat=P","Fill=—","Direction=H","UseDPDF=Y")</f>
        <v>-35</v>
      </c>
      <c r="K36" s="17">
        <f>_xll.BDH("LUMN US Equity","OTHER_INVESTING_ACT_DETAILED","FQ1 2020","FQ1 2020","Currency=USD","Period=FQ","BEST_FPERIOD_OVERRIDE=FQ","FILING_STATUS=MR","SCALING_FORMAT=MLN","Sort=A","Dates=H","DateFormat=P","Fill=—","Direction=H","UseDPDF=Y")</f>
        <v>0</v>
      </c>
      <c r="L36" s="17">
        <f>_xll.BDH("LUMN US Equity","OTHER_INVESTING_ACT_DETAILED","FQ2 2020","FQ2 2020","Currency=USD","Period=FQ","BEST_FPERIOD_OVERRIDE=FQ","FILING_STATUS=MR","SCALING_FORMAT=MLN","Sort=A","Dates=H","DateFormat=P","Fill=—","Direction=H","UseDPDF=Y")</f>
        <v>1</v>
      </c>
    </row>
    <row r="37" spans="1:12" x14ac:dyDescent="0.25">
      <c r="A37" s="16" t="s">
        <v>368</v>
      </c>
      <c r="B37" s="16" t="s">
        <v>389</v>
      </c>
      <c r="C37" s="17">
        <f>_xll.BDH("LUMN US Equity","CF_NET_CASH_DISCONTINUED_OPS_INV","FQ1 2018","FQ1 2018","Currency=USD","Period=FQ","BEST_FPERIOD_OVERRIDE=FQ","FILING_STATUS=MR","SCALING_FORMAT=MLN","Sort=A","Dates=H","DateFormat=P","Fill=—","Direction=H","UseDPDF=Y")</f>
        <v>0</v>
      </c>
      <c r="D37" s="17">
        <f>_xll.BDH("LUMN US Equity","CF_NET_CASH_DISCONTINUED_OPS_INV","FQ2 2018","FQ2 2018","Currency=USD","Period=FQ","BEST_FPERIOD_OVERRIDE=FQ","FILING_STATUS=MR","SCALING_FORMAT=MLN","Sort=A","Dates=H","DateFormat=P","Fill=—","Direction=H","UseDPDF=Y")</f>
        <v>0</v>
      </c>
      <c r="E37" s="17">
        <f>_xll.BDH("LUMN US Equity","CF_NET_CASH_DISCONTINUED_OPS_INV","FQ3 2018","FQ3 2018","Currency=USD","Period=FQ","BEST_FPERIOD_OVERRIDE=FQ","FILING_STATUS=MR","SCALING_FORMAT=MLN","Sort=A","Dates=H","DateFormat=P","Fill=—","Direction=H","UseDPDF=Y")</f>
        <v>0</v>
      </c>
      <c r="F37" s="17">
        <f>_xll.BDH("LUMN US Equity","CF_NET_CASH_DISCONTINUED_OPS_INV","FQ4 2018","FQ4 2018","Currency=USD","Period=FQ","BEST_FPERIOD_OVERRIDE=FQ","FILING_STATUS=MR","SCALING_FORMAT=MLN","Sort=A","Dates=H","DateFormat=P","Fill=—","Direction=H","UseDPDF=Y")</f>
        <v>0</v>
      </c>
      <c r="G37" s="17">
        <f>_xll.BDH("LUMN US Equity","CF_NET_CASH_DISCONTINUED_OPS_INV","FQ1 2019","FQ1 2019","Currency=USD","Period=FQ","BEST_FPERIOD_OVERRIDE=FQ","FILING_STATUS=MR","SCALING_FORMAT=MLN","Sort=A","Dates=H","DateFormat=P","Fill=—","Direction=H","UseDPDF=Y")</f>
        <v>0</v>
      </c>
      <c r="H37" s="17">
        <f>_xll.BDH("LUMN US Equity","CF_NET_CASH_DISCONTINUED_OPS_INV","FQ2 2019","FQ2 2019","Currency=USD","Period=FQ","BEST_FPERIOD_OVERRIDE=FQ","FILING_STATUS=MR","SCALING_FORMAT=MLN","Sort=A","Dates=H","DateFormat=P","Fill=—","Direction=H","UseDPDF=Y")</f>
        <v>0</v>
      </c>
      <c r="I37" s="17">
        <f>_xll.BDH("LUMN US Equity","CF_NET_CASH_DISCONTINUED_OPS_INV","FQ3 2019","FQ3 2019","Currency=USD","Period=FQ","BEST_FPERIOD_OVERRIDE=FQ","FILING_STATUS=MR","SCALING_FORMAT=MLN","Sort=A","Dates=H","DateFormat=P","Fill=—","Direction=H","UseDPDF=Y")</f>
        <v>0</v>
      </c>
      <c r="J37" s="17">
        <f>_xll.BDH("LUMN US Equity","CF_NET_CASH_DISCONTINUED_OPS_INV","FQ4 2019","FQ4 2019","Currency=USD","Period=FQ","BEST_FPERIOD_OVERRIDE=FQ","FILING_STATUS=MR","SCALING_FORMAT=MLN","Sort=A","Dates=H","DateFormat=P","Fill=—","Direction=H","UseDPDF=Y")</f>
        <v>0</v>
      </c>
      <c r="K37" s="17">
        <f>_xll.BDH("LUMN US Equity","CF_NET_CASH_DISCONTINUED_OPS_INV","FQ1 2020","FQ1 2020","Currency=USD","Period=FQ","BEST_FPERIOD_OVERRIDE=FQ","FILING_STATUS=MR","SCALING_FORMAT=MLN","Sort=A","Dates=H","DateFormat=P","Fill=—","Direction=H","UseDPDF=Y")</f>
        <v>0</v>
      </c>
      <c r="L37" s="17">
        <f>_xll.BDH("LUMN US Equity","CF_NET_CASH_DISCONTINUED_OPS_INV","FQ2 2020","FQ2 2020","Currency=USD","Period=FQ","BEST_FPERIOD_OVERRIDE=FQ","FILING_STATUS=MR","SCALING_FORMAT=MLN","Sort=A","Dates=H","DateFormat=P","Fill=—","Direction=H","UseDPDF=Y")</f>
        <v>0</v>
      </c>
    </row>
    <row r="38" spans="1:12" x14ac:dyDescent="0.25">
      <c r="A38" s="12" t="s">
        <v>388</v>
      </c>
      <c r="B38" s="12" t="s">
        <v>387</v>
      </c>
      <c r="C38" s="10">
        <f>_xll.BDH("LUMN US Equity","CF_CASH_FROM_INV_ACT","FQ1 2018","FQ1 2018","Currency=USD","Period=FQ","BEST_FPERIOD_OVERRIDE=FQ","FILING_STATUS=MR","SCALING_FORMAT=MLN","Sort=A","Dates=H","DateFormat=P","Fill=—","Direction=H","UseDPDF=Y")</f>
        <v>-768</v>
      </c>
      <c r="D38" s="10">
        <f>_xll.BDH("LUMN US Equity","CF_CASH_FROM_INV_ACT","FQ2 2018","FQ2 2018","Currency=USD","Period=FQ","BEST_FPERIOD_OVERRIDE=FQ","FILING_STATUS=MR","SCALING_FORMAT=MLN","Sort=A","Dates=H","DateFormat=P","Fill=—","Direction=H","UseDPDF=Y")</f>
        <v>-744</v>
      </c>
      <c r="E38" s="10">
        <f>_xll.BDH("LUMN US Equity","CF_CASH_FROM_INV_ACT","FQ3 2018","FQ3 2018","Currency=USD","Period=FQ","BEST_FPERIOD_OVERRIDE=FQ","FILING_STATUS=MR","SCALING_FORMAT=MLN","Sort=A","Dates=H","DateFormat=P","Fill=—","Direction=H","UseDPDF=Y")</f>
        <v>-684</v>
      </c>
      <c r="F38" s="10">
        <f>_xll.BDH("LUMN US Equity","CF_CASH_FROM_INV_ACT","FQ4 2018","FQ4 2018","Currency=USD","Period=FQ","BEST_FPERIOD_OVERRIDE=FQ","FILING_STATUS=MR","SCALING_FORMAT=MLN","Sort=A","Dates=H","DateFormat=P","Fill=—","Direction=H","UseDPDF=Y")</f>
        <v>-882</v>
      </c>
      <c r="G38" s="10">
        <f>_xll.BDH("LUMN US Equity","CF_CASH_FROM_INV_ACT","FQ1 2019","FQ1 2019","Currency=USD","Period=FQ","BEST_FPERIOD_OVERRIDE=FQ","FILING_STATUS=MR","SCALING_FORMAT=MLN","Sort=A","Dates=H","DateFormat=P","Fill=—","Direction=H","UseDPDF=Y")</f>
        <v>-906</v>
      </c>
      <c r="H38" s="10">
        <f>_xll.BDH("LUMN US Equity","CF_CASH_FROM_INV_ACT","FQ2 2019","FQ2 2019","Currency=USD","Period=FQ","BEST_FPERIOD_OVERRIDE=FQ","FILING_STATUS=MR","SCALING_FORMAT=MLN","Sort=A","Dates=H","DateFormat=P","Fill=—","Direction=H","UseDPDF=Y")</f>
        <v>-811</v>
      </c>
      <c r="I38" s="10">
        <f>_xll.BDH("LUMN US Equity","CF_CASH_FROM_INV_ACT","FQ3 2019","FQ3 2019","Currency=USD","Period=FQ","BEST_FPERIOD_OVERRIDE=FQ","FILING_STATUS=MR","SCALING_FORMAT=MLN","Sort=A","Dates=H","DateFormat=P","Fill=—","Direction=H","UseDPDF=Y")</f>
        <v>-954</v>
      </c>
      <c r="J38" s="10">
        <f>_xll.BDH("LUMN US Equity","CF_CASH_FROM_INV_ACT","FQ4 2019","FQ4 2019","Currency=USD","Period=FQ","BEST_FPERIOD_OVERRIDE=FQ","FILING_STATUS=MR","SCALING_FORMAT=MLN","Sort=A","Dates=H","DateFormat=P","Fill=—","Direction=H","UseDPDF=Y")</f>
        <v>-899</v>
      </c>
      <c r="K38" s="10">
        <f>_xll.BDH("LUMN US Equity","CF_CASH_FROM_INV_ACT","FQ1 2020","FQ1 2020","Currency=USD","Period=FQ","BEST_FPERIOD_OVERRIDE=FQ","FILING_STATUS=MR","SCALING_FORMAT=MLN","Sort=A","Dates=H","DateFormat=P","Fill=—","Direction=H","UseDPDF=Y")</f>
        <v>-939</v>
      </c>
      <c r="L38" s="10">
        <f>_xll.BDH("LUMN US Equity","CF_CASH_FROM_INV_ACT","FQ2 2020","FQ2 2020","Currency=USD","Period=FQ","BEST_FPERIOD_OVERRIDE=FQ","FILING_STATUS=MR","SCALING_FORMAT=MLN","Sort=A","Dates=H","DateFormat=P","Fill=—","Direction=H","UseDPDF=Y")</f>
        <v>-959</v>
      </c>
    </row>
    <row r="39" spans="1:12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12" t="s">
        <v>366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16" t="s">
        <v>386</v>
      </c>
      <c r="B41" s="16" t="s">
        <v>385</v>
      </c>
      <c r="C41" s="17">
        <f>_xll.BDH("LUMN US Equity","CF_DVD_PAID","FQ1 2018","FQ1 2018","Currency=USD","Period=FQ","BEST_FPERIOD_OVERRIDE=FQ","FILING_STATUS=MR","SCALING_FORMAT=MLN","Sort=A","Dates=H","DateFormat=P","Fill=—","Direction=H","UseDPDF=Y")</f>
        <v>-580</v>
      </c>
      <c r="D41" s="17">
        <f>_xll.BDH("LUMN US Equity","CF_DVD_PAID","FQ2 2018","FQ2 2018","Currency=USD","Period=FQ","BEST_FPERIOD_OVERRIDE=FQ","FILING_STATUS=MR","SCALING_FORMAT=MLN","Sort=A","Dates=H","DateFormat=P","Fill=—","Direction=H","UseDPDF=Y")</f>
        <v>-576</v>
      </c>
      <c r="E41" s="17">
        <f>_xll.BDH("LUMN US Equity","CF_DVD_PAID","FQ3 2018","FQ3 2018","Currency=USD","Period=FQ","BEST_FPERIOD_OVERRIDE=FQ","FILING_STATUS=MR","SCALING_FORMAT=MLN","Sort=A","Dates=H","DateFormat=P","Fill=—","Direction=H","UseDPDF=Y")</f>
        <v>-579</v>
      </c>
      <c r="F41" s="17">
        <f>_xll.BDH("LUMN US Equity","CF_DVD_PAID","FQ4 2018","FQ4 2018","Currency=USD","Period=FQ","BEST_FPERIOD_OVERRIDE=FQ","FILING_STATUS=MR","SCALING_FORMAT=MLN","Sort=A","Dates=H","DateFormat=P","Fill=—","Direction=H","UseDPDF=Y")</f>
        <v>-577</v>
      </c>
      <c r="G41" s="17">
        <f>_xll.BDH("LUMN US Equity","CF_DVD_PAID","FQ1 2019","FQ1 2019","Currency=USD","Period=FQ","BEST_FPERIOD_OVERRIDE=FQ","FILING_STATUS=MR","SCALING_FORMAT=MLN","Sort=A","Dates=H","DateFormat=P","Fill=—","Direction=H","UseDPDF=Y")</f>
        <v>-285</v>
      </c>
      <c r="H41" s="17">
        <f>_xll.BDH("LUMN US Equity","CF_DVD_PAID","FQ2 2019","FQ2 2019","Currency=USD","Period=FQ","BEST_FPERIOD_OVERRIDE=FQ","FILING_STATUS=MR","SCALING_FORMAT=MLN","Sort=A","Dates=H","DateFormat=P","Fill=—","Direction=H","UseDPDF=Y")</f>
        <v>-269</v>
      </c>
      <c r="I41" s="17">
        <f>_xll.BDH("LUMN US Equity","CF_DVD_PAID","FQ3 2019","FQ3 2019","Currency=USD","Period=FQ","BEST_FPERIOD_OVERRIDE=FQ","FILING_STATUS=MR","SCALING_FORMAT=MLN","Sort=A","Dates=H","DateFormat=P","Fill=—","Direction=H","UseDPDF=Y")</f>
        <v>-275</v>
      </c>
      <c r="J41" s="17">
        <f>_xll.BDH("LUMN US Equity","CF_DVD_PAID","FQ4 2019","FQ4 2019","Currency=USD","Period=FQ","BEST_FPERIOD_OVERRIDE=FQ","FILING_STATUS=MR","SCALING_FORMAT=MLN","Sort=A","Dates=H","DateFormat=P","Fill=—","Direction=H","UseDPDF=Y")</f>
        <v>-271</v>
      </c>
      <c r="K41" s="17">
        <f>_xll.BDH("LUMN US Equity","CF_DVD_PAID","FQ1 2020","FQ1 2020","Currency=USD","Period=FQ","BEST_FPERIOD_OVERRIDE=FQ","FILING_STATUS=MR","SCALING_FORMAT=MLN","Sort=A","Dates=H","DateFormat=P","Fill=—","Direction=H","UseDPDF=Y")</f>
        <v>-291</v>
      </c>
      <c r="L41" s="17">
        <f>_xll.BDH("LUMN US Equity","CF_DVD_PAID","FQ2 2020","FQ2 2020","Currency=USD","Period=FQ","BEST_FPERIOD_OVERRIDE=FQ","FILING_STATUS=MR","SCALING_FORMAT=MLN","Sort=A","Dates=H","DateFormat=P","Fill=—","Direction=H","UseDPDF=Y")</f>
        <v>-271</v>
      </c>
    </row>
    <row r="42" spans="1:12" x14ac:dyDescent="0.25">
      <c r="A42" s="16" t="s">
        <v>384</v>
      </c>
      <c r="B42" s="16" t="s">
        <v>383</v>
      </c>
      <c r="C42" s="17">
        <f>_xll.BDH("LUMN US Equity","PROC_FR_REPAYMNTS_BOR_DETAILED","FQ1 2018","FQ1 2018","Currency=USD","Period=FQ","BEST_FPERIOD_OVERRIDE=FQ","FILING_STATUS=MR","SCALING_FORMAT=MLN","Sort=A","Dates=H","DateFormat=P","Fill=—","Direction=H","UseDPDF=Y")</f>
        <v>-343</v>
      </c>
      <c r="D42" s="17">
        <f>_xll.BDH("LUMN US Equity","PROC_FR_REPAYMNTS_BOR_DETAILED","FQ2 2018","FQ2 2018","Currency=USD","Period=FQ","BEST_FPERIOD_OVERRIDE=FQ","FILING_STATUS=MR","SCALING_FORMAT=MLN","Sort=A","Dates=H","DateFormat=P","Fill=—","Direction=H","UseDPDF=Y")</f>
        <v>-55</v>
      </c>
      <c r="E42" s="17">
        <f>_xll.BDH("LUMN US Equity","PROC_FR_REPAYMNTS_BOR_DETAILED","FQ3 2018","FQ3 2018","Currency=USD","Period=FQ","BEST_FPERIOD_OVERRIDE=FQ","FILING_STATUS=MR","SCALING_FORMAT=MLN","Sort=A","Dates=H","DateFormat=P","Fill=—","Direction=H","UseDPDF=Y")</f>
        <v>-826</v>
      </c>
      <c r="F42" s="17">
        <f>_xll.BDH("LUMN US Equity","PROC_FR_REPAYMNTS_BOR_DETAILED","FQ4 2018","FQ4 2018","Currency=USD","Period=FQ","BEST_FPERIOD_OVERRIDE=FQ","FILING_STATUS=MR","SCALING_FORMAT=MLN","Sort=A","Dates=H","DateFormat=P","Fill=—","Direction=H","UseDPDF=Y")</f>
        <v>-437</v>
      </c>
      <c r="G42" s="17">
        <f>_xll.BDH("LUMN US Equity","PROC_FR_REPAYMNTS_BOR_DETAILED","FQ1 2019","FQ1 2019","Currency=USD","Period=FQ","BEST_FPERIOD_OVERRIDE=FQ","FILING_STATUS=MR","SCALING_FORMAT=MLN","Sort=A","Dates=H","DateFormat=P","Fill=—","Direction=H","UseDPDF=Y")</f>
        <v>-8</v>
      </c>
      <c r="H42" s="17">
        <f>_xll.BDH("LUMN US Equity","PROC_FR_REPAYMNTS_BOR_DETAILED","FQ2 2019","FQ2 2019","Currency=USD","Period=FQ","BEST_FPERIOD_OVERRIDE=FQ","FILING_STATUS=MR","SCALING_FORMAT=MLN","Sort=A","Dates=H","DateFormat=P","Fill=—","Direction=H","UseDPDF=Y")</f>
        <v>-652</v>
      </c>
      <c r="I42" s="17">
        <f>_xll.BDH("LUMN US Equity","PROC_FR_REPAYMNTS_BOR_DETAILED","FQ3 2019","FQ3 2019","Currency=USD","Period=FQ","BEST_FPERIOD_OVERRIDE=FQ","FILING_STATUS=MR","SCALING_FORMAT=MLN","Sort=A","Dates=H","DateFormat=P","Fill=—","Direction=H","UseDPDF=Y")</f>
        <v>339</v>
      </c>
      <c r="J42" s="17">
        <f>_xll.BDH("LUMN US Equity","PROC_FR_REPAYMNTS_BOR_DETAILED","FQ4 2019","FQ4 2019","Currency=USD","Period=FQ","BEST_FPERIOD_OVERRIDE=FQ","FILING_STATUS=MR","SCALING_FORMAT=MLN","Sort=A","Dates=H","DateFormat=P","Fill=—","Direction=H","UseDPDF=Y")</f>
        <v>-429</v>
      </c>
      <c r="K42" s="17">
        <f>_xll.BDH("LUMN US Equity","PROC_FR_REPAYMNTS_BOR_DETAILED","FQ1 2020","FQ1 2020","Currency=USD","Period=FQ","BEST_FPERIOD_OVERRIDE=FQ","FILING_STATUS=MR","SCALING_FORMAT=MLN","Sort=A","Dates=H","DateFormat=P","Fill=—","Direction=H","UseDPDF=Y")</f>
        <v>-126</v>
      </c>
      <c r="L42" s="17">
        <f>_xll.BDH("LUMN US Equity","PROC_FR_REPAYMNTS_BOR_DETAILED","FQ2 2020","FQ2 2020","Currency=USD","Period=FQ","BEST_FPERIOD_OVERRIDE=FQ","FILING_STATUS=MR","SCALING_FORMAT=MLN","Sort=A","Dates=H","DateFormat=P","Fill=—","Direction=H","UseDPDF=Y")</f>
        <v>-320</v>
      </c>
    </row>
    <row r="43" spans="1:12" x14ac:dyDescent="0.25">
      <c r="A43" s="16" t="s">
        <v>382</v>
      </c>
      <c r="B43" s="16" t="s">
        <v>381</v>
      </c>
      <c r="C43" s="17">
        <f>_xll.BDH("LUMN US Equity","CF_NET_CHG_IN_ST_DBT_&amp;_CPTL_LEAS","FQ1 2018","FQ1 2018","Currency=USD","Period=FQ","BEST_FPERIOD_OVERRIDE=FQ","FILING_STATUS=MR","SCALING_FORMAT=MLN","Sort=A","Dates=H","DateFormat=P","Fill=—","Direction=H","UseDPDF=Y")</f>
        <v>0</v>
      </c>
      <c r="D43" s="17">
        <f>_xll.BDH("LUMN US Equity","CF_NET_CHG_IN_ST_DBT_&amp;_CPTL_LEAS","FQ2 2018","FQ2 2018","Currency=USD","Period=FQ","BEST_FPERIOD_OVERRIDE=FQ","FILING_STATUS=MR","SCALING_FORMAT=MLN","Sort=A","Dates=H","DateFormat=P","Fill=—","Direction=H","UseDPDF=Y")</f>
        <v>0</v>
      </c>
      <c r="E43" s="17">
        <f>_xll.BDH("LUMN US Equity","CF_NET_CHG_IN_ST_DBT_&amp;_CPTL_LEAS","FQ3 2018","FQ3 2018","Currency=USD","Period=FQ","BEST_FPERIOD_OVERRIDE=FQ","FILING_STATUS=MR","SCALING_FORMAT=MLN","Sort=A","Dates=H","DateFormat=P","Fill=—","Direction=H","UseDPDF=Y")</f>
        <v>0</v>
      </c>
      <c r="F43" s="17">
        <f>_xll.BDH("LUMN US Equity","CF_NET_CHG_IN_ST_DBT_&amp;_CPTL_LEAS","FQ4 2018","FQ4 2018","Currency=USD","Period=FQ","BEST_FPERIOD_OVERRIDE=FQ","FILING_STATUS=MR","SCALING_FORMAT=MLN","Sort=A","Dates=H","DateFormat=P","Fill=—","Direction=H","UseDPDF=Y")</f>
        <v>0</v>
      </c>
      <c r="G43" s="17">
        <f>_xll.BDH("LUMN US Equity","CF_NET_CHG_IN_ST_DBT_&amp;_CPTL_LEAS","FQ1 2019","FQ1 2019","Currency=USD","Period=FQ","BEST_FPERIOD_OVERRIDE=FQ","FILING_STATUS=MR","SCALING_FORMAT=MLN","Sort=A","Dates=H","DateFormat=P","Fill=—","Direction=H","UseDPDF=Y")</f>
        <v>0</v>
      </c>
      <c r="H43" s="17">
        <f>_xll.BDH("LUMN US Equity","CF_NET_CHG_IN_ST_DBT_&amp;_CPTL_LEAS","FQ2 2019","FQ2 2019","Currency=USD","Period=FQ","BEST_FPERIOD_OVERRIDE=FQ","FILING_STATUS=MR","SCALING_FORMAT=MLN","Sort=A","Dates=H","DateFormat=P","Fill=—","Direction=H","UseDPDF=Y")</f>
        <v>0</v>
      </c>
      <c r="I43" s="17">
        <f>_xll.BDH("LUMN US Equity","CF_NET_CHG_IN_ST_DBT_&amp;_CPTL_LEAS","FQ3 2019","FQ3 2019","Currency=USD","Period=FQ","BEST_FPERIOD_OVERRIDE=FQ","FILING_STATUS=MR","SCALING_FORMAT=MLN","Sort=A","Dates=H","DateFormat=P","Fill=—","Direction=H","UseDPDF=Y")</f>
        <v>0</v>
      </c>
      <c r="J43" s="17">
        <f>_xll.BDH("LUMN US Equity","CF_NET_CHG_IN_ST_DBT_&amp;_CPTL_LEAS","FQ4 2019","FQ4 2019","Currency=USD","Period=FQ","BEST_FPERIOD_OVERRIDE=FQ","FILING_STATUS=MR","SCALING_FORMAT=MLN","Sort=A","Dates=H","DateFormat=P","Fill=—","Direction=H","UseDPDF=Y")</f>
        <v>0</v>
      </c>
      <c r="K43" s="17">
        <f>_xll.BDH("LUMN US Equity","CF_NET_CHG_IN_ST_DBT_&amp;_CPTL_LEAS","FQ1 2020","FQ1 2020","Currency=USD","Period=FQ","BEST_FPERIOD_OVERRIDE=FQ","FILING_STATUS=MR","SCALING_FORMAT=MLN","Sort=A","Dates=H","DateFormat=P","Fill=—","Direction=H","UseDPDF=Y")</f>
        <v>0</v>
      </c>
      <c r="L43" s="17">
        <f>_xll.BDH("LUMN US Equity","CF_NET_CHG_IN_ST_DBT_&amp;_CPTL_LEAS","FQ2 2020","FQ2 2020","Currency=USD","Period=FQ","BEST_FPERIOD_OVERRIDE=FQ","FILING_STATUS=MR","SCALING_FORMAT=MLN","Sort=A","Dates=H","DateFormat=P","Fill=—","Direction=H","UseDPDF=Y")</f>
        <v>0</v>
      </c>
    </row>
    <row r="44" spans="1:12" x14ac:dyDescent="0.25">
      <c r="A44" s="16" t="s">
        <v>380</v>
      </c>
      <c r="B44" s="16" t="s">
        <v>379</v>
      </c>
      <c r="C44" s="17">
        <f>_xll.BDH("LUMN US Equity","CF_PROC_LT_DEBT_&amp;_CAPITAL_LEASE","FQ1 2018","FQ1 2018","Currency=USD","Period=FQ","BEST_FPERIOD_OVERRIDE=FQ","FILING_STATUS=MR","SCALING_FORMAT=MLN","Sort=A","Dates=H","DateFormat=P","Fill=—","Direction=H","UseDPDF=Y")</f>
        <v>130</v>
      </c>
      <c r="D44" s="17">
        <f>_xll.BDH("LUMN US Equity","CF_PROC_LT_DEBT_&amp;_CAPITAL_LEASE","FQ2 2018","FQ2 2018","Currency=USD","Period=FQ","BEST_FPERIOD_OVERRIDE=FQ","FILING_STATUS=MR","SCALING_FORMAT=MLN","Sort=A","Dates=H","DateFormat=P","Fill=—","Direction=H","UseDPDF=Y")</f>
        <v>0</v>
      </c>
      <c r="E44" s="17">
        <f>_xll.BDH("LUMN US Equity","CF_PROC_LT_DEBT_&amp;_CAPITAL_LEASE","FQ3 2018","FQ3 2018","Currency=USD","Period=FQ","BEST_FPERIOD_OVERRIDE=FQ","FILING_STATUS=MR","SCALING_FORMAT=MLN","Sort=A","Dates=H","DateFormat=P","Fill=—","Direction=H","UseDPDF=Y")</f>
        <v>0</v>
      </c>
      <c r="F44" s="17">
        <f>_xll.BDH("LUMN US Equity","CF_PROC_LT_DEBT_&amp;_CAPITAL_LEASE","FQ4 2018","FQ4 2018","Currency=USD","Period=FQ","BEST_FPERIOD_OVERRIDE=FQ","FILING_STATUS=MR","SCALING_FORMAT=MLN","Sort=A","Dates=H","DateFormat=P","Fill=—","Direction=H","UseDPDF=Y")</f>
        <v>0</v>
      </c>
      <c r="G44" s="17">
        <f>_xll.BDH("LUMN US Equity","CF_PROC_LT_DEBT_&amp;_CAPITAL_LEASE","FQ1 2019","FQ1 2019","Currency=USD","Period=FQ","BEST_FPERIOD_OVERRIDE=FQ","FILING_STATUS=MR","SCALING_FORMAT=MLN","Sort=A","Dates=H","DateFormat=P","Fill=—","Direction=H","UseDPDF=Y")</f>
        <v>145</v>
      </c>
      <c r="H44" s="17">
        <f>_xll.BDH("LUMN US Equity","CF_PROC_LT_DEBT_&amp;_CAPITAL_LEASE","FQ2 2019","FQ2 2019","Currency=USD","Period=FQ","BEST_FPERIOD_OVERRIDE=FQ","FILING_STATUS=MR","SCALING_FORMAT=MLN","Sort=A","Dates=H","DateFormat=P","Fill=—","Direction=H","UseDPDF=Y")</f>
        <v>0</v>
      </c>
      <c r="I44" s="17">
        <f>_xll.BDH("LUMN US Equity","CF_PROC_LT_DEBT_&amp;_CAPITAL_LEASE","FQ3 2019","FQ3 2019","Currency=USD","Period=FQ","BEST_FPERIOD_OVERRIDE=FQ","FILING_STATUS=MR","SCALING_FORMAT=MLN","Sort=A","Dates=H","DateFormat=P","Fill=—","Direction=H","UseDPDF=Y")</f>
        <v>988</v>
      </c>
      <c r="J44" s="17">
        <f>_xll.BDH("LUMN US Equity","CF_PROC_LT_DEBT_&amp;_CAPITAL_LEASE","FQ4 2019","FQ4 2019","Currency=USD","Period=FQ","BEST_FPERIOD_OVERRIDE=FQ","FILING_STATUS=MR","SCALING_FORMAT=MLN","Sort=A","Dates=H","DateFormat=P","Fill=—","Direction=H","UseDPDF=Y")</f>
        <v>0</v>
      </c>
      <c r="K44" s="17">
        <f>_xll.BDH("LUMN US Equity","CF_PROC_LT_DEBT_&amp;_CAPITAL_LEASE","FQ1 2020","FQ1 2020","Currency=USD","Period=FQ","BEST_FPERIOD_OVERRIDE=FQ","FILING_STATUS=MR","SCALING_FORMAT=MLN","Sort=A","Dates=H","DateFormat=P","Fill=—","Direction=H","UseDPDF=Y")</f>
        <v>2362</v>
      </c>
      <c r="L44" s="17">
        <f>_xll.BDH("LUMN US Equity","CF_PROC_LT_DEBT_&amp;_CAPITAL_LEASE","FQ2 2020","FQ2 2020","Currency=USD","Period=FQ","BEST_FPERIOD_OVERRIDE=FQ","FILING_STATUS=MR","SCALING_FORMAT=MLN","Sort=A","Dates=H","DateFormat=P","Fill=—","Direction=H","UseDPDF=Y")</f>
        <v>888</v>
      </c>
    </row>
    <row r="45" spans="1:12" x14ac:dyDescent="0.25">
      <c r="A45" s="16" t="s">
        <v>378</v>
      </c>
      <c r="B45" s="16" t="s">
        <v>377</v>
      </c>
      <c r="C45" s="17">
        <f>_xll.BDH("LUMN US Equity","CF_PYMT_LT_DEBT_&amp;_CAPITAL_LEASE","FQ1 2018","FQ1 2018","Currency=USD","Period=FQ","BEST_FPERIOD_OVERRIDE=FQ","FILING_STATUS=MR","SCALING_FORMAT=MLN","Sort=A","Dates=H","DateFormat=P","Fill=—","Direction=H","UseDPDF=Y")</f>
        <v>-473</v>
      </c>
      <c r="D45" s="17">
        <f>_xll.BDH("LUMN US Equity","CF_PYMT_LT_DEBT_&amp;_CAPITAL_LEASE","FQ2 2018","FQ2 2018","Currency=USD","Period=FQ","BEST_FPERIOD_OVERRIDE=FQ","FILING_STATUS=MR","SCALING_FORMAT=MLN","Sort=A","Dates=H","DateFormat=P","Fill=—","Direction=H","UseDPDF=Y")</f>
        <v>-55</v>
      </c>
      <c r="E45" s="17">
        <f>_xll.BDH("LUMN US Equity","CF_PYMT_LT_DEBT_&amp;_CAPITAL_LEASE","FQ3 2018","FQ3 2018","Currency=USD","Period=FQ","BEST_FPERIOD_OVERRIDE=FQ","FILING_STATUS=MR","SCALING_FORMAT=MLN","Sort=A","Dates=H","DateFormat=P","Fill=—","Direction=H","UseDPDF=Y")</f>
        <v>-826</v>
      </c>
      <c r="F45" s="17">
        <f>_xll.BDH("LUMN US Equity","CF_PYMT_LT_DEBT_&amp;_CAPITAL_LEASE","FQ4 2018","FQ4 2018","Currency=USD","Period=FQ","BEST_FPERIOD_OVERRIDE=FQ","FILING_STATUS=MR","SCALING_FORMAT=MLN","Sort=A","Dates=H","DateFormat=P","Fill=—","Direction=H","UseDPDF=Y")</f>
        <v>-437</v>
      </c>
      <c r="G45" s="17">
        <f>_xll.BDH("LUMN US Equity","CF_PYMT_LT_DEBT_&amp;_CAPITAL_LEASE","FQ1 2019","FQ1 2019","Currency=USD","Period=FQ","BEST_FPERIOD_OVERRIDE=FQ","FILING_STATUS=MR","SCALING_FORMAT=MLN","Sort=A","Dates=H","DateFormat=P","Fill=—","Direction=H","UseDPDF=Y")</f>
        <v>-153</v>
      </c>
      <c r="H45" s="17">
        <f>_xll.BDH("LUMN US Equity","CF_PYMT_LT_DEBT_&amp;_CAPITAL_LEASE","FQ2 2019","FQ2 2019","Currency=USD","Period=FQ","BEST_FPERIOD_OVERRIDE=FQ","FILING_STATUS=MR","SCALING_FORMAT=MLN","Sort=A","Dates=H","DateFormat=P","Fill=—","Direction=H","UseDPDF=Y")</f>
        <v>-652</v>
      </c>
      <c r="I45" s="17">
        <f>_xll.BDH("LUMN US Equity","CF_PYMT_LT_DEBT_&amp;_CAPITAL_LEASE","FQ3 2019","FQ3 2019","Currency=USD","Period=FQ","BEST_FPERIOD_OVERRIDE=FQ","FILING_STATUS=MR","SCALING_FORMAT=MLN","Sort=A","Dates=H","DateFormat=P","Fill=—","Direction=H","UseDPDF=Y")</f>
        <v>-649</v>
      </c>
      <c r="J45" s="17">
        <f>_xll.BDH("LUMN US Equity","CF_PYMT_LT_DEBT_&amp;_CAPITAL_LEASE","FQ4 2019","FQ4 2019","Currency=USD","Period=FQ","BEST_FPERIOD_OVERRIDE=FQ","FILING_STATUS=MR","SCALING_FORMAT=MLN","Sort=A","Dates=H","DateFormat=P","Fill=—","Direction=H","UseDPDF=Y")</f>
        <v>-429</v>
      </c>
      <c r="K45" s="17">
        <f>_xll.BDH("LUMN US Equity","CF_PYMT_LT_DEBT_&amp;_CAPITAL_LEASE","FQ1 2020","FQ1 2020","Currency=USD","Period=FQ","BEST_FPERIOD_OVERRIDE=FQ","FILING_STATUS=MR","SCALING_FORMAT=MLN","Sort=A","Dates=H","DateFormat=P","Fill=—","Direction=H","UseDPDF=Y")</f>
        <v>-2488</v>
      </c>
      <c r="L45" s="17">
        <f>_xll.BDH("LUMN US Equity","CF_PYMT_LT_DEBT_&amp;_CAPITAL_LEASE","FQ2 2020","FQ2 2020","Currency=USD","Period=FQ","BEST_FPERIOD_OVERRIDE=FQ","FILING_STATUS=MR","SCALING_FORMAT=MLN","Sort=A","Dates=H","DateFormat=P","Fill=—","Direction=H","UseDPDF=Y")</f>
        <v>-1208</v>
      </c>
    </row>
    <row r="46" spans="1:12" x14ac:dyDescent="0.25">
      <c r="A46" s="16" t="s">
        <v>376</v>
      </c>
      <c r="B46" s="16" t="s">
        <v>375</v>
      </c>
      <c r="C46" s="17">
        <f>_xll.BDH("LUMN US Equity","PROC_FR_REPURCH_EQTY_DETAILED","FQ1 2018","FQ1 2018","Currency=USD","Period=FQ","BEST_FPERIOD_OVERRIDE=FQ","FILING_STATUS=MR","SCALING_FORMAT=MLN","Sort=A","Dates=H","DateFormat=P","Fill=—","Direction=H","UseDPDF=Y")</f>
        <v>0</v>
      </c>
      <c r="D46" s="17">
        <f>_xll.BDH("LUMN US Equity","PROC_FR_REPURCH_EQTY_DETAILED","FQ2 2018","FQ2 2018","Currency=USD","Period=FQ","BEST_FPERIOD_OVERRIDE=FQ","FILING_STATUS=MR","SCALING_FORMAT=MLN","Sort=A","Dates=H","DateFormat=P","Fill=—","Direction=H","UseDPDF=Y")</f>
        <v>0</v>
      </c>
      <c r="E46" s="17">
        <f>_xll.BDH("LUMN US Equity","PROC_FR_REPURCH_EQTY_DETAILED","FQ3 2018","FQ3 2018","Currency=USD","Period=FQ","BEST_FPERIOD_OVERRIDE=FQ","FILING_STATUS=MR","SCALING_FORMAT=MLN","Sort=A","Dates=H","DateFormat=P","Fill=—","Direction=H","UseDPDF=Y")</f>
        <v>0</v>
      </c>
      <c r="F46" s="17">
        <f>_xll.BDH("LUMN US Equity","PROC_FR_REPURCH_EQTY_DETAILED","FQ4 2018","FQ4 2018","Currency=USD","Period=FQ","BEST_FPERIOD_OVERRIDE=FQ","FILING_STATUS=MR","SCALING_FORMAT=MLN","Sort=A","Dates=H","DateFormat=P","Fill=—","Direction=H","UseDPDF=Y")</f>
        <v>0</v>
      </c>
      <c r="G46" s="17">
        <f>_xll.BDH("LUMN US Equity","PROC_FR_REPURCH_EQTY_DETAILED","FQ1 2019","FQ1 2019","Currency=USD","Period=FQ","BEST_FPERIOD_OVERRIDE=FQ","FILING_STATUS=MR","SCALING_FORMAT=MLN","Sort=A","Dates=H","DateFormat=P","Fill=—","Direction=H","UseDPDF=Y")</f>
        <v>0</v>
      </c>
      <c r="H46" s="17">
        <f>_xll.BDH("LUMN US Equity","PROC_FR_REPURCH_EQTY_DETAILED","FQ2 2019","FQ2 2019","Currency=USD","Period=FQ","BEST_FPERIOD_OVERRIDE=FQ","FILING_STATUS=MR","SCALING_FORMAT=MLN","Sort=A","Dates=H","DateFormat=P","Fill=—","Direction=H","UseDPDF=Y")</f>
        <v>0</v>
      </c>
      <c r="I46" s="17">
        <f>_xll.BDH("LUMN US Equity","PROC_FR_REPURCH_EQTY_DETAILED","FQ3 2019","FQ3 2019","Currency=USD","Period=FQ","BEST_FPERIOD_OVERRIDE=FQ","FILING_STATUS=MR","SCALING_FORMAT=MLN","Sort=A","Dates=H","DateFormat=P","Fill=—","Direction=H","UseDPDF=Y")</f>
        <v>0</v>
      </c>
      <c r="J46" s="17">
        <f>_xll.BDH("LUMN US Equity","PROC_FR_REPURCH_EQTY_DETAILED","FQ4 2019","FQ4 2019","Currency=USD","Period=FQ","BEST_FPERIOD_OVERRIDE=FQ","FILING_STATUS=MR","SCALING_FORMAT=MLN","Sort=A","Dates=H","DateFormat=P","Fill=—","Direction=H","UseDPDF=Y")</f>
        <v>0</v>
      </c>
      <c r="K46" s="17">
        <f>_xll.BDH("LUMN US Equity","PROC_FR_REPURCH_EQTY_DETAILED","FQ1 2020","FQ1 2020","Currency=USD","Period=FQ","BEST_FPERIOD_OVERRIDE=FQ","FILING_STATUS=MR","SCALING_FORMAT=MLN","Sort=A","Dates=H","DateFormat=P","Fill=—","Direction=H","UseDPDF=Y")</f>
        <v>0</v>
      </c>
      <c r="L46" s="17">
        <f>_xll.BDH("LUMN US Equity","PROC_FR_REPURCH_EQTY_DETAILED","FQ2 2020","FQ2 2020","Currency=USD","Period=FQ","BEST_FPERIOD_OVERRIDE=FQ","FILING_STATUS=MR","SCALING_FORMAT=MLN","Sort=A","Dates=H","DateFormat=P","Fill=—","Direction=H","UseDPDF=Y")</f>
        <v>0</v>
      </c>
    </row>
    <row r="47" spans="1:12" x14ac:dyDescent="0.25">
      <c r="A47" s="16" t="s">
        <v>374</v>
      </c>
      <c r="B47" s="16" t="s">
        <v>373</v>
      </c>
      <c r="C47" s="17">
        <f>_xll.BDH("LUMN US Equity","CF_INCR_CAP_STOCK","FQ1 2018","FQ1 2018","Currency=USD","Period=FQ","BEST_FPERIOD_OVERRIDE=FQ","FILING_STATUS=MR","SCALING_FORMAT=MLN","Sort=A","Dates=H","DateFormat=P","Fill=—","Direction=H","UseDPDF=Y")</f>
        <v>0</v>
      </c>
      <c r="D47" s="17">
        <f>_xll.BDH("LUMN US Equity","CF_INCR_CAP_STOCK","FQ2 2018","FQ2 2018","Currency=USD","Period=FQ","BEST_FPERIOD_OVERRIDE=FQ","FILING_STATUS=MR","SCALING_FORMAT=MLN","Sort=A","Dates=H","DateFormat=P","Fill=—","Direction=H","UseDPDF=Y")</f>
        <v>0</v>
      </c>
      <c r="E47" s="17">
        <f>_xll.BDH("LUMN US Equity","CF_INCR_CAP_STOCK","FQ3 2018","FQ3 2018","Currency=USD","Period=FQ","BEST_FPERIOD_OVERRIDE=FQ","FILING_STATUS=MR","SCALING_FORMAT=MLN","Sort=A","Dates=H","DateFormat=P","Fill=—","Direction=H","UseDPDF=Y")</f>
        <v>0</v>
      </c>
      <c r="F47" s="17">
        <f>_xll.BDH("LUMN US Equity","CF_INCR_CAP_STOCK","FQ4 2018","FQ4 2018","Currency=USD","Period=FQ","BEST_FPERIOD_OVERRIDE=FQ","FILING_STATUS=MR","SCALING_FORMAT=MLN","Sort=A","Dates=H","DateFormat=P","Fill=—","Direction=H","UseDPDF=Y")</f>
        <v>0</v>
      </c>
      <c r="G47" s="17">
        <f>_xll.BDH("LUMN US Equity","CF_INCR_CAP_STOCK","FQ1 2019","FQ1 2019","Currency=USD","Period=FQ","BEST_FPERIOD_OVERRIDE=FQ","FILING_STATUS=MR","SCALING_FORMAT=MLN","Sort=A","Dates=H","DateFormat=P","Fill=—","Direction=H","UseDPDF=Y")</f>
        <v>0</v>
      </c>
      <c r="H47" s="17">
        <f>_xll.BDH("LUMN US Equity","CF_INCR_CAP_STOCK","FQ2 2019","FQ2 2019","Currency=USD","Period=FQ","BEST_FPERIOD_OVERRIDE=FQ","FILING_STATUS=MR","SCALING_FORMAT=MLN","Sort=A","Dates=H","DateFormat=P","Fill=—","Direction=H","UseDPDF=Y")</f>
        <v>0</v>
      </c>
      <c r="I47" s="17">
        <f>_xll.BDH("LUMN US Equity","CF_INCR_CAP_STOCK","FQ3 2019","FQ3 2019","Currency=USD","Period=FQ","BEST_FPERIOD_OVERRIDE=FQ","FILING_STATUS=MR","SCALING_FORMAT=MLN","Sort=A","Dates=H","DateFormat=P","Fill=—","Direction=H","UseDPDF=Y")</f>
        <v>0</v>
      </c>
      <c r="J47" s="17">
        <f>_xll.BDH("LUMN US Equity","CF_INCR_CAP_STOCK","FQ4 2019","FQ4 2019","Currency=USD","Period=FQ","BEST_FPERIOD_OVERRIDE=FQ","FILING_STATUS=MR","SCALING_FORMAT=MLN","Sort=A","Dates=H","DateFormat=P","Fill=—","Direction=H","UseDPDF=Y")</f>
        <v>0</v>
      </c>
      <c r="K47" s="17">
        <f>_xll.BDH("LUMN US Equity","CF_INCR_CAP_STOCK","FQ1 2020","FQ1 2020","Currency=USD","Period=FQ","BEST_FPERIOD_OVERRIDE=FQ","FILING_STATUS=MR","SCALING_FORMAT=MLN","Sort=A","Dates=H","DateFormat=P","Fill=—","Direction=H","UseDPDF=Y")</f>
        <v>0</v>
      </c>
      <c r="L47" s="17">
        <f>_xll.BDH("LUMN US Equity","CF_INCR_CAP_STOCK","FQ2 2020","FQ2 2020","Currency=USD","Period=FQ","BEST_FPERIOD_OVERRIDE=FQ","FILING_STATUS=MR","SCALING_FORMAT=MLN","Sort=A","Dates=H","DateFormat=P","Fill=—","Direction=H","UseDPDF=Y")</f>
        <v>0</v>
      </c>
    </row>
    <row r="48" spans="1:12" x14ac:dyDescent="0.25">
      <c r="A48" s="16" t="s">
        <v>372</v>
      </c>
      <c r="B48" s="16" t="s">
        <v>371</v>
      </c>
      <c r="C48" s="17">
        <f>_xll.BDH("LUMN US Equity","CF_DECR_CAP_STOCK","FQ1 2018","FQ1 2018","Currency=USD","Period=FQ","BEST_FPERIOD_OVERRIDE=FQ","FILING_STATUS=MR","SCALING_FORMAT=MLN","Sort=A","Dates=H","DateFormat=P","Fill=—","Direction=H","UseDPDF=Y")</f>
        <v>0</v>
      </c>
      <c r="D48" s="17">
        <f>_xll.BDH("LUMN US Equity","CF_DECR_CAP_STOCK","FQ2 2018","FQ2 2018","Currency=USD","Period=FQ","BEST_FPERIOD_OVERRIDE=FQ","FILING_STATUS=MR","SCALING_FORMAT=MLN","Sort=A","Dates=H","DateFormat=P","Fill=—","Direction=H","UseDPDF=Y")</f>
        <v>0</v>
      </c>
      <c r="E48" s="17">
        <f>_xll.BDH("LUMN US Equity","CF_DECR_CAP_STOCK","FQ3 2018","FQ3 2018","Currency=USD","Period=FQ","BEST_FPERIOD_OVERRIDE=FQ","FILING_STATUS=MR","SCALING_FORMAT=MLN","Sort=A","Dates=H","DateFormat=P","Fill=—","Direction=H","UseDPDF=Y")</f>
        <v>0</v>
      </c>
      <c r="F48" s="17">
        <f>_xll.BDH("LUMN US Equity","CF_DECR_CAP_STOCK","FQ4 2018","FQ4 2018","Currency=USD","Period=FQ","BEST_FPERIOD_OVERRIDE=FQ","FILING_STATUS=MR","SCALING_FORMAT=MLN","Sort=A","Dates=H","DateFormat=P","Fill=—","Direction=H","UseDPDF=Y")</f>
        <v>0</v>
      </c>
      <c r="G48" s="17">
        <f>_xll.BDH("LUMN US Equity","CF_DECR_CAP_STOCK","FQ1 2019","FQ1 2019","Currency=USD","Period=FQ","BEST_FPERIOD_OVERRIDE=FQ","FILING_STATUS=MR","SCALING_FORMAT=MLN","Sort=A","Dates=H","DateFormat=P","Fill=—","Direction=H","UseDPDF=Y")</f>
        <v>0</v>
      </c>
      <c r="H48" s="17">
        <f>_xll.BDH("LUMN US Equity","CF_DECR_CAP_STOCK","FQ2 2019","FQ2 2019","Currency=USD","Period=FQ","BEST_FPERIOD_OVERRIDE=FQ","FILING_STATUS=MR","SCALING_FORMAT=MLN","Sort=A","Dates=H","DateFormat=P","Fill=—","Direction=H","UseDPDF=Y")</f>
        <v>0</v>
      </c>
      <c r="I48" s="17">
        <f>_xll.BDH("LUMN US Equity","CF_DECR_CAP_STOCK","FQ3 2019","FQ3 2019","Currency=USD","Period=FQ","BEST_FPERIOD_OVERRIDE=FQ","FILING_STATUS=MR","SCALING_FORMAT=MLN","Sort=A","Dates=H","DateFormat=P","Fill=—","Direction=H","UseDPDF=Y")</f>
        <v>0</v>
      </c>
      <c r="J48" s="17">
        <f>_xll.BDH("LUMN US Equity","CF_DECR_CAP_STOCK","FQ4 2019","FQ4 2019","Currency=USD","Period=FQ","BEST_FPERIOD_OVERRIDE=FQ","FILING_STATUS=MR","SCALING_FORMAT=MLN","Sort=A","Dates=H","DateFormat=P","Fill=—","Direction=H","UseDPDF=Y")</f>
        <v>0</v>
      </c>
      <c r="K48" s="17">
        <f>_xll.BDH("LUMN US Equity","CF_DECR_CAP_STOCK","FQ1 2020","FQ1 2020","Currency=USD","Period=FQ","BEST_FPERIOD_OVERRIDE=FQ","FILING_STATUS=MR","SCALING_FORMAT=MLN","Sort=A","Dates=H","DateFormat=P","Fill=—","Direction=H","UseDPDF=Y")</f>
        <v>0</v>
      </c>
      <c r="L48" s="17">
        <f>_xll.BDH("LUMN US Equity","CF_DECR_CAP_STOCK","FQ2 2020","FQ2 2020","Currency=USD","Period=FQ","BEST_FPERIOD_OVERRIDE=FQ","FILING_STATUS=MR","SCALING_FORMAT=MLN","Sort=A","Dates=H","DateFormat=P","Fill=—","Direction=H","UseDPDF=Y")</f>
        <v>0</v>
      </c>
    </row>
    <row r="49" spans="1:12" x14ac:dyDescent="0.25">
      <c r="A49" s="16" t="s">
        <v>370</v>
      </c>
      <c r="B49" s="16" t="s">
        <v>369</v>
      </c>
      <c r="C49" s="17">
        <f>_xll.BDH("LUMN US Equity","OTHER_FIN_AND_DEC_CAP","FQ1 2018","FQ1 2018","Currency=USD","Period=FQ","BEST_FPERIOD_OVERRIDE=FQ","FILING_STATUS=MR","SCALING_FORMAT=MLN","Sort=A","Dates=H","DateFormat=P","Fill=—","Direction=H","UseDPDF=Y")</f>
        <v>-26</v>
      </c>
      <c r="D49" s="17">
        <f>_xll.BDH("LUMN US Equity","OTHER_FIN_AND_DEC_CAP","FQ2 2018","FQ2 2018","Currency=USD","Period=FQ","BEST_FPERIOD_OVERRIDE=FQ","FILING_STATUS=MR","SCALING_FORMAT=MLN","Sort=A","Dates=H","DateFormat=P","Fill=—","Direction=H","UseDPDF=Y")</f>
        <v>-11</v>
      </c>
      <c r="E49" s="17">
        <f>_xll.BDH("LUMN US Equity","OTHER_FIN_AND_DEC_CAP","FQ3 2018","FQ3 2018","Currency=USD","Period=FQ","BEST_FPERIOD_OVERRIDE=FQ","FILING_STATUS=MR","SCALING_FORMAT=MLN","Sort=A","Dates=H","DateFormat=P","Fill=—","Direction=H","UseDPDF=Y")</f>
        <v>-10</v>
      </c>
      <c r="F49" s="17">
        <f>_xll.BDH("LUMN US Equity","OTHER_FIN_AND_DEC_CAP","FQ4 2018","FQ4 2018","Currency=USD","Period=FQ","BEST_FPERIOD_OVERRIDE=FQ","FILING_STATUS=MR","SCALING_FORMAT=MLN","Sort=A","Dates=H","DateFormat=P","Fill=—","Direction=H","UseDPDF=Y")</f>
        <v>-3</v>
      </c>
      <c r="G49" s="17">
        <f>_xll.BDH("LUMN US Equity","OTHER_FIN_AND_DEC_CAP","FQ1 2019","FQ1 2019","Currency=USD","Period=FQ","BEST_FPERIOD_OVERRIDE=FQ","FILING_STATUS=MR","SCALING_FORMAT=MLN","Sort=A","Dates=H","DateFormat=P","Fill=—","Direction=H","UseDPDF=Y")</f>
        <v>-27</v>
      </c>
      <c r="H49" s="17">
        <f>_xll.BDH("LUMN US Equity","OTHER_FIN_AND_DEC_CAP","FQ2 2019","FQ2 2019","Currency=USD","Period=FQ","BEST_FPERIOD_OVERRIDE=FQ","FILING_STATUS=MR","SCALING_FORMAT=MLN","Sort=A","Dates=H","DateFormat=P","Fill=—","Direction=H","UseDPDF=Y")</f>
        <v>-3</v>
      </c>
      <c r="I49" s="17">
        <f>_xll.BDH("LUMN US Equity","OTHER_FIN_AND_DEC_CAP","FQ3 2019","FQ3 2019","Currency=USD","Period=FQ","BEST_FPERIOD_OVERRIDE=FQ","FILING_STATUS=MR","SCALING_FORMAT=MLN","Sort=A","Dates=H","DateFormat=P","Fill=—","Direction=H","UseDPDF=Y")</f>
        <v>-7</v>
      </c>
      <c r="J49" s="17">
        <f>_xll.BDH("LUMN US Equity","OTHER_FIN_AND_DEC_CAP","FQ4 2019","FQ4 2019","Currency=USD","Period=FQ","BEST_FPERIOD_OVERRIDE=FQ","FILING_STATUS=MR","SCALING_FORMAT=MLN","Sort=A","Dates=H","DateFormat=P","Fill=—","Direction=H","UseDPDF=Y")</f>
        <v>-24</v>
      </c>
      <c r="K49" s="17">
        <f>_xll.BDH("LUMN US Equity","OTHER_FIN_AND_DEC_CAP","FQ1 2020","FQ1 2020","Currency=USD","Period=FQ","BEST_FPERIOD_OVERRIDE=FQ","FILING_STATUS=MR","SCALING_FORMAT=MLN","Sort=A","Dates=H","DateFormat=P","Fill=—","Direction=H","UseDPDF=Y")</f>
        <v>-69</v>
      </c>
      <c r="L49" s="17">
        <f>_xll.BDH("LUMN US Equity","OTHER_FIN_AND_DEC_CAP","FQ2 2020","FQ2 2020","Currency=USD","Period=FQ","BEST_FPERIOD_OVERRIDE=FQ","FILING_STATUS=MR","SCALING_FORMAT=MLN","Sort=A","Dates=H","DateFormat=P","Fill=—","Direction=H","UseDPDF=Y")</f>
        <v>-6</v>
      </c>
    </row>
    <row r="50" spans="1:12" x14ac:dyDescent="0.25">
      <c r="A50" s="16" t="s">
        <v>368</v>
      </c>
      <c r="B50" s="16" t="s">
        <v>367</v>
      </c>
      <c r="C50" s="17">
        <f>_xll.BDH("LUMN US Equity","CF_NET_CASH_DISCONTINUED_OPS_FIN","FQ1 2018","FQ1 2018","Currency=USD","Period=FQ","BEST_FPERIOD_OVERRIDE=FQ","FILING_STATUS=MR","SCALING_FORMAT=MLN","Sort=A","Dates=H","DateFormat=P","Fill=—","Direction=H","UseDPDF=Y")</f>
        <v>0</v>
      </c>
      <c r="D50" s="17">
        <f>_xll.BDH("LUMN US Equity","CF_NET_CASH_DISCONTINUED_OPS_FIN","FQ2 2018","FQ2 2018","Currency=USD","Period=FQ","BEST_FPERIOD_OVERRIDE=FQ","FILING_STATUS=MR","SCALING_FORMAT=MLN","Sort=A","Dates=H","DateFormat=P","Fill=—","Direction=H","UseDPDF=Y")</f>
        <v>0</v>
      </c>
      <c r="E50" s="17">
        <f>_xll.BDH("LUMN US Equity","CF_NET_CASH_DISCONTINUED_OPS_FIN","FQ3 2018","FQ3 2018","Currency=USD","Period=FQ","BEST_FPERIOD_OVERRIDE=FQ","FILING_STATUS=MR","SCALING_FORMAT=MLN","Sort=A","Dates=H","DateFormat=P","Fill=—","Direction=H","UseDPDF=Y")</f>
        <v>0</v>
      </c>
      <c r="F50" s="17">
        <f>_xll.BDH("LUMN US Equity","CF_NET_CASH_DISCONTINUED_OPS_FIN","FQ4 2018","FQ4 2018","Currency=USD","Period=FQ","BEST_FPERIOD_OVERRIDE=FQ","FILING_STATUS=MR","SCALING_FORMAT=MLN","Sort=A","Dates=H","DateFormat=P","Fill=—","Direction=H","UseDPDF=Y")</f>
        <v>0</v>
      </c>
      <c r="G50" s="17">
        <f>_xll.BDH("LUMN US Equity","CF_NET_CASH_DISCONTINUED_OPS_FIN","FQ1 2019","FQ1 2019","Currency=USD","Period=FQ","BEST_FPERIOD_OVERRIDE=FQ","FILING_STATUS=MR","SCALING_FORMAT=MLN","Sort=A","Dates=H","DateFormat=P","Fill=—","Direction=H","UseDPDF=Y")</f>
        <v>0</v>
      </c>
      <c r="H50" s="17">
        <f>_xll.BDH("LUMN US Equity","CF_NET_CASH_DISCONTINUED_OPS_FIN","FQ2 2019","FQ2 2019","Currency=USD","Period=FQ","BEST_FPERIOD_OVERRIDE=FQ","FILING_STATUS=MR","SCALING_FORMAT=MLN","Sort=A","Dates=H","DateFormat=P","Fill=—","Direction=H","UseDPDF=Y")</f>
        <v>0</v>
      </c>
      <c r="I50" s="17">
        <f>_xll.BDH("LUMN US Equity","CF_NET_CASH_DISCONTINUED_OPS_FIN","FQ3 2019","FQ3 2019","Currency=USD","Period=FQ","BEST_FPERIOD_OVERRIDE=FQ","FILING_STATUS=MR","SCALING_FORMAT=MLN","Sort=A","Dates=H","DateFormat=P","Fill=—","Direction=H","UseDPDF=Y")</f>
        <v>0</v>
      </c>
      <c r="J50" s="17">
        <f>_xll.BDH("LUMN US Equity","CF_NET_CASH_DISCONTINUED_OPS_FIN","FQ4 2019","FQ4 2019","Currency=USD","Period=FQ","BEST_FPERIOD_OVERRIDE=FQ","FILING_STATUS=MR","SCALING_FORMAT=MLN","Sort=A","Dates=H","DateFormat=P","Fill=—","Direction=H","UseDPDF=Y")</f>
        <v>0</v>
      </c>
      <c r="K50" s="17">
        <f>_xll.BDH("LUMN US Equity","CF_NET_CASH_DISCONTINUED_OPS_FIN","FQ1 2020","FQ1 2020","Currency=USD","Period=FQ","BEST_FPERIOD_OVERRIDE=FQ","FILING_STATUS=MR","SCALING_FORMAT=MLN","Sort=A","Dates=H","DateFormat=P","Fill=—","Direction=H","UseDPDF=Y")</f>
        <v>0</v>
      </c>
      <c r="L50" s="17">
        <f>_xll.BDH("LUMN US Equity","CF_NET_CASH_DISCONTINUED_OPS_FIN","FQ2 2020","FQ2 2020","Currency=USD","Period=FQ","BEST_FPERIOD_OVERRIDE=FQ","FILING_STATUS=MR","SCALING_FORMAT=MLN","Sort=A","Dates=H","DateFormat=P","Fill=—","Direction=H","UseDPDF=Y")</f>
        <v>0</v>
      </c>
    </row>
    <row r="51" spans="1:12" x14ac:dyDescent="0.25">
      <c r="A51" s="12" t="s">
        <v>366</v>
      </c>
      <c r="B51" s="12" t="s">
        <v>365</v>
      </c>
      <c r="C51" s="10">
        <f>_xll.BDH("LUMN US Equity","CFF_ACTIVITIES_DETAILED","FQ1 2018","FQ1 2018","Currency=USD","Period=FQ","BEST_FPERIOD_OVERRIDE=FQ","FILING_STATUS=MR","SCALING_FORMAT=MLN","Sort=A","Dates=H","DateFormat=P","Fill=—","Direction=H","UseDPDF=Y")</f>
        <v>-949</v>
      </c>
      <c r="D51" s="10">
        <f>_xll.BDH("LUMN US Equity","CFF_ACTIVITIES_DETAILED","FQ2 2018","FQ2 2018","Currency=USD","Period=FQ","BEST_FPERIOD_OVERRIDE=FQ","FILING_STATUS=MR","SCALING_FORMAT=MLN","Sort=A","Dates=H","DateFormat=P","Fill=—","Direction=H","UseDPDF=Y")</f>
        <v>-642</v>
      </c>
      <c r="E51" s="10">
        <f>_xll.BDH("LUMN US Equity","CFF_ACTIVITIES_DETAILED","FQ3 2018","FQ3 2018","Currency=USD","Period=FQ","BEST_FPERIOD_OVERRIDE=FQ","FILING_STATUS=MR","SCALING_FORMAT=MLN","Sort=A","Dates=H","DateFormat=P","Fill=—","Direction=H","UseDPDF=Y")</f>
        <v>-1415</v>
      </c>
      <c r="F51" s="10">
        <f>_xll.BDH("LUMN US Equity","CFF_ACTIVITIES_DETAILED","FQ4 2018","FQ4 2018","Currency=USD","Period=FQ","BEST_FPERIOD_OVERRIDE=FQ","FILING_STATUS=MR","SCALING_FORMAT=MLN","Sort=A","Dates=H","DateFormat=P","Fill=—","Direction=H","UseDPDF=Y")</f>
        <v>-1017</v>
      </c>
      <c r="G51" s="10">
        <f>_xll.BDH("LUMN US Equity","CFF_ACTIVITIES_DETAILED","FQ1 2019","FQ1 2019","Currency=USD","Period=FQ","BEST_FPERIOD_OVERRIDE=FQ","FILING_STATUS=MR","SCALING_FORMAT=MLN","Sort=A","Dates=H","DateFormat=P","Fill=—","Direction=H","UseDPDF=Y")</f>
        <v>-320</v>
      </c>
      <c r="H51" s="10">
        <f>_xll.BDH("LUMN US Equity","CFF_ACTIVITIES_DETAILED","FQ2 2019","FQ2 2019","Currency=USD","Period=FQ","BEST_FPERIOD_OVERRIDE=FQ","FILING_STATUS=MR","SCALING_FORMAT=MLN","Sort=A","Dates=H","DateFormat=P","Fill=—","Direction=H","UseDPDF=Y")</f>
        <v>-924</v>
      </c>
      <c r="I51" s="10">
        <f>_xll.BDH("LUMN US Equity","CFF_ACTIVITIES_DETAILED","FQ3 2019","FQ3 2019","Currency=USD","Period=FQ","BEST_FPERIOD_OVERRIDE=FQ","FILING_STATUS=MR","SCALING_FORMAT=MLN","Sort=A","Dates=H","DateFormat=P","Fill=—","Direction=H","UseDPDF=Y")</f>
        <v>57</v>
      </c>
      <c r="J51" s="10">
        <f>_xll.BDH("LUMN US Equity","CFF_ACTIVITIES_DETAILED","FQ4 2019","FQ4 2019","Currency=USD","Period=FQ","BEST_FPERIOD_OVERRIDE=FQ","FILING_STATUS=MR","SCALING_FORMAT=MLN","Sort=A","Dates=H","DateFormat=P","Fill=—","Direction=H","UseDPDF=Y")</f>
        <v>-724</v>
      </c>
      <c r="K51" s="10">
        <f>_xll.BDH("LUMN US Equity","CFF_ACTIVITIES_DETAILED","FQ1 2020","FQ1 2020","Currency=USD","Period=FQ","BEST_FPERIOD_OVERRIDE=FQ","FILING_STATUS=MR","SCALING_FORMAT=MLN","Sort=A","Dates=H","DateFormat=P","Fill=—","Direction=H","UseDPDF=Y")</f>
        <v>-486</v>
      </c>
      <c r="L51" s="10">
        <f>_xll.BDH("LUMN US Equity","CFF_ACTIVITIES_DETAILED","FQ2 2020","FQ2 2020","Currency=USD","Period=FQ","BEST_FPERIOD_OVERRIDE=FQ","FILING_STATUS=MR","SCALING_FORMAT=MLN","Sort=A","Dates=H","DateFormat=P","Fill=—","Direction=H","UseDPDF=Y")</f>
        <v>-597</v>
      </c>
    </row>
    <row r="52" spans="1:12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5">
      <c r="A53" s="16" t="s">
        <v>364</v>
      </c>
      <c r="B53" s="16" t="s">
        <v>363</v>
      </c>
      <c r="C53" s="17">
        <f>_xll.BDH("LUMN US Equity","CF_EFFECT_FOREIGN_EXCHANGES","FQ1 2018","FQ1 2018","Currency=USD","Period=FQ","BEST_FPERIOD_OVERRIDE=FQ","FILING_STATUS=MR","SCALING_FORMAT=MLN","Sort=A","Dates=H","DateFormat=P","Fill=—","Direction=H","UseDPDF=Y")</f>
        <v>0</v>
      </c>
      <c r="D53" s="17">
        <f>_xll.BDH("LUMN US Equity","CF_EFFECT_FOREIGN_EXCHANGES","FQ2 2018","FQ2 2018","Currency=USD","Period=FQ","BEST_FPERIOD_OVERRIDE=FQ","FILING_STATUS=MR","SCALING_FORMAT=MLN","Sort=A","Dates=H","DateFormat=P","Fill=—","Direction=H","UseDPDF=Y")</f>
        <v>-1</v>
      </c>
      <c r="E53" s="17">
        <f>_xll.BDH("LUMN US Equity","CF_EFFECT_FOREIGN_EXCHANGES","FQ3 2018","FQ3 2018","Currency=USD","Period=FQ","BEST_FPERIOD_OVERRIDE=FQ","FILING_STATUS=MR","SCALING_FORMAT=MLN","Sort=A","Dates=H","DateFormat=P","Fill=—","Direction=H","UseDPDF=Y")</f>
        <v>0</v>
      </c>
      <c r="F53" s="17">
        <f>_xll.BDH("LUMN US Equity","CF_EFFECT_FOREIGN_EXCHANGES","FQ4 2018","FQ4 2018","Currency=USD","Period=FQ","BEST_FPERIOD_OVERRIDE=FQ","FILING_STATUS=MR","SCALING_FORMAT=MLN","Sort=A","Dates=H","DateFormat=P","Fill=—","Direction=H","UseDPDF=Y")</f>
        <v>1</v>
      </c>
      <c r="G53" s="17">
        <f>_xll.BDH("LUMN US Equity","CF_EFFECT_FOREIGN_EXCHANGES","FQ1 2019","FQ1 2019","Currency=USD","Period=FQ","BEST_FPERIOD_OVERRIDE=FQ","FILING_STATUS=MR","SCALING_FORMAT=MLN","Sort=A","Dates=H","DateFormat=P","Fill=—","Direction=H","UseDPDF=Y")</f>
        <v>0</v>
      </c>
      <c r="H53" s="17">
        <f>_xll.BDH("LUMN US Equity","CF_EFFECT_FOREIGN_EXCHANGES","FQ2 2019","FQ2 2019","Currency=USD","Period=FQ","BEST_FPERIOD_OVERRIDE=FQ","FILING_STATUS=MR","SCALING_FORMAT=MLN","Sort=A","Dates=H","DateFormat=P","Fill=—","Direction=H","UseDPDF=Y")</f>
        <v>0</v>
      </c>
      <c r="I53" s="17">
        <f>_xll.BDH("LUMN US Equity","CF_EFFECT_FOREIGN_EXCHANGES","FQ3 2019","FQ3 2019","Currency=USD","Period=FQ","BEST_FPERIOD_OVERRIDE=FQ","FILING_STATUS=MR","SCALING_FORMAT=MLN","Sort=A","Dates=H","DateFormat=P","Fill=—","Direction=H","UseDPDF=Y")</f>
        <v>0</v>
      </c>
      <c r="J53" s="17">
        <f>_xll.BDH("LUMN US Equity","CF_EFFECT_FOREIGN_EXCHANGES","FQ4 2019","FQ4 2019","Currency=USD","Period=FQ","BEST_FPERIOD_OVERRIDE=FQ","FILING_STATUS=MR","SCALING_FORMAT=MLN","Sort=A","Dates=H","DateFormat=P","Fill=—","Direction=H","UseDPDF=Y")</f>
        <v>0</v>
      </c>
      <c r="K53" s="17">
        <f>_xll.BDH("LUMN US Equity","CF_EFFECT_FOREIGN_EXCHANGES","FQ1 2020","FQ1 2020","Currency=USD","Period=FQ","BEST_FPERIOD_OVERRIDE=FQ","FILING_STATUS=MR","SCALING_FORMAT=MLN","Sort=A","Dates=H","DateFormat=P","Fill=—","Direction=H","UseDPDF=Y")</f>
        <v>0</v>
      </c>
      <c r="L53" s="17">
        <f>_xll.BDH("LUMN US Equity","CF_EFFECT_FOREIGN_EXCHANGES","FQ2 2020","FQ2 2020","Currency=USD","Period=FQ","BEST_FPERIOD_OVERRIDE=FQ","FILING_STATUS=MR","SCALING_FORMAT=MLN","Sort=A","Dates=H","DateFormat=P","Fill=—","Direction=H","UseDPDF=Y")</f>
        <v>0</v>
      </c>
    </row>
    <row r="54" spans="1:12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12" t="s">
        <v>362</v>
      </c>
      <c r="B55" s="12" t="s">
        <v>361</v>
      </c>
      <c r="C55" s="10">
        <f>_xll.BDH("LUMN US Equity","CF_NET_CHNG_CASH","FQ1 2018","FQ1 2018","Currency=USD","Period=FQ","BEST_FPERIOD_OVERRIDE=FQ","FILING_STATUS=MR","SCALING_FORMAT=MLN","Sort=A","Dates=H","DateFormat=P","Fill=—","Direction=H","UseDPDF=Y")</f>
        <v>-50</v>
      </c>
      <c r="D55" s="10">
        <f>_xll.BDH("LUMN US Equity","CF_NET_CHNG_CASH","FQ2 2018","FQ2 2018","Currency=USD","Period=FQ","BEST_FPERIOD_OVERRIDE=FQ","FILING_STATUS=MR","SCALING_FORMAT=MLN","Sort=A","Dates=H","DateFormat=P","Fill=—","Direction=H","UseDPDF=Y")</f>
        <v>195</v>
      </c>
      <c r="E55" s="10">
        <f>_xll.BDH("LUMN US Equity","CF_NET_CHNG_CASH","FQ3 2018","FQ3 2018","Currency=USD","Period=FQ","BEST_FPERIOD_OVERRIDE=FQ","FILING_STATUS=MR","SCALING_FORMAT=MLN","Sort=A","Dates=H","DateFormat=P","Fill=—","Direction=H","UseDPDF=Y")</f>
        <v>-312</v>
      </c>
      <c r="F55" s="10">
        <f>_xll.BDH("LUMN US Equity","CF_NET_CHNG_CASH","FQ4 2018","FQ4 2018","Currency=USD","Period=FQ","BEST_FPERIOD_OVERRIDE=FQ","FILING_STATUS=MR","SCALING_FORMAT=MLN","Sort=A","Dates=H","DateFormat=P","Fill=—","Direction=H","UseDPDF=Y")</f>
        <v>98</v>
      </c>
      <c r="G55" s="10">
        <f>_xll.BDH("LUMN US Equity","CF_NET_CHNG_CASH","FQ1 2019","FQ1 2019","Currency=USD","Period=FQ","BEST_FPERIOD_OVERRIDE=FQ","FILING_STATUS=MR","SCALING_FORMAT=MLN","Sort=A","Dates=H","DateFormat=P","Fill=—","Direction=H","UseDPDF=Y")</f>
        <v>-44</v>
      </c>
      <c r="H55" s="10">
        <f>_xll.BDH("LUMN US Equity","CF_NET_CHNG_CASH","FQ2 2019","FQ2 2019","Currency=USD","Period=FQ","BEST_FPERIOD_OVERRIDE=FQ","FILING_STATUS=MR","SCALING_FORMAT=MLN","Sort=A","Dates=H","DateFormat=P","Fill=—","Direction=H","UseDPDF=Y")</f>
        <v>-34</v>
      </c>
      <c r="I55" s="10">
        <f>_xll.BDH("LUMN US Equity","CF_NET_CHNG_CASH","FQ3 2019","FQ3 2019","Currency=USD","Period=FQ","BEST_FPERIOD_OVERRIDE=FQ","FILING_STATUS=MR","SCALING_FORMAT=MLN","Sort=A","Dates=H","DateFormat=P","Fill=—","Direction=H","UseDPDF=Y")</f>
        <v>991</v>
      </c>
      <c r="J55" s="10">
        <f>_xll.BDH("LUMN US Equity","CF_NET_CHNG_CASH","FQ4 2019","FQ4 2019","Currency=USD","Period=FQ","BEST_FPERIOD_OVERRIDE=FQ","FILING_STATUS=MR","SCALING_FORMAT=MLN","Sort=A","Dates=H","DateFormat=P","Fill=—","Direction=H","UseDPDF=Y")</f>
        <v>286</v>
      </c>
      <c r="K55" s="10">
        <f>_xll.BDH("LUMN US Equity","CF_NET_CHNG_CASH","FQ1 2020","FQ1 2020","Currency=USD","Period=FQ","BEST_FPERIOD_OVERRIDE=FQ","FILING_STATUS=MR","SCALING_FORMAT=MLN","Sort=A","Dates=H","DateFormat=P","Fill=—","Direction=H","UseDPDF=Y")</f>
        <v>-126</v>
      </c>
      <c r="L55" s="10">
        <f>_xll.BDH("LUMN US Equity","CF_NET_CHNG_CASH","FQ2 2020","FQ2 2020","Currency=USD","Period=FQ","BEST_FPERIOD_OVERRIDE=FQ","FILING_STATUS=MR","SCALING_FORMAT=MLN","Sort=A","Dates=H","DateFormat=P","Fill=—","Direction=H","UseDPDF=Y")</f>
        <v>193</v>
      </c>
    </row>
    <row r="56" spans="1:12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12" t="s">
        <v>360</v>
      </c>
      <c r="B57" s="12" t="s">
        <v>359</v>
      </c>
      <c r="C57" s="10">
        <f>_xll.BDH("LUMN US Equity","CF_CASH_PAID_FOR_TAX","FQ1 2018","FQ1 2018","Currency=USD","Period=FQ","BEST_FPERIOD_OVERRIDE=FQ","FILING_STATUS=MR","SCALING_FORMAT=MLN","Sort=A","Dates=H","DateFormat=P","Fill=—","Direction=H","UseDPDF=Y")</f>
        <v>-2</v>
      </c>
      <c r="D57" s="10">
        <f>_xll.BDH("LUMN US Equity","CF_CASH_PAID_FOR_TAX","FQ2 2018","FQ2 2018","Currency=USD","Period=FQ","BEST_FPERIOD_OVERRIDE=FQ","FILING_STATUS=MR","SCALING_FORMAT=MLN","Sort=A","Dates=H","DateFormat=P","Fill=—","Direction=H","UseDPDF=Y")</f>
        <v>1</v>
      </c>
      <c r="E57" s="10">
        <f>_xll.BDH("LUMN US Equity","CF_CASH_PAID_FOR_TAX","FQ3 2018","FQ3 2018","Currency=USD","Period=FQ","BEST_FPERIOD_OVERRIDE=FQ","FILING_STATUS=MR","SCALING_FORMAT=MLN","Sort=A","Dates=H","DateFormat=P","Fill=—","Direction=H","UseDPDF=Y")</f>
        <v>382</v>
      </c>
      <c r="F57" s="10">
        <f>_xll.BDH("LUMN US Equity","CF_CASH_PAID_FOR_TAX","FQ4 2018","FQ4 2018","Currency=USD","Period=FQ","BEST_FPERIOD_OVERRIDE=FQ","FILING_STATUS=MR","SCALING_FORMAT=MLN","Sort=A","Dates=H","DateFormat=P","Fill=—","Direction=H","UseDPDF=Y")</f>
        <v>293</v>
      </c>
      <c r="G57" s="10">
        <f>_xll.BDH("LUMN US Equity","CF_CASH_PAID_FOR_TAX","FQ1 2019","FQ1 2019","Currency=USD","Period=FQ","BEST_FPERIOD_OVERRIDE=FQ","FILING_STATUS=MR","SCALING_FORMAT=MLN","Sort=A","Dates=H","DateFormat=P","Fill=—","Direction=H","UseDPDF=Y")</f>
        <v>-7</v>
      </c>
      <c r="H57" s="10">
        <f>_xll.BDH("LUMN US Equity","CF_CASH_PAID_FOR_TAX","FQ2 2019","FQ2 2019","Currency=USD","Period=FQ","BEST_FPERIOD_OVERRIDE=FQ","FILING_STATUS=MR","SCALING_FORMAT=MLN","Sort=A","Dates=H","DateFormat=P","Fill=—","Direction=H","UseDPDF=Y")</f>
        <v>-15</v>
      </c>
      <c r="I57" s="10">
        <f>_xll.BDH("LUMN US Equity","CF_CASH_PAID_FOR_TAX","FQ3 2019","FQ3 2019","Currency=USD","Period=FQ","BEST_FPERIOD_OVERRIDE=FQ","FILING_STATUS=MR","SCALING_FORMAT=MLN","Sort=A","Dates=H","DateFormat=P","Fill=—","Direction=H","UseDPDF=Y")</f>
        <v>76</v>
      </c>
      <c r="J57" s="10">
        <f>_xll.BDH("LUMN US Equity","CF_CASH_PAID_FOR_TAX","FQ4 2019","FQ4 2019","Currency=USD","Period=FQ","BEST_FPERIOD_OVERRIDE=FQ","FILING_STATUS=MR","SCALING_FORMAT=MLN","Sort=A","Dates=H","DateFormat=P","Fill=—","Direction=H","UseDPDF=Y")</f>
        <v>-20</v>
      </c>
      <c r="K57" s="10">
        <f>_xll.BDH("LUMN US Equity","CF_CASH_PAID_FOR_TAX","FQ1 2020","FQ1 2020","Currency=USD","Period=FQ","BEST_FPERIOD_OVERRIDE=FQ","FILING_STATUS=MR","SCALING_FORMAT=MLN","Sort=A","Dates=H","DateFormat=P","Fill=—","Direction=H","UseDPDF=Y")</f>
        <v>-6</v>
      </c>
      <c r="L57" s="10">
        <f>_xll.BDH("LUMN US Equity","CF_CASH_PAID_FOR_TAX","FQ2 2020","FQ2 2020","Currency=USD","Period=FQ","BEST_FPERIOD_OVERRIDE=FQ","FILING_STATUS=MR","SCALING_FORMAT=MLN","Sort=A","Dates=H","DateFormat=P","Fill=—","Direction=H","UseDPDF=Y")</f>
        <v>-14</v>
      </c>
    </row>
    <row r="58" spans="1:12" x14ac:dyDescent="0.25">
      <c r="A58" s="12" t="s">
        <v>358</v>
      </c>
      <c r="B58" s="12" t="s">
        <v>357</v>
      </c>
      <c r="C58" s="10">
        <f>_xll.BDH("LUMN US Equity","CF_ACT_CASH_PAID_FOR_INT_DEBT","FQ1 2018","FQ1 2018","Currency=USD","Period=FQ","BEST_FPERIOD_OVERRIDE=FQ","FILING_STATUS=MR","SCALING_FORMAT=MLN","Sort=A","Dates=H","DateFormat=P","Fill=—","Direction=H","UseDPDF=Y")</f>
        <v>491</v>
      </c>
      <c r="D58" s="10">
        <f>_xll.BDH("LUMN US Equity","CF_ACT_CASH_PAID_FOR_INT_DEBT","FQ2 2018","FQ2 2018","Currency=USD","Period=FQ","BEST_FPERIOD_OVERRIDE=FQ","FILING_STATUS=MR","SCALING_FORMAT=MLN","Sort=A","Dates=H","DateFormat=P","Fill=—","Direction=H","UseDPDF=Y")</f>
        <v>315</v>
      </c>
      <c r="E58" s="10">
        <f>_xll.BDH("LUMN US Equity","CF_ACT_CASH_PAID_FOR_INT_DEBT","FQ3 2018","FQ3 2018","Currency=USD","Period=FQ","BEST_FPERIOD_OVERRIDE=FQ","FILING_STATUS=MR","SCALING_FORMAT=MLN","Sort=A","Dates=H","DateFormat=P","Fill=—","Direction=H","UseDPDF=Y")</f>
        <v>1001</v>
      </c>
      <c r="F58" s="10">
        <f>_xll.BDH("LUMN US Equity","CF_ACT_CASH_PAID_FOR_INT_DEBT","FQ4 2018","FQ4 2018","Currency=USD","Period=FQ","BEST_FPERIOD_OVERRIDE=FQ","FILING_STATUS=MR","SCALING_FORMAT=MLN","Sort=A","Dates=H","DateFormat=P","Fill=—","Direction=H","UseDPDF=Y")</f>
        <v>331</v>
      </c>
      <c r="G58" s="10">
        <f>_xll.BDH("LUMN US Equity","CF_ACT_CASH_PAID_FOR_INT_DEBT","FQ1 2019","FQ1 2019","Currency=USD","Period=FQ","BEST_FPERIOD_OVERRIDE=FQ","FILING_STATUS=MR","SCALING_FORMAT=MLN","Sort=A","Dates=H","DateFormat=P","Fill=—","Direction=H","UseDPDF=Y")</f>
        <v>480</v>
      </c>
      <c r="H58" s="10">
        <f>_xll.BDH("LUMN US Equity","CF_ACT_CASH_PAID_FOR_INT_DEBT","FQ2 2019","FQ2 2019","Currency=USD","Period=FQ","BEST_FPERIOD_OVERRIDE=FQ","FILING_STATUS=MR","SCALING_FORMAT=MLN","Sort=A","Dates=H","DateFormat=P","Fill=—","Direction=H","UseDPDF=Y")</f>
        <v>570</v>
      </c>
      <c r="I58" s="10">
        <f>_xll.BDH("LUMN US Equity","CF_ACT_CASH_PAID_FOR_INT_DEBT","FQ3 2019","FQ3 2019","Currency=USD","Period=FQ","BEST_FPERIOD_OVERRIDE=FQ","FILING_STATUS=MR","SCALING_FORMAT=MLN","Sort=A","Dates=H","DateFormat=P","Fill=—","Direction=H","UseDPDF=Y")</f>
        <v>936</v>
      </c>
      <c r="J58" s="10">
        <f>_xll.BDH("LUMN US Equity","CF_ACT_CASH_PAID_FOR_INT_DEBT","FQ4 2019","FQ4 2019","Currency=USD","Period=FQ","BEST_FPERIOD_OVERRIDE=FQ","FILING_STATUS=MR","SCALING_FORMAT=MLN","Sort=A","Dates=H","DateFormat=P","Fill=—","Direction=H","UseDPDF=Y")</f>
        <v>522</v>
      </c>
      <c r="K58" s="10">
        <f>_xll.BDH("LUMN US Equity","CF_ACT_CASH_PAID_FOR_INT_DEBT","FQ1 2020","FQ1 2020","Currency=USD","Period=FQ","BEST_FPERIOD_OVERRIDE=FQ","FILING_STATUS=MR","SCALING_FORMAT=MLN","Sort=A","Dates=H","DateFormat=P","Fill=—","Direction=H","UseDPDF=Y")</f>
        <v>383</v>
      </c>
      <c r="L58" s="10">
        <f>_xll.BDH("LUMN US Equity","CF_ACT_CASH_PAID_FOR_INT_DEBT","FQ2 2020","FQ2 2020","Currency=USD","Period=FQ","BEST_FPERIOD_OVERRIDE=FQ","FILING_STATUS=MR","SCALING_FORMAT=MLN","Sort=A","Dates=H","DateFormat=P","Fill=—","Direction=H","UseDPDF=Y")</f>
        <v>445</v>
      </c>
    </row>
    <row r="59" spans="1:12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12" t="s">
        <v>2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x14ac:dyDescent="0.25">
      <c r="A61" s="16" t="s">
        <v>45</v>
      </c>
      <c r="B61" s="16" t="s">
        <v>45</v>
      </c>
      <c r="C61" s="17">
        <f>_xll.BDH("LUMN US Equity","EBITDA","FQ1 2018","FQ1 2018","Currency=USD","Period=FQ","BEST_FPERIOD_OVERRIDE=FQ","FILING_STATUS=MR","SCALING_FORMAT=MLN","FA_ADJUSTED=GAAP","Sort=A","Dates=H","DateFormat=P","Fill=—","Direction=H","UseDPDF=Y")</f>
        <v>2033</v>
      </c>
      <c r="D61" s="17">
        <f>_xll.BDH("LUMN US Equity","EBITDA","FQ2 2018","FQ2 2018","Currency=USD","Period=FQ","BEST_FPERIOD_OVERRIDE=FQ","FILING_STATUS=MR","SCALING_FORMAT=MLN","FA_ADJUSTED=GAAP","Sort=A","Dates=H","DateFormat=P","Fill=—","Direction=H","UseDPDF=Y")</f>
        <v>2057</v>
      </c>
      <c r="E61" s="17">
        <f>_xll.BDH("LUMN US Equity","EBITDA","FQ3 2018","FQ3 2018","Currency=USD","Period=FQ","BEST_FPERIOD_OVERRIDE=FQ","FILING_STATUS=MR","SCALING_FORMAT=MLN","FA_ADJUSTED=GAAP","Sort=A","Dates=H","DateFormat=P","Fill=—","Direction=H","UseDPDF=Y")</f>
        <v>2179</v>
      </c>
      <c r="F61" s="17">
        <f>_xll.BDH("LUMN US Equity","EBITDA","FQ4 2018","FQ4 2018","Currency=USD","Period=FQ","BEST_FPERIOD_OVERRIDE=FQ","FILING_STATUS=MR","SCALING_FORMAT=MLN","FA_ADJUSTED=GAAP","Sort=A","Dates=H","DateFormat=P","Fill=—","Direction=H","UseDPDF=Y")</f>
        <v>-579</v>
      </c>
      <c r="G61" s="17">
        <f>_xll.BDH("LUMN US Equity","EBITDA","FQ1 2019","FQ1 2019","Currency=USD","Period=FQ","BEST_FPERIOD_OVERRIDE=FQ","FILING_STATUS=MR","SCALING_FORMAT=MLN","FA_ADJUSTED=GAAP","Sort=A","Dates=H","DateFormat=P","Fill=—","Direction=H","UseDPDF=Y")</f>
        <v>-4311</v>
      </c>
      <c r="H61" s="17">
        <f>_xll.BDH("LUMN US Equity","EBITDA","FQ2 2019","FQ2 2019","Currency=USD","Period=FQ","BEST_FPERIOD_OVERRIDE=FQ","FILING_STATUS=MR","SCALING_FORMAT=MLN","FA_ADJUSTED=GAAP","Sort=A","Dates=H","DateFormat=P","Fill=—","Direction=H","UseDPDF=Y")</f>
        <v>2338</v>
      </c>
      <c r="I61" s="17">
        <f>_xll.BDH("LUMN US Equity","EBITDA","FQ3 2019","FQ3 2019","Currency=USD","Period=FQ","BEST_FPERIOD_OVERRIDE=FQ","FILING_STATUS=MR","SCALING_FORMAT=MLN","FA_ADJUSTED=GAAP","Sort=A","Dates=H","DateFormat=P","Fill=—","Direction=H","UseDPDF=Y")</f>
        <v>2342</v>
      </c>
      <c r="J61" s="17">
        <f>_xll.BDH("LUMN US Equity","EBITDA","FQ4 2019","FQ4 2019","Currency=USD","Period=FQ","BEST_FPERIOD_OVERRIDE=FQ","FILING_STATUS=MR","SCALING_FORMAT=MLN","FA_ADJUSTED=GAAP","Sort=A","Dates=H","DateFormat=P","Fill=—","Direction=H","UseDPDF=Y")</f>
        <v>2218</v>
      </c>
      <c r="K61" s="17">
        <f>_xll.BDH("LUMN US Equity","EBITDA","FQ1 2020","FQ1 2020","Currency=USD","Period=FQ","BEST_FPERIOD_OVERRIDE=FQ","FILING_STATUS=MR","SCALING_FORMAT=MLN","FA_ADJUSTED=GAAP","Sort=A","Dates=H","DateFormat=P","Fill=—","Direction=H","UseDPDF=Y")</f>
        <v>2140</v>
      </c>
      <c r="L61" s="17">
        <f>_xll.BDH("LUMN US Equity","EBITDA","FQ2 2020","FQ2 2020","Currency=USD","Period=FQ","BEST_FPERIOD_OVERRIDE=FQ","FILING_STATUS=MR","SCALING_FORMAT=MLN","FA_ADJUSTED=GAAP","Sort=A","Dates=H","DateFormat=P","Fill=—","Direction=H","UseDPDF=Y")</f>
        <v>2065</v>
      </c>
    </row>
    <row r="62" spans="1:12" x14ac:dyDescent="0.25">
      <c r="A62" s="16" t="s">
        <v>356</v>
      </c>
      <c r="B62" s="16" t="s">
        <v>77</v>
      </c>
      <c r="C62" s="15">
        <f>_xll.BDH("LUMN US Equity","EBITDA_MARGIN","FQ1 2018","FQ1 2018","Currency=USD","Period=FQ","BEST_FPERIOD_OVERRIDE=FQ","FILING_STATUS=MR","FA_ADJUSTED=GAAP","Sort=A","Dates=H","DateFormat=P","Fill=—","Direction=H","UseDPDF=Y")</f>
        <v>33.348799999999997</v>
      </c>
      <c r="D62" s="15">
        <f>_xll.BDH("LUMN US Equity","EBITDA_MARGIN","FQ2 2018","FQ2 2018","Currency=USD","Period=FQ","BEST_FPERIOD_OVERRIDE=FQ","FILING_STATUS=MR","FA_ADJUSTED=GAAP","Sort=A","Dates=H","DateFormat=P","Fill=—","Direction=H","UseDPDF=Y")</f>
        <v>33.993600000000001</v>
      </c>
      <c r="E62" s="15">
        <f>_xll.BDH("LUMN US Equity","EBITDA_MARGIN","FQ3 2018","FQ3 2018","Currency=USD","Period=FQ","BEST_FPERIOD_OVERRIDE=FQ","FILING_STATUS=MR","FA_ADJUSTED=GAAP","Sort=A","Dates=H","DateFormat=P","Fill=—","Direction=H","UseDPDF=Y")</f>
        <v>34.757300000000001</v>
      </c>
      <c r="F62" s="15">
        <f>_xll.BDH("LUMN US Equity","EBITDA_MARGIN","FQ4 2018","FQ4 2018","Currency=USD","Period=FQ","BEST_FPERIOD_OVERRIDE=FQ","FILING_STATUS=MR","FA_ADJUSTED=GAAP","Sort=A","Dates=H","DateFormat=P","Fill=—","Direction=H","UseDPDF=Y")</f>
        <v>24.271599999999999</v>
      </c>
      <c r="G62" s="15">
        <f>_xll.BDH("LUMN US Equity","EBITDA_MARGIN","FQ1 2019","FQ1 2019","Currency=USD","Period=FQ","BEST_FPERIOD_OVERRIDE=FQ","FILING_STATUS=MR","FA_ADJUSTED=GAAP","Sort=A","Dates=H","DateFormat=P","Fill=—","Direction=H","UseDPDF=Y")</f>
        <v>-2.8528000000000002</v>
      </c>
      <c r="H62" s="15">
        <f>_xll.BDH("LUMN US Equity","EBITDA_MARGIN","FQ2 2019","FQ2 2019","Currency=USD","Period=FQ","BEST_FPERIOD_OVERRIDE=FQ","FILING_STATUS=MR","FA_ADJUSTED=GAAP","Sort=A","Dates=H","DateFormat=P","Fill=—","Direction=H","UseDPDF=Y")</f>
        <v>-1.6653</v>
      </c>
      <c r="I62" s="15">
        <f>_xll.BDH("LUMN US Equity","EBITDA_MARGIN","FQ3 2019","FQ3 2019","Currency=USD","Period=FQ","BEST_FPERIOD_OVERRIDE=FQ","FILING_STATUS=MR","FA_ADJUSTED=GAAP","Sort=A","Dates=H","DateFormat=P","Fill=—","Direction=H","UseDPDF=Y")</f>
        <v>-0.94650000000000001</v>
      </c>
      <c r="J62" s="15">
        <f>_xll.BDH("LUMN US Equity","EBITDA_MARGIN","FQ4 2019","FQ4 2019","Currency=USD","Period=FQ","BEST_FPERIOD_OVERRIDE=FQ","FILING_STATUS=MR","FA_ADJUSTED=GAAP","Sort=A","Dates=H","DateFormat=P","Fill=—","Direction=H","UseDPDF=Y")</f>
        <v>11.770899999999999</v>
      </c>
      <c r="K62" s="15">
        <f>_xll.BDH("LUMN US Equity","EBITDA_MARGIN","FQ1 2020","FQ1 2020","Currency=USD","Period=FQ","BEST_FPERIOD_OVERRIDE=FQ","FILING_STATUS=MR","FA_ADJUSTED=GAAP","Sort=A","Dates=H","DateFormat=P","Fill=—","Direction=H","UseDPDF=Y")</f>
        <v>41.498699999999999</v>
      </c>
      <c r="L62" s="15">
        <f>_xll.BDH("LUMN US Equity","EBITDA_MARGIN","FQ2 2020","FQ2 2020","Currency=USD","Period=FQ","BEST_FPERIOD_OVERRIDE=FQ","FILING_STATUS=MR","FA_ADJUSTED=GAAP","Sort=A","Dates=H","DateFormat=P","Fill=—","Direction=H","UseDPDF=Y")</f>
        <v>40.586199999999998</v>
      </c>
    </row>
    <row r="63" spans="1:12" x14ac:dyDescent="0.25">
      <c r="A63" s="16" t="s">
        <v>355</v>
      </c>
      <c r="B63" s="16" t="s">
        <v>354</v>
      </c>
      <c r="C63" s="17" t="str">
        <f>_xll.BDH("LUMN US Equity","CF_NET_CASH_PAID_FOR_AQUIS","FQ1 2018","FQ1 2018","Currency=USD","Period=FQ","BEST_FPERIOD_OVERRIDE=FQ","FILING_STATUS=MR","SCALING_FORMAT=MLN","Sort=A","Dates=H","DateFormat=P","Fill=—","Direction=H","UseDPDF=Y")</f>
        <v>—</v>
      </c>
      <c r="D63" s="17" t="str">
        <f>_xll.BDH("LUMN US Equity","CF_NET_CASH_PAID_FOR_AQUIS","FQ2 2018","FQ2 2018","Currency=USD","Period=FQ","BEST_FPERIOD_OVERRIDE=FQ","FILING_STATUS=MR","SCALING_FORMAT=MLN","Sort=A","Dates=H","DateFormat=P","Fill=—","Direction=H","UseDPDF=Y")</f>
        <v>—</v>
      </c>
      <c r="E63" s="17">
        <f>_xll.BDH("LUMN US Equity","CF_NET_CASH_PAID_FOR_AQUIS","FQ3 2018","FQ3 2018","Currency=USD","Period=FQ","BEST_FPERIOD_OVERRIDE=FQ","FILING_STATUS=MR","SCALING_FORMAT=MLN","Sort=A","Dates=H","DateFormat=P","Fill=—","Direction=H","UseDPDF=Y")</f>
        <v>0</v>
      </c>
      <c r="F63" s="17">
        <f>_xll.BDH("LUMN US Equity","CF_NET_CASH_PAID_FOR_AQUIS","FQ4 2018","FQ4 2018","Currency=USD","Period=FQ","BEST_FPERIOD_OVERRIDE=FQ","FILING_STATUS=MR","SCALING_FORMAT=MLN","Sort=A","Dates=H","DateFormat=P","Fill=—","Direction=H","UseDPDF=Y")</f>
        <v>0</v>
      </c>
      <c r="G63" s="17" t="str">
        <f>_xll.BDH("LUMN US Equity","CF_NET_CASH_PAID_FOR_AQUIS","FQ1 2019","FQ1 2019","Currency=USD","Period=FQ","BEST_FPERIOD_OVERRIDE=FQ","FILING_STATUS=MR","SCALING_FORMAT=MLN","Sort=A","Dates=H","DateFormat=P","Fill=—","Direction=H","UseDPDF=Y")</f>
        <v>—</v>
      </c>
      <c r="H63" s="17" t="str">
        <f>_xll.BDH("LUMN US Equity","CF_NET_CASH_PAID_FOR_AQUIS","FQ2 2019","FQ2 2019","Currency=USD","Period=FQ","BEST_FPERIOD_OVERRIDE=FQ","FILING_STATUS=MR","SCALING_FORMAT=MLN","Sort=A","Dates=H","DateFormat=P","Fill=—","Direction=H","UseDPDF=Y")</f>
        <v>—</v>
      </c>
      <c r="I63" s="17">
        <f>_xll.BDH("LUMN US Equity","CF_NET_CASH_PAID_FOR_AQUIS","FQ3 2019","FQ3 2019","Currency=USD","Period=FQ","BEST_FPERIOD_OVERRIDE=FQ","FILING_STATUS=MR","SCALING_FORMAT=MLN","Sort=A","Dates=H","DateFormat=P","Fill=—","Direction=H","UseDPDF=Y")</f>
        <v>25</v>
      </c>
      <c r="J63" s="17">
        <f>_xll.BDH("LUMN US Equity","CF_NET_CASH_PAID_FOR_AQUIS","FQ4 2019","FQ4 2019","Currency=USD","Period=FQ","BEST_FPERIOD_OVERRIDE=FQ","FILING_STATUS=MR","SCALING_FORMAT=MLN","Sort=A","Dates=H","DateFormat=P","Fill=—","Direction=H","UseDPDF=Y")</f>
        <v>-25</v>
      </c>
      <c r="K63" s="17" t="str">
        <f>_xll.BDH("LUMN US Equity","CF_NET_CASH_PAID_FOR_AQUIS","FQ1 2020","FQ1 2020","Currency=USD","Period=FQ","BEST_FPERIOD_OVERRIDE=FQ","FILING_STATUS=MR","SCALING_FORMAT=MLN","Sort=A","Dates=H","DateFormat=P","Fill=—","Direction=H","UseDPDF=Y")</f>
        <v>—</v>
      </c>
      <c r="L63" s="17" t="str">
        <f>_xll.BDH("LUMN US Equity","CF_NET_CASH_PAID_FOR_AQUIS","FQ2 2020","FQ2 2020","Currency=USD","Period=FQ","BEST_FPERIOD_OVERRIDE=FQ","FILING_STATUS=MR","SCALING_FORMAT=MLN","Sort=A","Dates=H","DateFormat=P","Fill=—","Direction=H","UseDPDF=Y")</f>
        <v>—</v>
      </c>
    </row>
    <row r="64" spans="1:12" x14ac:dyDescent="0.25">
      <c r="A64" s="16" t="s">
        <v>54</v>
      </c>
      <c r="B64" s="16" t="s">
        <v>55</v>
      </c>
      <c r="C64" s="17">
        <f>_xll.BDH("LUMN US Equity","CF_FREE_CASH_FLOW","FQ1 2018","FQ1 2018","Currency=USD","Period=FQ","BEST_FPERIOD_OVERRIDE=FQ","FILING_STATUS=MR","SCALING_FORMAT=MLN","Sort=A","Dates=H","DateFormat=P","Fill=—","Direction=H","UseDPDF=Y")</f>
        <v>862</v>
      </c>
      <c r="D64" s="17">
        <f>_xll.BDH("LUMN US Equity","CF_FREE_CASH_FLOW","FQ2 2018","FQ2 2018","Currency=USD","Period=FQ","BEST_FPERIOD_OVERRIDE=FQ","FILING_STATUS=MR","SCALING_FORMAT=MLN","Sort=A","Dates=H","DateFormat=P","Fill=—","Direction=H","UseDPDF=Y")</f>
        <v>811</v>
      </c>
      <c r="E64" s="17">
        <f>_xll.BDH("LUMN US Equity","CF_FREE_CASH_FLOW","FQ3 2018","FQ3 2018","Currency=USD","Period=FQ","BEST_FPERIOD_OVERRIDE=FQ","FILING_STATUS=MR","SCALING_FORMAT=MLN","Sort=A","Dates=H","DateFormat=P","Fill=—","Direction=H","UseDPDF=Y")</f>
        <v>1103</v>
      </c>
      <c r="F64" s="17">
        <f>_xll.BDH("LUMN US Equity","CF_FREE_CASH_FLOW","FQ4 2018","FQ4 2018","Currency=USD","Period=FQ","BEST_FPERIOD_OVERRIDE=FQ","FILING_STATUS=MR","SCALING_FORMAT=MLN","Sort=A","Dates=H","DateFormat=P","Fill=—","Direction=H","UseDPDF=Y")</f>
        <v>1081</v>
      </c>
      <c r="G64" s="17">
        <f>_xll.BDH("LUMN US Equity","CF_FREE_CASH_FLOW","FQ1 2019","FQ1 2019","Currency=USD","Period=FQ","BEST_FPERIOD_OVERRIDE=FQ","FILING_STATUS=MR","SCALING_FORMAT=MLN","Sort=A","Dates=H","DateFormat=P","Fill=—","Direction=H","UseDPDF=Y")</f>
        <v>251</v>
      </c>
      <c r="H64" s="17">
        <f>_xll.BDH("LUMN US Equity","CF_FREE_CASH_FLOW","FQ2 2019","FQ2 2019","Currency=USD","Period=FQ","BEST_FPERIOD_OVERRIDE=FQ","FILING_STATUS=MR","SCALING_FORMAT=MLN","Sort=A","Dates=H","DateFormat=P","Fill=—","Direction=H","UseDPDF=Y")</f>
        <v>901</v>
      </c>
      <c r="I64" s="17">
        <f>_xll.BDH("LUMN US Equity","CF_FREE_CASH_FLOW","FQ3 2019","FQ3 2019","Currency=USD","Period=FQ","BEST_FPERIOD_OVERRIDE=FQ","FILING_STATUS=MR","SCALING_FORMAT=MLN","Sort=A","Dates=H","DateFormat=P","Fill=—","Direction=H","UseDPDF=Y")</f>
        <v>931</v>
      </c>
      <c r="J64" s="17">
        <f>_xll.BDH("LUMN US Equity","CF_FREE_CASH_FLOW","FQ4 2019","FQ4 2019","Currency=USD","Period=FQ","BEST_FPERIOD_OVERRIDE=FQ","FILING_STATUS=MR","SCALING_FORMAT=MLN","Sort=A","Dates=H","DateFormat=P","Fill=—","Direction=H","UseDPDF=Y")</f>
        <v>969</v>
      </c>
      <c r="K64" s="17">
        <f>_xll.BDH("LUMN US Equity","CF_FREE_CASH_FLOW","FQ1 2020","FQ1 2020","Currency=USD","Period=FQ","BEST_FPERIOD_OVERRIDE=FQ","FILING_STATUS=MR","SCALING_FORMAT=MLN","Sort=A","Dates=H","DateFormat=P","Fill=—","Direction=H","UseDPDF=Y")</f>
        <v>325</v>
      </c>
      <c r="L64" s="17">
        <f>_xll.BDH("LUMN US Equity","CF_FREE_CASH_FLOW","FQ2 2020","FQ2 2020","Currency=USD","Period=FQ","BEST_FPERIOD_OVERRIDE=FQ","FILING_STATUS=MR","SCALING_FORMAT=MLN","Sort=A","Dates=H","DateFormat=P","Fill=—","Direction=H","UseDPDF=Y")</f>
        <v>740</v>
      </c>
    </row>
    <row r="65" spans="1:12" x14ac:dyDescent="0.25">
      <c r="A65" s="16" t="s">
        <v>353</v>
      </c>
      <c r="B65" s="16" t="s">
        <v>352</v>
      </c>
      <c r="C65" s="17">
        <f>_xll.BDH("LUMN US Equity","CF_FREE_CASH_FLOW_FIRM","FQ1 2018","FQ1 2018","Currency=USD","Period=FQ","BEST_FPERIOD_OVERRIDE=FQ","FILING_STATUS=MR","SCALING_FORMAT=MLN","FA_ADJUSTED=GAAP","Sort=A","Dates=H","DateFormat=P","Fill=—","Direction=H","UseDPDF=Y")</f>
        <v>1122.6992</v>
      </c>
      <c r="D65" s="17" t="str">
        <f>_xll.BDH("LUMN US Equity","CF_FREE_CASH_FLOW_FIRM","FQ2 2018","FQ2 2018","Currency=USD","Period=FQ","BEST_FPERIOD_OVERRIDE=FQ","FILING_STATUS=MR","SCALING_FORMAT=MLN","FA_ADJUSTED=GAAP","Sort=A","Dates=H","DateFormat=P","Fill=—","Direction=H","UseDPDF=Y")</f>
        <v>—</v>
      </c>
      <c r="E65" s="17">
        <f>_xll.BDH("LUMN US Equity","CF_FREE_CASH_FLOW_FIRM","FQ3 2018","FQ3 2018","Currency=USD","Period=FQ","BEST_FPERIOD_OVERRIDE=FQ","FILING_STATUS=MR","SCALING_FORMAT=MLN","FA_ADJUSTED=GAAP","Sort=A","Dates=H","DateFormat=P","Fill=—","Direction=H","UseDPDF=Y")</f>
        <v>1563.4984999999999</v>
      </c>
      <c r="F65" s="17" t="str">
        <f>_xll.BDH("LUMN US Equity","CF_FREE_CASH_FLOW_FIRM","FQ4 2018","FQ4 2018","Currency=USD","Period=FQ","BEST_FPERIOD_OVERRIDE=FQ","FILING_STATUS=MR","SCALING_FORMAT=MLN","FA_ADJUSTED=GAAP","Sort=A","Dates=H","DateFormat=P","Fill=—","Direction=H","UseDPDF=Y")</f>
        <v>—</v>
      </c>
      <c r="G65" s="17" t="str">
        <f>_xll.BDH("LUMN US Equity","CF_FREE_CASH_FLOW_FIRM","FQ1 2019","FQ1 2019","Currency=USD","Period=FQ","BEST_FPERIOD_OVERRIDE=FQ","FILING_STATUS=MR","SCALING_FORMAT=MLN","FA_ADJUSTED=GAAP","Sort=A","Dates=H","DateFormat=P","Fill=—","Direction=H","UseDPDF=Y")</f>
        <v>—</v>
      </c>
      <c r="H65" s="17">
        <f>_xll.BDH("LUMN US Equity","CF_FREE_CASH_FLOW_FIRM","FQ2 2019","FQ2 2019","Currency=USD","Period=FQ","BEST_FPERIOD_OVERRIDE=FQ","FILING_STATUS=MR","SCALING_FORMAT=MLN","FA_ADJUSTED=GAAP","Sort=A","Dates=H","DateFormat=P","Fill=—","Direction=H","UseDPDF=Y")</f>
        <v>1283.8246999999999</v>
      </c>
      <c r="I65" s="17">
        <f>_xll.BDH("LUMN US Equity","CF_FREE_CASH_FLOW_FIRM","FQ3 2019","FQ3 2019","Currency=USD","Period=FQ","BEST_FPERIOD_OVERRIDE=FQ","FILING_STATUS=MR","SCALING_FORMAT=MLN","FA_ADJUSTED=GAAP","Sort=A","Dates=H","DateFormat=P","Fill=—","Direction=H","UseDPDF=Y")</f>
        <v>1296.3462999999999</v>
      </c>
      <c r="J65" s="17">
        <f>_xll.BDH("LUMN US Equity","CF_FREE_CASH_FLOW_FIRM","FQ4 2019","FQ4 2019","Currency=USD","Period=FQ","BEST_FPERIOD_OVERRIDE=FQ","FILING_STATUS=MR","SCALING_FORMAT=MLN","FA_ADJUSTED=GAAP","Sort=A","Dates=H","DateFormat=P","Fill=—","Direction=H","UseDPDF=Y")</f>
        <v>1278.2607</v>
      </c>
      <c r="K65" s="17">
        <f>_xll.BDH("LUMN US Equity","CF_FREE_CASH_FLOW_FIRM","FQ1 2020","FQ1 2020","Currency=USD","Period=FQ","BEST_FPERIOD_OVERRIDE=FQ","FILING_STATUS=MR","SCALING_FORMAT=MLN","FA_ADJUSTED=GAAP","Sort=A","Dates=H","DateFormat=P","Fill=—","Direction=H","UseDPDF=Y")</f>
        <v>650.6028</v>
      </c>
      <c r="L65" s="17">
        <f>_xll.BDH("LUMN US Equity","CF_FREE_CASH_FLOW_FIRM","FQ2 2020","FQ2 2020","Currency=USD","Period=FQ","BEST_FPERIOD_OVERRIDE=FQ","FILING_STATUS=MR","SCALING_FORMAT=MLN","FA_ADJUSTED=GAAP","Sort=A","Dates=H","DateFormat=P","Fill=—","Direction=H","UseDPDF=Y")</f>
        <v>1044.2456</v>
      </c>
    </row>
    <row r="66" spans="1:12" x14ac:dyDescent="0.25">
      <c r="A66" s="16" t="s">
        <v>351</v>
      </c>
      <c r="B66" s="16" t="s">
        <v>350</v>
      </c>
      <c r="C66" s="17">
        <f>_xll.BDH("LUMN US Equity","FREE_CASH_FLOW_EQUITY","FQ1 2018","FQ1 2018","Currency=USD","Period=FQ","BEST_FPERIOD_OVERRIDE=FQ","FILING_STATUS=MR","SCALING_FORMAT=MLN","Sort=A","Dates=H","DateFormat=P","Fill=—","Direction=H","UseDPDF=Y")</f>
        <v>522</v>
      </c>
      <c r="D66" s="17">
        <f>_xll.BDH("LUMN US Equity","FREE_CASH_FLOW_EQUITY","FQ2 2018","FQ2 2018","Currency=USD","Period=FQ","BEST_FPERIOD_OVERRIDE=FQ","FILING_STATUS=MR","SCALING_FORMAT=MLN","Sort=A","Dates=H","DateFormat=P","Fill=—","Direction=H","UseDPDF=Y")</f>
        <v>878</v>
      </c>
      <c r="E66" s="17">
        <f>_xll.BDH("LUMN US Equity","FREE_CASH_FLOW_EQUITY","FQ3 2018","FQ3 2018","Currency=USD","Period=FQ","BEST_FPERIOD_OVERRIDE=FQ","FILING_STATUS=MR","SCALING_FORMAT=MLN","Sort=A","Dates=H","DateFormat=P","Fill=—","Direction=H","UseDPDF=Y")</f>
        <v>277</v>
      </c>
      <c r="F66" s="17">
        <f>_xll.BDH("LUMN US Equity","FREE_CASH_FLOW_EQUITY","FQ4 2018","FQ4 2018","Currency=USD","Period=FQ","BEST_FPERIOD_OVERRIDE=FQ","FILING_STATUS=MR","SCALING_FORMAT=MLN","Sort=A","Dates=H","DateFormat=P","Fill=—","Direction=H","UseDPDF=Y")</f>
        <v>677</v>
      </c>
      <c r="G66" s="17">
        <f>_xll.BDH("LUMN US Equity","FREE_CASH_FLOW_EQUITY","FQ1 2019","FQ1 2019","Currency=USD","Period=FQ","BEST_FPERIOD_OVERRIDE=FQ","FILING_STATUS=MR","SCALING_FORMAT=MLN","Sort=A","Dates=H","DateFormat=P","Fill=—","Direction=H","UseDPDF=Y")</f>
        <v>268</v>
      </c>
      <c r="H66" s="17">
        <f>_xll.BDH("LUMN US Equity","FREE_CASH_FLOW_EQUITY","FQ2 2019","FQ2 2019","Currency=USD","Period=FQ","BEST_FPERIOD_OVERRIDE=FQ","FILING_STATUS=MR","SCALING_FORMAT=MLN","Sort=A","Dates=H","DateFormat=P","Fill=—","Direction=H","UseDPDF=Y")</f>
        <v>250</v>
      </c>
      <c r="I66" s="17">
        <f>_xll.BDH("LUMN US Equity","FREE_CASH_FLOW_EQUITY","FQ3 2019","FQ3 2019","Currency=USD","Period=FQ","BEST_FPERIOD_OVERRIDE=FQ","FILING_STATUS=MR","SCALING_FORMAT=MLN","Sort=A","Dates=H","DateFormat=P","Fill=—","Direction=H","UseDPDF=Y")</f>
        <v>1298</v>
      </c>
      <c r="J66" s="17">
        <f>_xll.BDH("LUMN US Equity","FREE_CASH_FLOW_EQUITY","FQ4 2019","FQ4 2019","Currency=USD","Period=FQ","BEST_FPERIOD_OVERRIDE=FQ","FILING_STATUS=MR","SCALING_FORMAT=MLN","Sort=A","Dates=H","DateFormat=P","Fill=—","Direction=H","UseDPDF=Y")</f>
        <v>579</v>
      </c>
      <c r="K66" s="17">
        <f>_xll.BDH("LUMN US Equity","FREE_CASH_FLOW_EQUITY","FQ1 2020","FQ1 2020","Currency=USD","Period=FQ","BEST_FPERIOD_OVERRIDE=FQ","FILING_STATUS=MR","SCALING_FORMAT=MLN","Sort=A","Dates=H","DateFormat=P","Fill=—","Direction=H","UseDPDF=Y")</f>
        <v>234</v>
      </c>
      <c r="L66" s="17">
        <f>_xll.BDH("LUMN US Equity","FREE_CASH_FLOW_EQUITY","FQ2 2020","FQ2 2020","Currency=USD","Period=FQ","BEST_FPERIOD_OVERRIDE=FQ","FILING_STATUS=MR","SCALING_FORMAT=MLN","Sort=A","Dates=H","DateFormat=P","Fill=—","Direction=H","UseDPDF=Y")</f>
        <v>469</v>
      </c>
    </row>
    <row r="67" spans="1:12" x14ac:dyDescent="0.25">
      <c r="A67" s="16" t="s">
        <v>349</v>
      </c>
      <c r="B67" s="16" t="s">
        <v>348</v>
      </c>
      <c r="C67" s="15">
        <f>_xll.BDH("LUMN US Equity","FREE_CASH_FLOW_PER_SH","FQ1 2018","FQ1 2018","Currency=USD","Period=FQ","BEST_FPERIOD_OVERRIDE=FQ","FILING_STATUS=MR","Sort=A","Dates=H","DateFormat=P","Fill=—","Direction=H","UseDPDF=Y")</f>
        <v>0.80879999999999996</v>
      </c>
      <c r="D67" s="15">
        <f>_xll.BDH("LUMN US Equity","FREE_CASH_FLOW_PER_SH","FQ2 2018","FQ2 2018","Currency=USD","Period=FQ","BEST_FPERIOD_OVERRIDE=FQ","FILING_STATUS=MR","Sort=A","Dates=H","DateFormat=P","Fill=—","Direction=H","UseDPDF=Y")</f>
        <v>0.76170000000000004</v>
      </c>
      <c r="E67" s="15">
        <f>_xll.BDH("LUMN US Equity","FREE_CASH_FLOW_PER_SH","FQ3 2018","FQ3 2018","Currency=USD","Period=FQ","BEST_FPERIOD_OVERRIDE=FQ","FILING_STATUS=MR","Sort=A","Dates=H","DateFormat=P","Fill=—","Direction=H","UseDPDF=Y")</f>
        <v>1.0338000000000001</v>
      </c>
      <c r="F67" s="15">
        <f>_xll.BDH("LUMN US Equity","FREE_CASH_FLOW_PER_SH","FQ4 2018","FQ4 2018","Currency=USD","Period=FQ","BEST_FPERIOD_OVERRIDE=FQ","FILING_STATUS=MR","Sort=A","Dates=H","DateFormat=P","Fill=—","Direction=H","UseDPDF=Y")</f>
        <v>1.0128999999999999</v>
      </c>
      <c r="G67" s="15">
        <f>_xll.BDH("LUMN US Equity","FREE_CASH_FLOW_PER_SH","FQ1 2019","FQ1 2019","Currency=USD","Period=FQ","BEST_FPERIOD_OVERRIDE=FQ","FILING_STATUS=MR","Sort=A","Dates=H","DateFormat=P","Fill=—","Direction=H","UseDPDF=Y")</f>
        <v>0.23480000000000001</v>
      </c>
      <c r="H67" s="15">
        <f>_xll.BDH("LUMN US Equity","FREE_CASH_FLOW_PER_SH","FQ2 2019","FQ2 2019","Currency=USD","Period=FQ","BEST_FPERIOD_OVERRIDE=FQ","FILING_STATUS=MR","Sort=A","Dates=H","DateFormat=P","Fill=—","Direction=H","UseDPDF=Y")</f>
        <v>0.84099999999999997</v>
      </c>
      <c r="I67" s="15">
        <f>_xll.BDH("LUMN US Equity","FREE_CASH_FLOW_PER_SH","FQ3 2019","FQ3 2019","Currency=USD","Period=FQ","BEST_FPERIOD_OVERRIDE=FQ","FILING_STATUS=MR","Sort=A","Dates=H","DateFormat=P","Fill=—","Direction=H","UseDPDF=Y")</f>
        <v>0.86799999999999999</v>
      </c>
      <c r="J67" s="15">
        <f>_xll.BDH("LUMN US Equity","FREE_CASH_FLOW_PER_SH","FQ4 2019","FQ4 2019","Currency=USD","Period=FQ","BEST_FPERIOD_OVERRIDE=FQ","FILING_STATUS=MR","Sort=A","Dates=H","DateFormat=P","Fill=—","Direction=H","UseDPDF=Y")</f>
        <v>0.90310000000000001</v>
      </c>
      <c r="K67" s="15">
        <f>_xll.BDH("LUMN US Equity","FREE_CASH_FLOW_PER_SH","FQ1 2020","FQ1 2020","Currency=USD","Period=FQ","BEST_FPERIOD_OVERRIDE=FQ","FILING_STATUS=MR","Sort=A","Dates=H","DateFormat=P","Fill=—","Direction=H","UseDPDF=Y")</f>
        <v>0.30220000000000002</v>
      </c>
      <c r="L67" s="15">
        <f>_xll.BDH("LUMN US Equity","FREE_CASH_FLOW_PER_SH","FQ2 2020","FQ2 2020","Currency=USD","Period=FQ","BEST_FPERIOD_OVERRIDE=FQ","FILING_STATUS=MR","Sort=A","Dates=H","DateFormat=P","Fill=—","Direction=H","UseDPDF=Y")</f>
        <v>0.6855</v>
      </c>
    </row>
    <row r="68" spans="1:12" x14ac:dyDescent="0.25">
      <c r="A68" s="16" t="s">
        <v>347</v>
      </c>
      <c r="B68" s="16" t="s">
        <v>346</v>
      </c>
      <c r="C68" s="15">
        <f>_xll.BDH("LUMN US Equity","PX_TO_FREE_CASH_FLOW","FQ1 2018","FQ1 2018","Currency=USD","Period=FQ","BEST_FPERIOD_OVERRIDE=FQ","FILING_STATUS=MR","Sort=A","Dates=H","DateFormat=P","Fill=—","Direction=H","UseDPDF=Y")</f>
        <v>11.6572</v>
      </c>
      <c r="D68" s="15">
        <f>_xll.BDH("LUMN US Equity","PX_TO_FREE_CASH_FLOW","FQ2 2018","FQ2 2018","Currency=USD","Period=FQ","BEST_FPERIOD_OVERRIDE=FQ","FILING_STATUS=MR","Sort=A","Dates=H","DateFormat=P","Fill=—","Direction=H","UseDPDF=Y")</f>
        <v>7.6425000000000001</v>
      </c>
      <c r="E68" s="15">
        <f>_xll.BDH("LUMN US Equity","PX_TO_FREE_CASH_FLOW","FQ3 2018","FQ3 2018","Currency=USD","Period=FQ","BEST_FPERIOD_OVERRIDE=FQ","FILING_STATUS=MR","Sort=A","Dates=H","DateFormat=P","Fill=—","Direction=H","UseDPDF=Y")</f>
        <v>6.8513999999999999</v>
      </c>
      <c r="F68" s="15">
        <f>_xll.BDH("LUMN US Equity","PX_TO_FREE_CASH_FLOW","FQ4 2018","FQ4 2018","Currency=USD","Period=FQ","BEST_FPERIOD_OVERRIDE=FQ","FILING_STATUS=MR","Sort=A","Dates=H","DateFormat=P","Fill=—","Direction=H","UseDPDF=Y")</f>
        <v>4.1882999999999999</v>
      </c>
      <c r="G68" s="15">
        <f>_xll.BDH("LUMN US Equity","PX_TO_FREE_CASH_FLOW","FQ1 2019","FQ1 2019","Currency=USD","Period=FQ","BEST_FPERIOD_OVERRIDE=FQ","FILING_STATUS=MR","Sort=A","Dates=H","DateFormat=P","Fill=—","Direction=H","UseDPDF=Y")</f>
        <v>3.9398</v>
      </c>
      <c r="H68" s="15">
        <f>_xll.BDH("LUMN US Equity","PX_TO_FREE_CASH_FLOW","FQ2 2019","FQ2 2019","Currency=USD","Period=FQ","BEST_FPERIOD_OVERRIDE=FQ","FILING_STATUS=MR","Sort=A","Dates=H","DateFormat=P","Fill=—","Direction=H","UseDPDF=Y")</f>
        <v>3.7660999999999998</v>
      </c>
      <c r="I68" s="15">
        <f>_xll.BDH("LUMN US Equity","PX_TO_FREE_CASH_FLOW","FQ3 2019","FQ3 2019","Currency=USD","Period=FQ","BEST_FPERIOD_OVERRIDE=FQ","FILING_STATUS=MR","Sort=A","Dates=H","DateFormat=P","Fill=—","Direction=H","UseDPDF=Y")</f>
        <v>4.2207999999999997</v>
      </c>
      <c r="J68" s="15">
        <f>_xll.BDH("LUMN US Equity","PX_TO_FREE_CASH_FLOW","FQ4 2019","FQ4 2019","Currency=USD","Period=FQ","BEST_FPERIOD_OVERRIDE=FQ","FILING_STATUS=MR","Sort=A","Dates=H","DateFormat=P","Fill=—","Direction=H","UseDPDF=Y")</f>
        <v>4.6401000000000003</v>
      </c>
      <c r="K68" s="15">
        <f>_xll.BDH("LUMN US Equity","PX_TO_FREE_CASH_FLOW","FQ1 2020","FQ1 2020","Currency=USD","Period=FQ","BEST_FPERIOD_OVERRIDE=FQ","FILING_STATUS=MR","Sort=A","Dates=H","DateFormat=P","Fill=—","Direction=H","UseDPDF=Y")</f>
        <v>3.2461000000000002</v>
      </c>
      <c r="L68" s="15">
        <f>_xll.BDH("LUMN US Equity","PX_TO_FREE_CASH_FLOW","FQ2 2020","FQ2 2020","Currency=USD","Period=FQ","BEST_FPERIOD_OVERRIDE=FQ","FILING_STATUS=MR","Sort=A","Dates=H","DateFormat=P","Fill=—","Direction=H","UseDPDF=Y")</f>
        <v>3.6356000000000002</v>
      </c>
    </row>
    <row r="69" spans="1:12" x14ac:dyDescent="0.25">
      <c r="A69" s="16" t="s">
        <v>345</v>
      </c>
      <c r="B69" s="16" t="s">
        <v>344</v>
      </c>
      <c r="C69" s="15">
        <f>_xll.BDH("LUMN US Equity","CASH_FLOW_TO_NET_INC","FQ1 2018","FQ1 2018","Currency=USD","Period=FQ","BEST_FPERIOD_OVERRIDE=FQ","FILING_STATUS=MR","FA_ADJUSTED=GAAP","Sort=A","Dates=H","DateFormat=P","Fill=—","Direction=H","UseDPDF=Y")</f>
        <v>14.495699999999999</v>
      </c>
      <c r="D69" s="15">
        <f>_xll.BDH("LUMN US Equity","CASH_FLOW_TO_NET_INC","FQ2 2018","FQ2 2018","Currency=USD","Period=FQ","BEST_FPERIOD_OVERRIDE=FQ","FILING_STATUS=MR","FA_ADJUSTED=GAAP","Sort=A","Dates=H","DateFormat=P","Fill=—","Direction=H","UseDPDF=Y")</f>
        <v>5.4177999999999997</v>
      </c>
      <c r="E69" s="15">
        <f>_xll.BDH("LUMN US Equity","CASH_FLOW_TO_NET_INC","FQ3 2018","FQ3 2018","Currency=USD","Period=FQ","BEST_FPERIOD_OVERRIDE=FQ","FILING_STATUS=MR","FA_ADJUSTED=GAAP","Sort=A","Dates=H","DateFormat=P","Fill=—","Direction=H","UseDPDF=Y")</f>
        <v>6.5698999999999996</v>
      </c>
      <c r="F69" s="15" t="str">
        <f>_xll.BDH("LUMN US Equity","CASH_FLOW_TO_NET_INC","FQ4 2018","FQ4 2018","Currency=USD","Period=FQ","BEST_FPERIOD_OVERRIDE=FQ","FILING_STATUS=MR","FA_ADJUSTED=GAAP","Sort=A","Dates=H","DateFormat=P","Fill=—","Direction=H","UseDPDF=Y")</f>
        <v>—</v>
      </c>
      <c r="G69" s="15" t="str">
        <f>_xll.BDH("LUMN US Equity","CASH_FLOW_TO_NET_INC","FQ1 2019","FQ1 2019","Currency=USD","Period=FQ","BEST_FPERIOD_OVERRIDE=FQ","FILING_STATUS=MR","FA_ADJUSTED=GAAP","Sort=A","Dates=H","DateFormat=P","Fill=—","Direction=H","UseDPDF=Y")</f>
        <v>—</v>
      </c>
      <c r="H69" s="15">
        <f>_xll.BDH("LUMN US Equity","CASH_FLOW_TO_NET_INC","FQ2 2019","FQ2 2019","Currency=USD","Period=FQ","BEST_FPERIOD_OVERRIDE=FQ","FILING_STATUS=MR","FA_ADJUSTED=GAAP","Sort=A","Dates=H","DateFormat=P","Fill=—","Direction=H","UseDPDF=Y")</f>
        <v>4.5849000000000002</v>
      </c>
      <c r="I69" s="15">
        <f>_xll.BDH("LUMN US Equity","CASH_FLOW_TO_NET_INC","FQ3 2019","FQ3 2019","Currency=USD","Period=FQ","BEST_FPERIOD_OVERRIDE=FQ","FILING_STATUS=MR","FA_ADJUSTED=GAAP","Sort=A","Dates=H","DateFormat=P","Fill=—","Direction=H","UseDPDF=Y")</f>
        <v>6.2516999999999996</v>
      </c>
      <c r="J69" s="15">
        <f>_xll.BDH("LUMN US Equity","CASH_FLOW_TO_NET_INC","FQ4 2019","FQ4 2019","Currency=USD","Period=FQ","BEST_FPERIOD_OVERRIDE=FQ","FILING_STATUS=MR","FA_ADJUSTED=GAAP","Sort=A","Dates=H","DateFormat=P","Fill=—","Direction=H","UseDPDF=Y")</f>
        <v>8.5604999999999993</v>
      </c>
      <c r="K69" s="15">
        <f>_xll.BDH("LUMN US Equity","CASH_FLOW_TO_NET_INC","FQ1 2020","FQ1 2020","Currency=USD","Period=FQ","BEST_FPERIOD_OVERRIDE=FQ","FILING_STATUS=MR","FA_ADJUSTED=GAAP","Sort=A","Dates=H","DateFormat=P","Fill=—","Direction=H","UseDPDF=Y")</f>
        <v>4.1368999999999998</v>
      </c>
      <c r="L69" s="15">
        <f>_xll.BDH("LUMN US Equity","CASH_FLOW_TO_NET_INC","FQ2 2020","FQ2 2020","Currency=USD","Period=FQ","BEST_FPERIOD_OVERRIDE=FQ","FILING_STATUS=MR","FA_ADJUSTED=GAAP","Sort=A","Dates=H","DateFormat=P","Fill=—","Direction=H","UseDPDF=Y")</f>
        <v>4.6393000000000004</v>
      </c>
    </row>
    <row r="70" spans="1:12" x14ac:dyDescent="0.25">
      <c r="A70" s="18" t="s">
        <v>56</v>
      </c>
      <c r="B70" s="18"/>
      <c r="C70" s="18" t="s">
        <v>3</v>
      </c>
      <c r="D70" s="18"/>
      <c r="E70" s="18"/>
      <c r="F70" s="18"/>
      <c r="G70" s="18"/>
      <c r="H70" s="18"/>
      <c r="I70" s="18"/>
      <c r="J70" s="18"/>
      <c r="K70" s="18"/>
      <c r="L70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2330A4C815143B756DBC15C7D601B" ma:contentTypeVersion="11" ma:contentTypeDescription="Create a new document." ma:contentTypeScope="" ma:versionID="806377ca8feb5edd5427a8c82c7e1704">
  <xsd:schema xmlns:xsd="http://www.w3.org/2001/XMLSchema" xmlns:xs="http://www.w3.org/2001/XMLSchema" xmlns:p="http://schemas.microsoft.com/office/2006/metadata/properties" xmlns:ns3="8ad2ac02-6675-406e-beec-19ef3a4fff4e" xmlns:ns4="2a54dcd2-1033-4bf5-b214-0cdcec28f60d" targetNamespace="http://schemas.microsoft.com/office/2006/metadata/properties" ma:root="true" ma:fieldsID="b587aabcdc6216bbbb9aa72d87fee22f" ns3:_="" ns4:_="">
    <xsd:import namespace="8ad2ac02-6675-406e-beec-19ef3a4fff4e"/>
    <xsd:import namespace="2a54dcd2-1033-4bf5-b214-0cdcec28f6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2ac02-6675-406e-beec-19ef3a4ff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dcd2-1033-4bf5-b214-0cdcec28f6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2E610D-C10B-4880-87FB-00887FC4C8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d2ac02-6675-406e-beec-19ef3a4fff4e"/>
    <ds:schemaRef ds:uri="2a54dcd2-1033-4bf5-b214-0cdcec28f6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0B7DED-DAF3-49D3-890E-EBF1D5330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5CB443-E740-40DD-938F-6BDB43A5416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 Highlights</vt:lpstr>
      <vt:lpstr>Income - Adjusted</vt:lpstr>
      <vt:lpstr>Balance Sheet - Standardized</vt:lpstr>
      <vt:lpstr>Cash Flow - Standardized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James Schultz</cp:lastModifiedBy>
  <dcterms:created xsi:type="dcterms:W3CDTF">2013-04-03T15:49:21Z</dcterms:created>
  <dcterms:modified xsi:type="dcterms:W3CDTF">2020-10-29T16:06:58Z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0x010100E9F2330A4C815143B756DBC15C7D601B</vt:lpwstr>
  </property>
</Properties>
</file>