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0490" windowHeight="7455"/>
  </bookViews>
  <sheets>
    <sheet name="INPUT" sheetId="2" r:id="rId1"/>
    <sheet name="Distancia" sheetId="11" r:id="rId2"/>
    <sheet name="soluções apenas GA" sheetId="3" r:id="rId3"/>
    <sheet name="VETO" sheetId="15" r:id="rId4"/>
  </sheets>
  <calcPr calcId="125725"/>
</workbook>
</file>

<file path=xl/calcChain.xml><?xml version="1.0" encoding="utf-8"?>
<calcChain xmlns="http://schemas.openxmlformats.org/spreadsheetml/2006/main">
  <c r="B23" i="11"/>
  <c r="D23"/>
  <c r="M28" i="3"/>
  <c r="B53" i="15" l="1"/>
  <c r="C38"/>
  <c r="B14" l="1"/>
  <c r="C14"/>
  <c r="D14"/>
  <c r="B18"/>
  <c r="B16" l="1"/>
  <c r="B36" s="1"/>
  <c r="D34"/>
  <c r="C34"/>
  <c r="B38"/>
  <c r="B34"/>
  <c r="H34" l="1"/>
  <c r="J34"/>
  <c r="D25"/>
  <c r="D45" s="1"/>
  <c r="C25"/>
  <c r="C45" s="1"/>
  <c r="S34" s="1"/>
  <c r="B25"/>
  <c r="B45" s="1"/>
  <c r="J45" s="1"/>
  <c r="D24"/>
  <c r="D44" s="1"/>
  <c r="C24"/>
  <c r="C44" s="1"/>
  <c r="B24"/>
  <c r="B44" s="1"/>
  <c r="H44" s="1"/>
  <c r="D23"/>
  <c r="D43" s="1"/>
  <c r="C23"/>
  <c r="C43" s="1"/>
  <c r="B23"/>
  <c r="B43" s="1"/>
  <c r="D22"/>
  <c r="D42" s="1"/>
  <c r="P34" s="1"/>
  <c r="C22"/>
  <c r="C42" s="1"/>
  <c r="B22"/>
  <c r="B42" s="1"/>
  <c r="H42" s="1"/>
  <c r="D21"/>
  <c r="D41" s="1"/>
  <c r="C21"/>
  <c r="C41" s="1"/>
  <c r="O38" s="1"/>
  <c r="B21"/>
  <c r="B41" s="1"/>
  <c r="D20"/>
  <c r="D40" s="1"/>
  <c r="C20"/>
  <c r="C40" s="1"/>
  <c r="B20"/>
  <c r="B40" s="1"/>
  <c r="L40" s="1"/>
  <c r="D19"/>
  <c r="D39" s="1"/>
  <c r="C19"/>
  <c r="C39" s="1"/>
  <c r="B19"/>
  <c r="B39" s="1"/>
  <c r="H39" s="1"/>
  <c r="D18"/>
  <c r="D38" s="1"/>
  <c r="J38" s="1"/>
  <c r="C18"/>
  <c r="H38" s="1"/>
  <c r="D17"/>
  <c r="D37" s="1"/>
  <c r="C17"/>
  <c r="C37" s="1"/>
  <c r="B17"/>
  <c r="B37" s="1"/>
  <c r="D16"/>
  <c r="D36" s="1"/>
  <c r="C16"/>
  <c r="C36" s="1"/>
  <c r="J42" s="1"/>
  <c r="D15"/>
  <c r="D35" s="1"/>
  <c r="C15"/>
  <c r="B15"/>
  <c r="B35" s="1"/>
  <c r="D13"/>
  <c r="D33" s="1"/>
  <c r="C13"/>
  <c r="C33" s="1"/>
  <c r="B13"/>
  <c r="B33" s="1"/>
  <c r="A25"/>
  <c r="A24"/>
  <c r="A23"/>
  <c r="A22"/>
  <c r="A21"/>
  <c r="A20"/>
  <c r="A19"/>
  <c r="A18"/>
  <c r="A17"/>
  <c r="A16"/>
  <c r="A15"/>
  <c r="A14"/>
  <c r="A13"/>
  <c r="A60" l="1"/>
  <c r="A40"/>
  <c r="K45"/>
  <c r="K36"/>
  <c r="K40"/>
  <c r="K44"/>
  <c r="K43"/>
  <c r="K33"/>
  <c r="K42"/>
  <c r="K39"/>
  <c r="K41"/>
  <c r="K37"/>
  <c r="A61"/>
  <c r="A41"/>
  <c r="Q38"/>
  <c r="Q39"/>
  <c r="Q37"/>
  <c r="Q45"/>
  <c r="Q36"/>
  <c r="Q44"/>
  <c r="Q42"/>
  <c r="Q43"/>
  <c r="Q33"/>
  <c r="Q40"/>
  <c r="Q41"/>
  <c r="A54"/>
  <c r="A34"/>
  <c r="B4"/>
  <c r="L33"/>
  <c r="R38"/>
  <c r="H37"/>
  <c r="H40"/>
  <c r="H36"/>
  <c r="J43"/>
  <c r="J41"/>
  <c r="A55"/>
  <c r="A35"/>
  <c r="A63"/>
  <c r="A43"/>
  <c r="O44"/>
  <c r="O43"/>
  <c r="O33"/>
  <c r="O42"/>
  <c r="O41"/>
  <c r="O40"/>
  <c r="O39"/>
  <c r="O37"/>
  <c r="O45"/>
  <c r="O36"/>
  <c r="L39"/>
  <c r="H41"/>
  <c r="A56"/>
  <c r="A36"/>
  <c r="R44"/>
  <c r="R43"/>
  <c r="R33"/>
  <c r="R37"/>
  <c r="R42"/>
  <c r="R41"/>
  <c r="R40"/>
  <c r="R39"/>
  <c r="R45"/>
  <c r="R36"/>
  <c r="K38"/>
  <c r="H45"/>
  <c r="J44"/>
  <c r="A57"/>
  <c r="A37"/>
  <c r="L38"/>
  <c r="M38"/>
  <c r="L37"/>
  <c r="H43"/>
  <c r="J37"/>
  <c r="A64"/>
  <c r="A44"/>
  <c r="L34"/>
  <c r="A58"/>
  <c r="A38"/>
  <c r="L42"/>
  <c r="L43"/>
  <c r="A65"/>
  <c r="A45"/>
  <c r="M42"/>
  <c r="M41"/>
  <c r="M40"/>
  <c r="M36"/>
  <c r="M39"/>
  <c r="M37"/>
  <c r="M45"/>
  <c r="M43"/>
  <c r="M33"/>
  <c r="M44"/>
  <c r="C4"/>
  <c r="P33"/>
  <c r="P42"/>
  <c r="P45"/>
  <c r="P41"/>
  <c r="P40"/>
  <c r="P39"/>
  <c r="P37"/>
  <c r="P44"/>
  <c r="P43"/>
  <c r="P36"/>
  <c r="L36"/>
  <c r="L41"/>
  <c r="N34"/>
  <c r="K34"/>
  <c r="H33"/>
  <c r="J33"/>
  <c r="A59"/>
  <c r="A39"/>
  <c r="G34"/>
  <c r="G33"/>
  <c r="G45"/>
  <c r="G36"/>
  <c r="G44"/>
  <c r="G43"/>
  <c r="G42"/>
  <c r="G41"/>
  <c r="G40"/>
  <c r="G37"/>
  <c r="G39"/>
  <c r="S41"/>
  <c r="S43"/>
  <c r="S40"/>
  <c r="S39"/>
  <c r="S33"/>
  <c r="S37"/>
  <c r="S45"/>
  <c r="S36"/>
  <c r="S44"/>
  <c r="S42"/>
  <c r="P38"/>
  <c r="L45"/>
  <c r="O34"/>
  <c r="M34"/>
  <c r="H35"/>
  <c r="H31" s="1"/>
  <c r="E34" s="1"/>
  <c r="J36"/>
  <c r="N39"/>
  <c r="N37"/>
  <c r="N42"/>
  <c r="N45"/>
  <c r="N36"/>
  <c r="N41"/>
  <c r="N44"/>
  <c r="N43"/>
  <c r="N33"/>
  <c r="N40"/>
  <c r="G38"/>
  <c r="L44"/>
  <c r="Q34"/>
  <c r="J39"/>
  <c r="N38"/>
  <c r="S38"/>
  <c r="R34"/>
  <c r="J40"/>
  <c r="C3"/>
  <c r="C35"/>
  <c r="A53"/>
  <c r="A33"/>
  <c r="A62"/>
  <c r="A42"/>
  <c r="C6"/>
  <c r="C8" s="1"/>
  <c r="C5"/>
  <c r="C7" s="1"/>
  <c r="B3"/>
  <c r="D4"/>
  <c r="D3"/>
  <c r="L35" l="1"/>
  <c r="L31" s="1"/>
  <c r="E38" s="1"/>
  <c r="J35"/>
  <c r="J31" s="1"/>
  <c r="E36" s="1"/>
  <c r="I34"/>
  <c r="S31"/>
  <c r="S35"/>
  <c r="M35"/>
  <c r="M31" s="1"/>
  <c r="E39" s="1"/>
  <c r="C59" s="1"/>
  <c r="I37"/>
  <c r="I35"/>
  <c r="I42"/>
  <c r="Q35"/>
  <c r="Q31" s="1"/>
  <c r="E43" s="1"/>
  <c r="K35"/>
  <c r="K31" s="1"/>
  <c r="E37" s="1"/>
  <c r="I44"/>
  <c r="I43"/>
  <c r="E45"/>
  <c r="I38"/>
  <c r="I36"/>
  <c r="I33"/>
  <c r="N35"/>
  <c r="N31" s="1"/>
  <c r="E40" s="1"/>
  <c r="I39"/>
  <c r="I40"/>
  <c r="R35"/>
  <c r="R31" s="1"/>
  <c r="E44" s="1"/>
  <c r="I41"/>
  <c r="O31"/>
  <c r="E41" s="1"/>
  <c r="K61" s="1"/>
  <c r="G35"/>
  <c r="G31" s="1"/>
  <c r="E33" s="1"/>
  <c r="P35"/>
  <c r="P31" s="1"/>
  <c r="E42" s="1"/>
  <c r="O35"/>
  <c r="I45"/>
  <c r="N54"/>
  <c r="H54"/>
  <c r="F54"/>
  <c r="E54"/>
  <c r="M54"/>
  <c r="D54"/>
  <c r="L54"/>
  <c r="C54"/>
  <c r="K54"/>
  <c r="B54"/>
  <c r="J54"/>
  <c r="I54"/>
  <c r="I59"/>
  <c r="F59"/>
  <c r="H53"/>
  <c r="N58"/>
  <c r="D58"/>
  <c r="C58"/>
  <c r="I58" s="1"/>
  <c r="B58"/>
  <c r="E58"/>
  <c r="B61"/>
  <c r="M61"/>
  <c r="L61"/>
  <c r="F61"/>
  <c r="J61"/>
  <c r="E61"/>
  <c r="D61"/>
  <c r="H61"/>
  <c r="C61"/>
  <c r="B5"/>
  <c r="B7" s="1"/>
  <c r="B6"/>
  <c r="B8" s="1"/>
  <c r="D6"/>
  <c r="D8" s="1"/>
  <c r="D5"/>
  <c r="D7"/>
  <c r="J58" s="1"/>
  <c r="C60" l="1"/>
  <c r="H60"/>
  <c r="B60"/>
  <c r="K60"/>
  <c r="E60"/>
  <c r="J60"/>
  <c r="D60"/>
  <c r="N60"/>
  <c r="I60"/>
  <c r="M60"/>
  <c r="L60"/>
  <c r="F60"/>
  <c r="D56"/>
  <c r="C56"/>
  <c r="J56"/>
  <c r="I56"/>
  <c r="B56"/>
  <c r="H56" s="1"/>
  <c r="K56" s="1"/>
  <c r="N56"/>
  <c r="H58"/>
  <c r="K58" s="1"/>
  <c r="L58" s="1"/>
  <c r="B62"/>
  <c r="N62"/>
  <c r="L62"/>
  <c r="K62"/>
  <c r="I62"/>
  <c r="E62"/>
  <c r="J62"/>
  <c r="F62"/>
  <c r="H62"/>
  <c r="D62"/>
  <c r="C62"/>
  <c r="M62"/>
  <c r="E64"/>
  <c r="D64"/>
  <c r="N64"/>
  <c r="C64"/>
  <c r="K64"/>
  <c r="M64"/>
  <c r="J64"/>
  <c r="L64"/>
  <c r="B64"/>
  <c r="I64"/>
  <c r="F64"/>
  <c r="H64"/>
  <c r="E63"/>
  <c r="N63"/>
  <c r="C63"/>
  <c r="I63" s="1"/>
  <c r="D63"/>
  <c r="J63" s="1"/>
  <c r="B63"/>
  <c r="H63" s="1"/>
  <c r="K63" s="1"/>
  <c r="L63" s="1"/>
  <c r="J57"/>
  <c r="I57"/>
  <c r="H57"/>
  <c r="D57"/>
  <c r="N57"/>
  <c r="L57"/>
  <c r="F57"/>
  <c r="B57"/>
  <c r="M57"/>
  <c r="K57"/>
  <c r="E57"/>
  <c r="C57"/>
  <c r="E53"/>
  <c r="N53"/>
  <c r="C53"/>
  <c r="E59"/>
  <c r="J59"/>
  <c r="I61"/>
  <c r="N61"/>
  <c r="D53"/>
  <c r="L59"/>
  <c r="D59"/>
  <c r="K59"/>
  <c r="I31"/>
  <c r="E35" s="1"/>
  <c r="I53"/>
  <c r="K53" s="1"/>
  <c r="L53" s="1"/>
  <c r="M59"/>
  <c r="N59"/>
  <c r="J53"/>
  <c r="H59"/>
  <c r="B59"/>
  <c r="D65"/>
  <c r="E65"/>
  <c r="B65"/>
  <c r="K65"/>
  <c r="J65"/>
  <c r="I65"/>
  <c r="L65"/>
  <c r="N65"/>
  <c r="H65"/>
  <c r="M65"/>
  <c r="F65"/>
  <c r="C65"/>
  <c r="O60"/>
  <c r="O64"/>
  <c r="O65"/>
  <c r="L56" l="1"/>
  <c r="O63"/>
  <c r="E56"/>
  <c r="B55"/>
  <c r="E55" s="1"/>
  <c r="H55"/>
  <c r="D55"/>
  <c r="J55" s="1"/>
  <c r="C55"/>
  <c r="I55" s="1"/>
  <c r="N55"/>
  <c r="O56"/>
  <c r="O57"/>
  <c r="O58"/>
  <c r="O54"/>
  <c r="O61"/>
  <c r="O59"/>
  <c r="O53"/>
  <c r="O62"/>
  <c r="M114" i="3"/>
  <c r="M113"/>
  <c r="M112"/>
  <c r="M99"/>
  <c r="M98"/>
  <c r="M86"/>
  <c r="M85"/>
  <c r="M78"/>
  <c r="M77"/>
  <c r="M72"/>
  <c r="M70"/>
  <c r="M92"/>
  <c r="M91"/>
  <c r="M107"/>
  <c r="M106"/>
  <c r="M100"/>
  <c r="M65"/>
  <c r="M64"/>
  <c r="M63"/>
  <c r="F53" i="15" l="1"/>
  <c r="F63"/>
  <c r="F58"/>
  <c r="F55"/>
  <c r="F56"/>
  <c r="K55"/>
  <c r="AA9" i="11"/>
  <c r="AA10"/>
  <c r="AA11"/>
  <c r="AA12"/>
  <c r="AA13"/>
  <c r="AA14"/>
  <c r="AA15"/>
  <c r="AA8"/>
  <c r="M58" i="3"/>
  <c r="M57"/>
  <c r="M56"/>
  <c r="B19" i="11"/>
  <c r="B18"/>
  <c r="M50" i="3"/>
  <c r="M44"/>
  <c r="M49"/>
  <c r="M42"/>
  <c r="M35"/>
  <c r="L55" i="15" l="1"/>
  <c r="O55"/>
  <c r="M37" i="3"/>
  <c r="M53" i="15" l="1"/>
  <c r="M58"/>
  <c r="M55"/>
  <c r="M63"/>
  <c r="M56"/>
  <c r="A40" i="11"/>
  <c r="A38"/>
  <c r="A35"/>
  <c r="E8"/>
  <c r="AB29" s="1"/>
  <c r="G8"/>
  <c r="H8"/>
  <c r="I29" s="1"/>
  <c r="J8"/>
  <c r="AG29" s="1"/>
  <c r="E9"/>
  <c r="AB30" s="1"/>
  <c r="G9"/>
  <c r="H9"/>
  <c r="J9"/>
  <c r="AG30" s="1"/>
  <c r="E10"/>
  <c r="G10"/>
  <c r="H10"/>
  <c r="J10"/>
  <c r="E11"/>
  <c r="AB32" s="1"/>
  <c r="G11"/>
  <c r="H11"/>
  <c r="J11"/>
  <c r="E12"/>
  <c r="AB33" s="1"/>
  <c r="G12"/>
  <c r="H12"/>
  <c r="J12"/>
  <c r="AG33" s="1"/>
  <c r="E13"/>
  <c r="AB34" s="1"/>
  <c r="G13"/>
  <c r="H13"/>
  <c r="J13"/>
  <c r="AG34" s="1"/>
  <c r="E14"/>
  <c r="G14"/>
  <c r="H14"/>
  <c r="J14"/>
  <c r="E15"/>
  <c r="AB36" s="1"/>
  <c r="G15"/>
  <c r="H15"/>
  <c r="J15"/>
  <c r="E16"/>
  <c r="AB37" s="1"/>
  <c r="G16"/>
  <c r="H16"/>
  <c r="J16"/>
  <c r="AG37" s="1"/>
  <c r="E17"/>
  <c r="AB38" s="1"/>
  <c r="G17"/>
  <c r="H17"/>
  <c r="J17"/>
  <c r="AG38" s="1"/>
  <c r="E18"/>
  <c r="G18"/>
  <c r="H18"/>
  <c r="J18"/>
  <c r="E19"/>
  <c r="AB40" s="1"/>
  <c r="G19"/>
  <c r="H19"/>
  <c r="J19"/>
  <c r="E20"/>
  <c r="AB41" s="1"/>
  <c r="G20"/>
  <c r="H20"/>
  <c r="J20"/>
  <c r="E21"/>
  <c r="G21"/>
  <c r="H21"/>
  <c r="J21"/>
  <c r="AG42" s="1"/>
  <c r="E22"/>
  <c r="G22"/>
  <c r="H22"/>
  <c r="J22"/>
  <c r="J23"/>
  <c r="H23"/>
  <c r="G23"/>
  <c r="E23"/>
  <c r="D8"/>
  <c r="AA29" s="1"/>
  <c r="D9"/>
  <c r="D10"/>
  <c r="D11"/>
  <c r="D12"/>
  <c r="AA33" s="1"/>
  <c r="D13"/>
  <c r="D14"/>
  <c r="D15"/>
  <c r="D16"/>
  <c r="AA37" s="1"/>
  <c r="D17"/>
  <c r="D18"/>
  <c r="D19"/>
  <c r="D20"/>
  <c r="AA41" s="1"/>
  <c r="D21"/>
  <c r="D22"/>
  <c r="B8"/>
  <c r="Y29" s="1"/>
  <c r="B9"/>
  <c r="B10"/>
  <c r="B11"/>
  <c r="B12"/>
  <c r="Y33" s="1"/>
  <c r="B13"/>
  <c r="B14"/>
  <c r="B15"/>
  <c r="B16"/>
  <c r="Y37" s="1"/>
  <c r="B17"/>
  <c r="B20"/>
  <c r="B21"/>
  <c r="B22"/>
  <c r="P5"/>
  <c r="P4"/>
  <c r="P3"/>
  <c r="O8"/>
  <c r="P8"/>
  <c r="R8"/>
  <c r="S8"/>
  <c r="U8"/>
  <c r="O9"/>
  <c r="P9"/>
  <c r="R9"/>
  <c r="S9"/>
  <c r="U9"/>
  <c r="O10"/>
  <c r="P10"/>
  <c r="R10"/>
  <c r="S10"/>
  <c r="U10"/>
  <c r="O11"/>
  <c r="P11"/>
  <c r="R11"/>
  <c r="S11"/>
  <c r="U11"/>
  <c r="O12"/>
  <c r="P12"/>
  <c r="R12"/>
  <c r="S12"/>
  <c r="U12"/>
  <c r="O13"/>
  <c r="P13"/>
  <c r="R13"/>
  <c r="S13"/>
  <c r="U13"/>
  <c r="O14"/>
  <c r="P14"/>
  <c r="R14"/>
  <c r="S14"/>
  <c r="U14"/>
  <c r="O15"/>
  <c r="P15"/>
  <c r="R15"/>
  <c r="S15"/>
  <c r="U15"/>
  <c r="O16"/>
  <c r="P16"/>
  <c r="R16"/>
  <c r="S16"/>
  <c r="U16"/>
  <c r="O17"/>
  <c r="P17"/>
  <c r="R17"/>
  <c r="S17"/>
  <c r="U17"/>
  <c r="O18"/>
  <c r="P18"/>
  <c r="R18"/>
  <c r="S18"/>
  <c r="U18"/>
  <c r="O19"/>
  <c r="P19"/>
  <c r="R19"/>
  <c r="S19"/>
  <c r="U19"/>
  <c r="O20"/>
  <c r="P20"/>
  <c r="R20"/>
  <c r="S20"/>
  <c r="U20"/>
  <c r="O21"/>
  <c r="P21"/>
  <c r="R21"/>
  <c r="S21"/>
  <c r="U21"/>
  <c r="O22"/>
  <c r="P22"/>
  <c r="R22"/>
  <c r="S22"/>
  <c r="U22"/>
  <c r="U23"/>
  <c r="S23"/>
  <c r="R23"/>
  <c r="P23"/>
  <c r="O23"/>
  <c r="M8"/>
  <c r="M9"/>
  <c r="M10"/>
  <c r="M11"/>
  <c r="M12"/>
  <c r="M13"/>
  <c r="M14"/>
  <c r="M15"/>
  <c r="M16"/>
  <c r="M17"/>
  <c r="M18"/>
  <c r="Y39" s="1"/>
  <c r="M19"/>
  <c r="Y40" s="1"/>
  <c r="M20"/>
  <c r="M21"/>
  <c r="M22"/>
  <c r="M23"/>
  <c r="J6" i="3"/>
  <c r="E31"/>
  <c r="F31"/>
  <c r="G31"/>
  <c r="D31"/>
  <c r="H112"/>
  <c r="H113"/>
  <c r="H114"/>
  <c r="H106"/>
  <c r="H105"/>
  <c r="H107"/>
  <c r="H98"/>
  <c r="H100"/>
  <c r="H99"/>
  <c r="H91"/>
  <c r="H86"/>
  <c r="H84"/>
  <c r="H85"/>
  <c r="H77"/>
  <c r="H72"/>
  <c r="H73" s="1"/>
  <c r="H64"/>
  <c r="H65"/>
  <c r="H63"/>
  <c r="H58"/>
  <c r="H57"/>
  <c r="H56"/>
  <c r="H49"/>
  <c r="H52" s="1"/>
  <c r="P49" s="1"/>
  <c r="H44"/>
  <c r="H37"/>
  <c r="K28" l="1"/>
  <c r="H101"/>
  <c r="P98" s="1"/>
  <c r="L91"/>
  <c r="L112"/>
  <c r="L98"/>
  <c r="L99"/>
  <c r="L92"/>
  <c r="L113"/>
  <c r="L107"/>
  <c r="L65"/>
  <c r="L114"/>
  <c r="L100"/>
  <c r="Y43" i="11"/>
  <c r="K77" i="3"/>
  <c r="O77" s="1"/>
  <c r="K63"/>
  <c r="N63" s="1"/>
  <c r="AG44" i="11"/>
  <c r="AB43"/>
  <c r="K113" i="3"/>
  <c r="O113" s="1"/>
  <c r="K92"/>
  <c r="K99"/>
  <c r="AB42" i="11"/>
  <c r="K64" i="3"/>
  <c r="O64" s="1"/>
  <c r="K106"/>
  <c r="O106" s="1"/>
  <c r="K85"/>
  <c r="K78"/>
  <c r="AB39" i="11"/>
  <c r="AB35"/>
  <c r="AB31"/>
  <c r="L86" i="3"/>
  <c r="Y36" i="11"/>
  <c r="AA44"/>
  <c r="AA36"/>
  <c r="AB44"/>
  <c r="AG40"/>
  <c r="AG36"/>
  <c r="AG32"/>
  <c r="O105" i="3"/>
  <c r="N105"/>
  <c r="L70"/>
  <c r="K42" i="11"/>
  <c r="F41"/>
  <c r="K38"/>
  <c r="F37"/>
  <c r="I35"/>
  <c r="K34"/>
  <c r="Q33"/>
  <c r="T31"/>
  <c r="V30"/>
  <c r="Q29"/>
  <c r="Y41"/>
  <c r="Y35"/>
  <c r="Y31"/>
  <c r="AA43"/>
  <c r="AA39"/>
  <c r="AA35"/>
  <c r="AA31"/>
  <c r="AD44"/>
  <c r="AE43"/>
  <c r="AE42"/>
  <c r="K107" i="3"/>
  <c r="O107" s="1"/>
  <c r="K100"/>
  <c r="O100" s="1"/>
  <c r="K65"/>
  <c r="N65" s="1"/>
  <c r="K114"/>
  <c r="AE40" i="11"/>
  <c r="K86" i="3"/>
  <c r="O86" s="1"/>
  <c r="AE39" i="11"/>
  <c r="AE38"/>
  <c r="AE37"/>
  <c r="AE36"/>
  <c r="AE35"/>
  <c r="AE34"/>
  <c r="AE33"/>
  <c r="AE32"/>
  <c r="AE31"/>
  <c r="AE30"/>
  <c r="AE29"/>
  <c r="N114" i="3"/>
  <c r="H66"/>
  <c r="P63" s="1"/>
  <c r="H94"/>
  <c r="P91" s="1"/>
  <c r="L77"/>
  <c r="L63"/>
  <c r="L78"/>
  <c r="L64"/>
  <c r="L106"/>
  <c r="L85"/>
  <c r="N85" s="1"/>
  <c r="K42"/>
  <c r="K70"/>
  <c r="Y32" i="11"/>
  <c r="AA40"/>
  <c r="AA32"/>
  <c r="AG43"/>
  <c r="AG41"/>
  <c r="K72" i="3"/>
  <c r="AG39" i="11"/>
  <c r="AG35"/>
  <c r="AG31"/>
  <c r="N64" i="3"/>
  <c r="N84"/>
  <c r="O84"/>
  <c r="L28"/>
  <c r="O28" s="1"/>
  <c r="R28" s="1"/>
  <c r="L72"/>
  <c r="Y44" i="11"/>
  <c r="K91" i="3"/>
  <c r="N91" s="1"/>
  <c r="K112"/>
  <c r="O112" s="1"/>
  <c r="K98"/>
  <c r="O98" s="1"/>
  <c r="Y38" i="11"/>
  <c r="Y34"/>
  <c r="Y30"/>
  <c r="AA42"/>
  <c r="AA38"/>
  <c r="AA34"/>
  <c r="AA30"/>
  <c r="AE44"/>
  <c r="AD43"/>
  <c r="AD42"/>
  <c r="AD41"/>
  <c r="AD40"/>
  <c r="AD39"/>
  <c r="AD38"/>
  <c r="AD37"/>
  <c r="AD36"/>
  <c r="AD35"/>
  <c r="AD34"/>
  <c r="AD33"/>
  <c r="AD32"/>
  <c r="AD31"/>
  <c r="AD30"/>
  <c r="AD29"/>
  <c r="L58" i="3"/>
  <c r="K35"/>
  <c r="O35" s="1"/>
  <c r="C40" i="11"/>
  <c r="C32"/>
  <c r="E44"/>
  <c r="H42"/>
  <c r="K40"/>
  <c r="F39"/>
  <c r="I37"/>
  <c r="E36"/>
  <c r="H34"/>
  <c r="K32"/>
  <c r="F31"/>
  <c r="N40"/>
  <c r="N32"/>
  <c r="P44"/>
  <c r="S42"/>
  <c r="V40"/>
  <c r="Q39"/>
  <c r="T37"/>
  <c r="P36"/>
  <c r="S34"/>
  <c r="V32"/>
  <c r="Q31"/>
  <c r="T29"/>
  <c r="L50" i="3"/>
  <c r="L57"/>
  <c r="K44"/>
  <c r="K37"/>
  <c r="C39" i="11"/>
  <c r="C31"/>
  <c r="K43"/>
  <c r="F42"/>
  <c r="I40"/>
  <c r="E39"/>
  <c r="H37"/>
  <c r="K35"/>
  <c r="F34"/>
  <c r="I32"/>
  <c r="E31"/>
  <c r="H29"/>
  <c r="N39"/>
  <c r="N31"/>
  <c r="V43"/>
  <c r="Q42"/>
  <c r="T40"/>
  <c r="P39"/>
  <c r="S37"/>
  <c r="V35"/>
  <c r="Q34"/>
  <c r="T32"/>
  <c r="P31"/>
  <c r="S29"/>
  <c r="C38"/>
  <c r="C30"/>
  <c r="I43"/>
  <c r="E42"/>
  <c r="H40"/>
  <c r="E34"/>
  <c r="H32"/>
  <c r="K30"/>
  <c r="F29"/>
  <c r="N38"/>
  <c r="N30"/>
  <c r="T43"/>
  <c r="P42"/>
  <c r="S40"/>
  <c r="V38"/>
  <c r="Q37"/>
  <c r="T35"/>
  <c r="P34"/>
  <c r="S32"/>
  <c r="L44" i="3"/>
  <c r="L37"/>
  <c r="C37" i="11"/>
  <c r="C29"/>
  <c r="H43"/>
  <c r="K41"/>
  <c r="F40"/>
  <c r="I38"/>
  <c r="E37"/>
  <c r="H35"/>
  <c r="K33"/>
  <c r="F32"/>
  <c r="I30"/>
  <c r="E29"/>
  <c r="N37"/>
  <c r="N29"/>
  <c r="S43"/>
  <c r="V41"/>
  <c r="Q40"/>
  <c r="T38"/>
  <c r="P37"/>
  <c r="S35"/>
  <c r="V33"/>
  <c r="Q32"/>
  <c r="T30"/>
  <c r="P29"/>
  <c r="L49" i="3"/>
  <c r="L56"/>
  <c r="C44" i="11"/>
  <c r="C36"/>
  <c r="K44"/>
  <c r="F43"/>
  <c r="I41"/>
  <c r="E40"/>
  <c r="H38"/>
  <c r="K36"/>
  <c r="F35"/>
  <c r="I33"/>
  <c r="E32"/>
  <c r="H30"/>
  <c r="N44"/>
  <c r="N36"/>
  <c r="V44"/>
  <c r="Q43"/>
  <c r="T41"/>
  <c r="P40"/>
  <c r="S38"/>
  <c r="V36"/>
  <c r="Q35"/>
  <c r="T33"/>
  <c r="P32"/>
  <c r="S30"/>
  <c r="AE41"/>
  <c r="L42" i="3"/>
  <c r="L35"/>
  <c r="K58"/>
  <c r="C43" i="11"/>
  <c r="C35"/>
  <c r="I44"/>
  <c r="E43"/>
  <c r="H41"/>
  <c r="K39"/>
  <c r="F38"/>
  <c r="I36"/>
  <c r="E35"/>
  <c r="H33"/>
  <c r="K31"/>
  <c r="F30"/>
  <c r="N43"/>
  <c r="N35"/>
  <c r="T44"/>
  <c r="P43"/>
  <c r="S41"/>
  <c r="V39"/>
  <c r="Q38"/>
  <c r="T36"/>
  <c r="P35"/>
  <c r="S33"/>
  <c r="V31"/>
  <c r="Q30"/>
  <c r="K50" i="3"/>
  <c r="C42" i="11"/>
  <c r="C34"/>
  <c r="H44"/>
  <c r="I39"/>
  <c r="E38"/>
  <c r="H36"/>
  <c r="F33"/>
  <c r="I31"/>
  <c r="E30"/>
  <c r="N42"/>
  <c r="N34"/>
  <c r="S44"/>
  <c r="V42"/>
  <c r="Q41"/>
  <c r="T39"/>
  <c r="P38"/>
  <c r="S36"/>
  <c r="V34"/>
  <c r="P30"/>
  <c r="Y42"/>
  <c r="K56" i="3"/>
  <c r="K49"/>
  <c r="K57"/>
  <c r="C41" i="11"/>
  <c r="C33"/>
  <c r="F44"/>
  <c r="I42"/>
  <c r="E41"/>
  <c r="H39"/>
  <c r="K37"/>
  <c r="F36"/>
  <c r="I34"/>
  <c r="E33"/>
  <c r="H31"/>
  <c r="K29"/>
  <c r="N41"/>
  <c r="N33"/>
  <c r="Q44"/>
  <c r="T42"/>
  <c r="P41"/>
  <c r="S39"/>
  <c r="V37"/>
  <c r="Q36"/>
  <c r="T34"/>
  <c r="P33"/>
  <c r="S31"/>
  <c r="V29"/>
  <c r="H87" i="3"/>
  <c r="P84" s="1"/>
  <c r="H115"/>
  <c r="P112" s="1"/>
  <c r="H108"/>
  <c r="P105" s="1"/>
  <c r="P70"/>
  <c r="O72"/>
  <c r="N72"/>
  <c r="H45"/>
  <c r="P42" s="1"/>
  <c r="H38"/>
  <c r="P35" s="1"/>
  <c r="H80"/>
  <c r="P77" s="1"/>
  <c r="H59"/>
  <c r="P56" s="1"/>
  <c r="H31"/>
  <c r="P28" s="1"/>
  <c r="H4"/>
  <c r="H5"/>
  <c r="H3"/>
  <c r="N113" l="1"/>
  <c r="N99"/>
  <c r="Q63"/>
  <c r="O37"/>
  <c r="N98"/>
  <c r="Q91"/>
  <c r="R105"/>
  <c r="N28"/>
  <c r="Q28" s="1"/>
  <c r="N100"/>
  <c r="O114"/>
  <c r="R112" s="1"/>
  <c r="N77"/>
  <c r="O78"/>
  <c r="R77" s="1"/>
  <c r="N78"/>
  <c r="O92"/>
  <c r="N92"/>
  <c r="Z47" i="11"/>
  <c r="O91" i="3"/>
  <c r="N106"/>
  <c r="O70"/>
  <c r="R70" s="1"/>
  <c r="N70"/>
  <c r="Q70" s="1"/>
  <c r="N107"/>
  <c r="O65"/>
  <c r="N112"/>
  <c r="Q112" s="1"/>
  <c r="O85"/>
  <c r="R84" s="1"/>
  <c r="O99"/>
  <c r="R98" s="1"/>
  <c r="N86"/>
  <c r="Q84" s="1"/>
  <c r="N44"/>
  <c r="O44"/>
  <c r="N37"/>
  <c r="O50"/>
  <c r="N50"/>
  <c r="O57"/>
  <c r="N57"/>
  <c r="O47" i="11"/>
  <c r="N35" i="3"/>
  <c r="Q35" s="1"/>
  <c r="R35"/>
  <c r="O58"/>
  <c r="N58"/>
  <c r="N49"/>
  <c r="O49"/>
  <c r="N56"/>
  <c r="O56"/>
  <c r="N42"/>
  <c r="Q42" s="1"/>
  <c r="O42"/>
  <c r="R42" s="1"/>
  <c r="D47" i="11"/>
  <c r="H6" i="3"/>
  <c r="R91" l="1"/>
  <c r="Q98"/>
  <c r="Q105"/>
  <c r="Q77"/>
  <c r="Q56"/>
  <c r="R56"/>
  <c r="R49"/>
  <c r="Q49"/>
  <c r="O63"/>
  <c r="R63" s="1"/>
</calcChain>
</file>

<file path=xl/sharedStrings.xml><?xml version="1.0" encoding="utf-8"?>
<sst xmlns="http://schemas.openxmlformats.org/spreadsheetml/2006/main" count="598" uniqueCount="137">
  <si>
    <t>F1</t>
  </si>
  <si>
    <t>F2</t>
  </si>
  <si>
    <t>F3</t>
  </si>
  <si>
    <t>F4</t>
  </si>
  <si>
    <t>(A)</t>
  </si>
  <si>
    <t>(B)</t>
  </si>
  <si>
    <t>(C)</t>
  </si>
  <si>
    <t>(D)</t>
  </si>
  <si>
    <t>P1</t>
  </si>
  <si>
    <t>P2</t>
  </si>
  <si>
    <t>P3</t>
  </si>
  <si>
    <t>Inventary = Space                                                                   (because it is considered pallet)</t>
  </si>
  <si>
    <t>MÁX INV.</t>
  </si>
  <si>
    <t>Popularity</t>
  </si>
  <si>
    <t>Demand</t>
  </si>
  <si>
    <t>Client</t>
  </si>
  <si>
    <t>Item (n)</t>
  </si>
  <si>
    <t>Code (pj)</t>
  </si>
  <si>
    <t>Demand - Dap</t>
  </si>
  <si>
    <t>Popularity Dp</t>
  </si>
  <si>
    <t>Client - Cp</t>
  </si>
  <si>
    <t>Np</t>
  </si>
  <si>
    <t>máx Np</t>
  </si>
  <si>
    <t xml:space="preserve">nx (número de colunas): </t>
  </si>
  <si>
    <t>nz (número de níveis):</t>
  </si>
  <si>
    <t>ny (numero de linhas):</t>
  </si>
  <si>
    <t xml:space="preserve">na (número de corredores): </t>
  </si>
  <si>
    <t xml:space="preserve">wa (lagura do corredor): </t>
  </si>
  <si>
    <t>hp (altura dos níveis)</t>
  </si>
  <si>
    <t>lp (comprimento do palet):</t>
  </si>
  <si>
    <t>wp (lagura do palet):</t>
  </si>
  <si>
    <t>Possiveis soluções</t>
  </si>
  <si>
    <t>Cb = {[1], [1], [1]}</t>
  </si>
  <si>
    <t>Cb = {[1], [1], [2]}</t>
  </si>
  <si>
    <t>Cb = {[1], [1], [3]}</t>
  </si>
  <si>
    <t>Cb = {[1], [2], [1]}</t>
  </si>
  <si>
    <t>Cb = {[1], [2], [2]}</t>
  </si>
  <si>
    <t>Cb = {[1], [2], [3]}</t>
  </si>
  <si>
    <t>Cb = {[1], [3], [1]}</t>
  </si>
  <si>
    <t>Cb = {[1], [3], [2]}</t>
  </si>
  <si>
    <t>Cb = {[1], [3], [3]}</t>
  </si>
  <si>
    <t>Cb = {[2], [3], [1]}</t>
  </si>
  <si>
    <t>Cb = {[2], [1], [1]}</t>
  </si>
  <si>
    <t>Cb = {[2], [1], [2]}</t>
  </si>
  <si>
    <t>Cb = {[2], [1], [3]}</t>
  </si>
  <si>
    <t>Cb = {[2], [2], [1]}</t>
  </si>
  <si>
    <t>Cb = {[2], [2], [2]}</t>
  </si>
  <si>
    <t>Cb = {[2], [2], [3]}</t>
  </si>
  <si>
    <t>Cb = {[2], [3], [2]}</t>
  </si>
  <si>
    <t>Cb = {[2], [3], [3]}</t>
  </si>
  <si>
    <t>Cb = {[3], [1], [1]}</t>
  </si>
  <si>
    <t>Cb = {[3], [1], [2]}</t>
  </si>
  <si>
    <t>Cb = {[3], [1], [3]}</t>
  </si>
  <si>
    <t>Cb = {[3], [2], [1]}</t>
  </si>
  <si>
    <t>Cb = {[3], [2], [2]}</t>
  </si>
  <si>
    <t>Cb = {[3], [2], [3]}</t>
  </si>
  <si>
    <t>Cb = {[3], [3], [1]}</t>
  </si>
  <si>
    <t>Cb = {[3], [3], [2]}</t>
  </si>
  <si>
    <t>Cb = {[3], [3], [3]}</t>
  </si>
  <si>
    <t>x</t>
  </si>
  <si>
    <t>{[1], [1], [1]}</t>
  </si>
  <si>
    <t>{[1], [1], [2]}</t>
  </si>
  <si>
    <t xml:space="preserve"> {[1], [2], [1]}</t>
  </si>
  <si>
    <t xml:space="preserve"> {[1], [2], [2]}</t>
  </si>
  <si>
    <t>{[1], [2], [3]}</t>
  </si>
  <si>
    <t>{[1], [3], [2]}</t>
  </si>
  <si>
    <t xml:space="preserve"> {[2], [1], [1]}</t>
  </si>
  <si>
    <t>{[2], [1], [2]}</t>
  </si>
  <si>
    <t xml:space="preserve"> {[2], [1], [3]}</t>
  </si>
  <si>
    <t>{[2], [2], [1]}</t>
  </si>
  <si>
    <t xml:space="preserve"> {[2], [3], [1]}</t>
  </si>
  <si>
    <t>{[3], [1], [2]}</t>
  </si>
  <si>
    <t xml:space="preserve"> {[3], [2], [1]}</t>
  </si>
  <si>
    <t>sxy (velocidade)</t>
  </si>
  <si>
    <t>sz (velocidade)</t>
  </si>
  <si>
    <t>Distancia em x</t>
  </si>
  <si>
    <t>Distancia em y</t>
  </si>
  <si>
    <t>Entranda</t>
  </si>
  <si>
    <t>z1</t>
  </si>
  <si>
    <t>z2</t>
  </si>
  <si>
    <t>z3</t>
  </si>
  <si>
    <t>Distancia em Z</t>
  </si>
  <si>
    <t>?</t>
  </si>
  <si>
    <t>DADOS</t>
  </si>
  <si>
    <t>ADc</t>
  </si>
  <si>
    <t>Distancia total para z1</t>
  </si>
  <si>
    <t>Distancia total para z2</t>
  </si>
  <si>
    <t>Distancia total para z3</t>
  </si>
  <si>
    <t>corredores</t>
  </si>
  <si>
    <t>Soma</t>
  </si>
  <si>
    <t>soma</t>
  </si>
  <si>
    <t>ATc</t>
  </si>
  <si>
    <t>dx</t>
  </si>
  <si>
    <t>dy</t>
  </si>
  <si>
    <t>dz</t>
  </si>
  <si>
    <t>segundos</t>
  </si>
  <si>
    <t>metros</t>
  </si>
  <si>
    <t>SOLUÇÃO</t>
  </si>
  <si>
    <t>Nc</t>
  </si>
  <si>
    <t>AD</t>
  </si>
  <si>
    <t>AT</t>
  </si>
  <si>
    <t>S</t>
  </si>
  <si>
    <t>unidade</t>
  </si>
  <si>
    <t>dominada</t>
  </si>
  <si>
    <t>y</t>
  </si>
  <si>
    <t>z</t>
  </si>
  <si>
    <t>Parameters</t>
  </si>
  <si>
    <t>Distance</t>
  </si>
  <si>
    <t>Space</t>
  </si>
  <si>
    <t>Time</t>
  </si>
  <si>
    <t>Ki</t>
  </si>
  <si>
    <t>Lower threshold (li)</t>
  </si>
  <si>
    <t>Upper Threshold (ui)</t>
  </si>
  <si>
    <r>
      <rPr>
        <b/>
        <u/>
        <sz val="10"/>
        <color theme="1"/>
        <rFont val="Times New Roman"/>
        <family val="1"/>
      </rPr>
      <t>N</t>
    </r>
    <r>
      <rPr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>Lower threshold (li)</t>
    </r>
  </si>
  <si>
    <r>
      <rPr>
        <b/>
        <u/>
        <sz val="10"/>
        <color theme="1"/>
        <rFont val="Times New Roman"/>
        <family val="1"/>
      </rPr>
      <t>N</t>
    </r>
    <r>
      <rPr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>Upper Threshold (ui)</t>
    </r>
  </si>
  <si>
    <t>ALTERNATIVAS REFERENCIAS</t>
  </si>
  <si>
    <t>Case 1</t>
  </si>
  <si>
    <t>v(ADistance)</t>
  </si>
  <si>
    <t>v(Space)</t>
  </si>
  <si>
    <t>v(Time)</t>
  </si>
  <si>
    <t>Case 1
(NORMALIZA)</t>
  </si>
  <si>
    <t>v(Distance)</t>
  </si>
  <si>
    <t>v(a)</t>
  </si>
  <si>
    <t>r_C1</t>
  </si>
  <si>
    <t>r_C2</t>
  </si>
  <si>
    <t>r_C3</t>
  </si>
  <si>
    <t>Produto r_C</t>
  </si>
  <si>
    <t>v_veto(a)</t>
  </si>
  <si>
    <t>|Máximo|</t>
  </si>
  <si>
    <t>|Mínimo|</t>
  </si>
  <si>
    <t>ALTERNATIVAS REFERENCIAS - DEFINIR FRONTEIRA DE PARETO</t>
  </si>
  <si>
    <r>
      <rPr>
        <b/>
        <u/>
        <sz val="10"/>
        <color theme="1"/>
        <rFont val="Times New Roman"/>
        <family val="1"/>
      </rPr>
      <t xml:space="preserve">Normalização das </t>
    </r>
    <r>
      <rPr>
        <b/>
        <sz val="10"/>
        <color theme="1"/>
        <rFont val="Times New Roman"/>
        <family val="1"/>
      </rPr>
      <t>ALTERNATIVAS REFERENCIAS</t>
    </r>
  </si>
  <si>
    <t>Rank</t>
  </si>
  <si>
    <t>5% do máximo</t>
  </si>
  <si>
    <t>3% do máximo</t>
  </si>
  <si>
    <t>OBS: As células em azul, são as que o decisor precisa dar entrada;</t>
  </si>
  <si>
    <t>Pq essas não são dominadas ?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</si>
</sst>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000"/>
  </numFmts>
  <fonts count="14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1"/>
      <name val="Calibri"/>
      <family val="2"/>
      <scheme val="minor"/>
    </font>
    <font>
      <sz val="10"/>
      <color rgb="FFFF0000"/>
      <name val="Times New Roman"/>
      <family val="1"/>
    </font>
    <font>
      <sz val="10"/>
      <name val="Times New Roman"/>
      <family val="1"/>
    </font>
    <font>
      <b/>
      <u/>
      <sz val="10"/>
      <color theme="1"/>
      <name val="Times New Roman"/>
      <family val="1"/>
    </font>
    <font>
      <b/>
      <sz val="10"/>
      <color rgb="FF00B050"/>
      <name val="Times New Roman"/>
      <family val="1"/>
    </font>
    <font>
      <b/>
      <sz val="10"/>
      <color theme="9"/>
      <name val="Times New Roman"/>
      <family val="1"/>
    </font>
    <font>
      <b/>
      <i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0" xfId="0" applyFont="1" applyFill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justify" vertical="center"/>
    </xf>
    <xf numFmtId="0" fontId="1" fillId="0" borderId="8" xfId="0" applyFont="1" applyBorder="1" applyAlignment="1">
      <alignment horizontal="justify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3" xfId="0" applyBorder="1"/>
    <xf numFmtId="0" fontId="0" fillId="0" borderId="15" xfId="0" applyBorder="1"/>
    <xf numFmtId="0" fontId="1" fillId="0" borderId="14" xfId="0" applyFont="1" applyBorder="1" applyAlignment="1">
      <alignment horizontal="center" vertical="center" wrapText="1"/>
    </xf>
    <xf numFmtId="0" fontId="0" fillId="0" borderId="9" xfId="0" applyBorder="1"/>
    <xf numFmtId="0" fontId="3" fillId="0" borderId="9" xfId="0" applyFont="1" applyBorder="1"/>
    <xf numFmtId="0" fontId="0" fillId="0" borderId="0" xfId="0" applyBorder="1"/>
    <xf numFmtId="0" fontId="1" fillId="0" borderId="0" xfId="0" applyFont="1" applyBorder="1" applyAlignment="1">
      <alignment horizontal="justify" vertical="center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26" xfId="0" applyBorder="1"/>
    <xf numFmtId="0" fontId="0" fillId="0" borderId="27" xfId="0" applyBorder="1"/>
    <xf numFmtId="0" fontId="1" fillId="0" borderId="9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justify" vertical="center"/>
    </xf>
    <xf numFmtId="0" fontId="1" fillId="0" borderId="4" xfId="0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vertical="center" wrapText="1"/>
    </xf>
    <xf numFmtId="0" fontId="0" fillId="0" borderId="0" xfId="0" applyAlignment="1"/>
    <xf numFmtId="0" fontId="1" fillId="0" borderId="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justify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Fill="1" applyBorder="1" applyAlignment="1">
      <alignment vertical="center" wrapText="1"/>
    </xf>
    <xf numFmtId="0" fontId="0" fillId="0" borderId="24" xfId="0" applyBorder="1"/>
    <xf numFmtId="0" fontId="0" fillId="0" borderId="29" xfId="0" applyBorder="1"/>
    <xf numFmtId="0" fontId="0" fillId="0" borderId="4" xfId="0" applyBorder="1"/>
    <xf numFmtId="0" fontId="0" fillId="0" borderId="11" xfId="0" applyBorder="1"/>
    <xf numFmtId="0" fontId="0" fillId="0" borderId="5" xfId="0" applyBorder="1"/>
    <xf numFmtId="0" fontId="0" fillId="0" borderId="14" xfId="0" applyBorder="1"/>
    <xf numFmtId="0" fontId="0" fillId="0" borderId="22" xfId="0" applyBorder="1"/>
    <xf numFmtId="0" fontId="0" fillId="0" borderId="21" xfId="0" applyBorder="1"/>
    <xf numFmtId="0" fontId="0" fillId="0" borderId="0" xfId="0" applyBorder="1" applyAlignment="1"/>
    <xf numFmtId="0" fontId="0" fillId="3" borderId="0" xfId="0" applyFill="1"/>
    <xf numFmtId="0" fontId="2" fillId="0" borderId="0" xfId="0" applyFont="1"/>
    <xf numFmtId="0" fontId="0" fillId="2" borderId="15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21" xfId="0" applyFill="1" applyBorder="1"/>
    <xf numFmtId="0" fontId="0" fillId="2" borderId="16" xfId="0" applyFill="1" applyBorder="1"/>
    <xf numFmtId="0" fontId="0" fillId="2" borderId="30" xfId="0" applyFill="1" applyBorder="1"/>
    <xf numFmtId="0" fontId="0" fillId="2" borderId="17" xfId="0" applyFill="1" applyBorder="1"/>
    <xf numFmtId="0" fontId="0" fillId="2" borderId="23" xfId="0" applyFill="1" applyBorder="1"/>
    <xf numFmtId="0" fontId="1" fillId="0" borderId="9" xfId="0" applyFont="1" applyBorder="1" applyAlignment="1">
      <alignment horizontal="center" vertical="center" wrapText="1"/>
    </xf>
    <xf numFmtId="0" fontId="3" fillId="0" borderId="0" xfId="0" applyFont="1"/>
    <xf numFmtId="0" fontId="5" fillId="0" borderId="0" xfId="0" applyFont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8" xfId="0" applyFont="1" applyBorder="1"/>
    <xf numFmtId="0" fontId="3" fillId="0" borderId="0" xfId="0" applyFont="1" applyBorder="1"/>
    <xf numFmtId="0" fontId="3" fillId="0" borderId="1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8" xfId="0" applyFont="1" applyBorder="1"/>
    <xf numFmtId="0" fontId="3" fillId="0" borderId="0" xfId="0" applyFont="1" applyAlignment="1">
      <alignment horizontal="left" vertical="center" indent="10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/>
    <xf numFmtId="0" fontId="4" fillId="0" borderId="0" xfId="0" applyFont="1" applyBorder="1"/>
    <xf numFmtId="0" fontId="3" fillId="0" borderId="9" xfId="0" applyFont="1" applyBorder="1" applyAlignment="1">
      <alignment horizontal="center"/>
    </xf>
    <xf numFmtId="0" fontId="1" fillId="0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15" xfId="0" applyFont="1" applyFill="1" applyBorder="1"/>
    <xf numFmtId="0" fontId="7" fillId="0" borderId="0" xfId="0" applyFont="1" applyFill="1" applyBorder="1"/>
    <xf numFmtId="0" fontId="7" fillId="0" borderId="9" xfId="0" applyFont="1" applyFill="1" applyBorder="1"/>
    <xf numFmtId="0" fontId="7" fillId="0" borderId="21" xfId="0" applyFont="1" applyFill="1" applyBorder="1"/>
    <xf numFmtId="0" fontId="7" fillId="0" borderId="0" xfId="0" applyFont="1" applyFill="1"/>
    <xf numFmtId="2" fontId="1" fillId="0" borderId="9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0" fillId="0" borderId="0" xfId="0" applyFill="1"/>
    <xf numFmtId="0" fontId="7" fillId="0" borderId="16" xfId="0" applyFont="1" applyFill="1" applyBorder="1"/>
    <xf numFmtId="0" fontId="7" fillId="0" borderId="30" xfId="0" applyFont="1" applyFill="1" applyBorder="1"/>
    <xf numFmtId="0" fontId="7" fillId="0" borderId="17" xfId="0" applyFont="1" applyFill="1" applyBorder="1"/>
    <xf numFmtId="0" fontId="7" fillId="0" borderId="23" xfId="0" applyFont="1" applyFill="1" applyBorder="1"/>
    <xf numFmtId="0" fontId="3" fillId="2" borderId="9" xfId="0" applyFont="1" applyFill="1" applyBorder="1" applyAlignment="1">
      <alignment horizontal="center"/>
    </xf>
    <xf numFmtId="2" fontId="3" fillId="2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 vertical="center"/>
    </xf>
    <xf numFmtId="0" fontId="3" fillId="0" borderId="9" xfId="0" applyFont="1" applyFill="1" applyBorder="1"/>
    <xf numFmtId="0" fontId="1" fillId="0" borderId="9" xfId="0" applyFont="1" applyFill="1" applyBorder="1" applyAlignment="1">
      <alignment horizontal="justify" vertical="center" wrapText="1"/>
    </xf>
    <xf numFmtId="2" fontId="1" fillId="0" borderId="9" xfId="0" applyNumberFormat="1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0" fillId="4" borderId="0" xfId="0" applyFill="1"/>
    <xf numFmtId="164" fontId="3" fillId="4" borderId="9" xfId="0" applyNumberFormat="1" applyFont="1" applyFill="1" applyBorder="1" applyAlignment="1">
      <alignment horizontal="center" vertical="center"/>
    </xf>
    <xf numFmtId="0" fontId="4" fillId="4" borderId="9" xfId="0" quotePrefix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11" fillId="4" borderId="0" xfId="0" quotePrefix="1" applyFont="1" applyFill="1" applyAlignment="1">
      <alignment horizontal="center" vertical="center"/>
    </xf>
    <xf numFmtId="164" fontId="9" fillId="4" borderId="9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 wrapText="1"/>
    </xf>
    <xf numFmtId="0" fontId="4" fillId="4" borderId="9" xfId="0" quotePrefix="1" applyFont="1" applyFill="1" applyBorder="1" applyAlignment="1">
      <alignment horizontal="center" vertical="center" wrapText="1"/>
    </xf>
    <xf numFmtId="0" fontId="0" fillId="4" borderId="0" xfId="0" applyFill="1" applyAlignment="1">
      <alignment horizontal="left"/>
    </xf>
    <xf numFmtId="0" fontId="8" fillId="4" borderId="0" xfId="0" applyFont="1" applyFill="1" applyAlignment="1">
      <alignment horizontal="left" vertical="center"/>
    </xf>
    <xf numFmtId="164" fontId="9" fillId="2" borderId="9" xfId="0" applyNumberFormat="1" applyFont="1" applyFill="1" applyBorder="1" applyAlignment="1">
      <alignment horizontal="center" vertical="center"/>
    </xf>
    <xf numFmtId="164" fontId="3" fillId="5" borderId="9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9" fillId="4" borderId="0" xfId="0" quotePrefix="1" applyFont="1" applyFill="1" applyAlignment="1">
      <alignment horizontal="center" vertical="center"/>
    </xf>
    <xf numFmtId="0" fontId="13" fillId="4" borderId="0" xfId="0" applyFont="1" applyFill="1" applyAlignment="1">
      <alignment horizontal="center"/>
    </xf>
    <xf numFmtId="9" fontId="3" fillId="4" borderId="0" xfId="0" applyNumberFormat="1" applyFont="1" applyFill="1" applyAlignment="1">
      <alignment horizontal="center" vertical="center"/>
    </xf>
    <xf numFmtId="165" fontId="9" fillId="4" borderId="9" xfId="0" applyNumberFormat="1" applyFont="1" applyFill="1" applyBorder="1" applyAlignment="1">
      <alignment horizontal="center" vertical="center"/>
    </xf>
    <xf numFmtId="164" fontId="0" fillId="4" borderId="0" xfId="0" applyNumberFormat="1" applyFill="1"/>
    <xf numFmtId="0" fontId="9" fillId="6" borderId="0" xfId="0" quotePrefix="1" applyFont="1" applyFill="1" applyAlignment="1">
      <alignment horizontal="center" vertical="center"/>
    </xf>
    <xf numFmtId="2" fontId="8" fillId="0" borderId="9" xfId="0" applyNumberFormat="1" applyFont="1" applyFill="1" applyBorder="1" applyAlignment="1">
      <alignment horizontal="center"/>
    </xf>
    <xf numFmtId="0" fontId="11" fillId="4" borderId="0" xfId="0" quotePrefix="1" applyFont="1" applyFill="1" applyBorder="1" applyAlignment="1">
      <alignment horizontal="center" vertical="center"/>
    </xf>
    <xf numFmtId="164" fontId="9" fillId="4" borderId="0" xfId="0" applyNumberFormat="1" applyFont="1" applyFill="1" applyBorder="1" applyAlignment="1">
      <alignment horizontal="center" vertical="center"/>
    </xf>
    <xf numFmtId="164" fontId="0" fillId="4" borderId="0" xfId="0" applyNumberFormat="1" applyFill="1" applyBorder="1"/>
    <xf numFmtId="0" fontId="3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3" fillId="4" borderId="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1" fontId="0" fillId="0" borderId="9" xfId="0" applyNumberFormat="1" applyBorder="1"/>
    <xf numFmtId="1" fontId="1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justify" vertical="center"/>
    </xf>
    <xf numFmtId="0" fontId="1" fillId="0" borderId="9" xfId="0" applyFont="1" applyBorder="1" applyAlignment="1">
      <alignment horizontal="justify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2" fontId="1" fillId="0" borderId="28" xfId="0" applyNumberFormat="1" applyFont="1" applyFill="1" applyBorder="1" applyAlignment="1">
      <alignment horizontal="center" vertical="center" wrapText="1"/>
    </xf>
    <xf numFmtId="2" fontId="1" fillId="0" borderId="31" xfId="0" applyNumberFormat="1" applyFont="1" applyFill="1" applyBorder="1" applyAlignment="1">
      <alignment horizontal="center" vertical="center" wrapText="1"/>
    </xf>
    <xf numFmtId="2" fontId="1" fillId="0" borderId="20" xfId="0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1" fillId="0" borderId="1" xfId="0" applyFont="1" applyBorder="1" applyAlignment="1">
      <alignment horizontal="justify"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2" fontId="1" fillId="0" borderId="9" xfId="0" applyNumberFormat="1" applyFont="1" applyFill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 wrapText="1"/>
    </xf>
    <xf numFmtId="2" fontId="1" fillId="0" borderId="20" xfId="0" applyNumberFormat="1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0" fontId="4" fillId="2" borderId="0" xfId="0" quotePrefix="1" applyFont="1" applyFill="1" applyAlignment="1">
      <alignment horizontal="left" vertical="center"/>
    </xf>
  </cellXfs>
  <cellStyles count="1">
    <cellStyle name="Normal" xfId="0" builtinId="0"/>
  </cellStyles>
  <dxfs count="5">
    <dxf>
      <font>
        <color rgb="FF00B050"/>
      </font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>
      <selection activeCell="K13" sqref="K13"/>
    </sheetView>
  </sheetViews>
  <sheetFormatPr defaultRowHeight="15"/>
  <sheetData>
    <row r="1" spans="1:9" ht="27" customHeight="1">
      <c r="A1" s="137" t="s">
        <v>16</v>
      </c>
      <c r="B1" s="137" t="s">
        <v>17</v>
      </c>
      <c r="C1" s="138" t="s">
        <v>11</v>
      </c>
      <c r="D1" s="138"/>
      <c r="E1" s="138"/>
      <c r="F1" s="138"/>
      <c r="G1" s="136" t="s">
        <v>13</v>
      </c>
      <c r="H1" s="136" t="s">
        <v>14</v>
      </c>
      <c r="I1" s="136" t="s">
        <v>15</v>
      </c>
    </row>
    <row r="2" spans="1:9">
      <c r="A2" s="137"/>
      <c r="B2" s="137"/>
      <c r="C2" s="132" t="s">
        <v>0</v>
      </c>
      <c r="D2" s="132" t="s">
        <v>1</v>
      </c>
      <c r="E2" s="132" t="s">
        <v>2</v>
      </c>
      <c r="F2" s="132" t="s">
        <v>3</v>
      </c>
      <c r="G2" s="132" t="s">
        <v>5</v>
      </c>
      <c r="H2" s="132" t="s">
        <v>6</v>
      </c>
      <c r="I2" s="132" t="s">
        <v>7</v>
      </c>
    </row>
    <row r="3" spans="1:9">
      <c r="A3" s="134">
        <v>1</v>
      </c>
      <c r="B3" s="133" t="s">
        <v>8</v>
      </c>
      <c r="C3" s="135">
        <v>27</v>
      </c>
      <c r="D3" s="135">
        <v>38</v>
      </c>
      <c r="E3" s="135">
        <v>25</v>
      </c>
      <c r="F3" s="135">
        <v>20</v>
      </c>
      <c r="G3" s="135">
        <v>0</v>
      </c>
      <c r="H3" s="135">
        <v>50</v>
      </c>
      <c r="I3" s="135">
        <v>0</v>
      </c>
    </row>
    <row r="4" spans="1:9">
      <c r="A4" s="134">
        <v>2</v>
      </c>
      <c r="B4" s="133" t="s">
        <v>9</v>
      </c>
      <c r="C4" s="135">
        <v>30</v>
      </c>
      <c r="D4" s="135">
        <v>18</v>
      </c>
      <c r="E4" s="135">
        <v>18</v>
      </c>
      <c r="F4" s="135">
        <v>44</v>
      </c>
      <c r="G4" s="135">
        <v>0</v>
      </c>
      <c r="H4" s="135">
        <v>10</v>
      </c>
      <c r="I4" s="135">
        <v>0</v>
      </c>
    </row>
    <row r="5" spans="1:9">
      <c r="A5" s="134">
        <v>3</v>
      </c>
      <c r="B5" s="133" t="s">
        <v>10</v>
      </c>
      <c r="C5" s="135">
        <v>9</v>
      </c>
      <c r="D5" s="135">
        <v>20</v>
      </c>
      <c r="E5" s="135">
        <v>0</v>
      </c>
      <c r="F5" s="135">
        <v>15</v>
      </c>
      <c r="G5" s="135">
        <v>0</v>
      </c>
      <c r="H5" s="135">
        <v>25</v>
      </c>
      <c r="I5" s="135">
        <v>0</v>
      </c>
    </row>
  </sheetData>
  <mergeCells count="3">
    <mergeCell ref="B1:B2"/>
    <mergeCell ref="C1:F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7"/>
  <sheetViews>
    <sheetView zoomScale="70" zoomScaleNormal="70" workbookViewId="0">
      <selection activeCell="S26" sqref="S26"/>
    </sheetView>
  </sheetViews>
  <sheetFormatPr defaultRowHeight="15"/>
  <cols>
    <col min="3" max="3" width="10.28515625" customWidth="1"/>
    <col min="7" max="7" width="9.28515625" customWidth="1"/>
  </cols>
  <sheetData>
    <row r="1" spans="1:27">
      <c r="B1" s="40" t="s">
        <v>83</v>
      </c>
    </row>
    <row r="2" spans="1:27" ht="15.75" thickBot="1">
      <c r="B2" s="38" t="s">
        <v>23</v>
      </c>
      <c r="C2" s="22"/>
      <c r="D2" s="15">
        <v>6</v>
      </c>
      <c r="E2" s="14"/>
      <c r="F2" s="22" t="s">
        <v>29</v>
      </c>
      <c r="G2" s="22"/>
      <c r="H2" s="14">
        <v>1</v>
      </c>
      <c r="I2" s="14"/>
      <c r="J2" s="22" t="s">
        <v>73</v>
      </c>
      <c r="K2" s="22"/>
      <c r="L2" s="15">
        <v>0.5</v>
      </c>
      <c r="O2" s="39" t="s">
        <v>81</v>
      </c>
      <c r="P2" s="39"/>
    </row>
    <row r="3" spans="1:27">
      <c r="B3" s="24" t="s">
        <v>24</v>
      </c>
      <c r="C3" s="2"/>
      <c r="D3" s="15">
        <v>3</v>
      </c>
      <c r="E3" s="14"/>
      <c r="F3" s="22" t="s">
        <v>30</v>
      </c>
      <c r="G3" s="22"/>
      <c r="H3" s="14">
        <v>1.5</v>
      </c>
      <c r="I3" s="14"/>
      <c r="J3" s="22" t="s">
        <v>74</v>
      </c>
      <c r="K3" s="22"/>
      <c r="L3" s="15">
        <v>0.2</v>
      </c>
      <c r="O3" s="30" t="s">
        <v>78</v>
      </c>
      <c r="P3" s="32">
        <f>(1-1)*$H$4</f>
        <v>0</v>
      </c>
    </row>
    <row r="4" spans="1:27">
      <c r="B4" s="24" t="s">
        <v>25</v>
      </c>
      <c r="C4" s="2"/>
      <c r="D4" s="2" t="s">
        <v>82</v>
      </c>
      <c r="E4" s="14"/>
      <c r="F4" s="22" t="s">
        <v>28</v>
      </c>
      <c r="G4" s="22"/>
      <c r="H4" s="14">
        <v>1.5</v>
      </c>
      <c r="I4" s="14"/>
      <c r="J4" s="14"/>
      <c r="K4" s="14"/>
      <c r="L4" s="15"/>
      <c r="O4" s="16" t="s">
        <v>79</v>
      </c>
      <c r="P4" s="33">
        <f>(2-1)*$H$4</f>
        <v>1.5</v>
      </c>
    </row>
    <row r="5" spans="1:27" ht="15.75" thickBot="1">
      <c r="B5" s="24" t="s">
        <v>26</v>
      </c>
      <c r="C5" s="12"/>
      <c r="D5" s="15">
        <v>3</v>
      </c>
      <c r="E5" s="14"/>
      <c r="F5" s="139" t="s">
        <v>27</v>
      </c>
      <c r="G5" s="139"/>
      <c r="H5" s="14">
        <v>1</v>
      </c>
      <c r="I5" s="14"/>
      <c r="J5" s="14"/>
      <c r="K5" s="14"/>
      <c r="L5" s="15"/>
      <c r="O5" s="17" t="s">
        <v>80</v>
      </c>
      <c r="P5" s="34">
        <f>(3-1)*$H$4</f>
        <v>3</v>
      </c>
    </row>
    <row r="7" spans="1:27" ht="15.75" thickBot="1">
      <c r="B7" s="39" t="s">
        <v>75</v>
      </c>
      <c r="C7" s="39"/>
      <c r="M7" s="39" t="s">
        <v>76</v>
      </c>
      <c r="N7" s="39"/>
      <c r="X7" t="s">
        <v>59</v>
      </c>
      <c r="Y7" t="s">
        <v>104</v>
      </c>
      <c r="Z7" t="s">
        <v>105</v>
      </c>
      <c r="AA7" t="s">
        <v>90</v>
      </c>
    </row>
    <row r="8" spans="1:27">
      <c r="A8">
        <v>16</v>
      </c>
      <c r="B8" s="7">
        <f t="shared" ref="B8:B22" si="0">IMABS(((($D$5*$H$5)+($H$3*$D$2))/2)-((2*$C$24)-1)*($H$3+($H$5/2)))</f>
        <v>4</v>
      </c>
      <c r="C8" s="31"/>
      <c r="D8" s="35">
        <f t="shared" ref="D8:D22" si="1">IMABS(((($D$5*$H$5)+($H$3*$D$2))/2)-((2*$C$24)-1)*($H$3+($H$5/2)))</f>
        <v>4</v>
      </c>
      <c r="E8" s="35">
        <f t="shared" ref="E8:E22" si="2">IMABS(((($D$5*$H$5)+($H$3*$D$2))/2)-((2*$F$24)-1)*($H$3+($H$5/2)))</f>
        <v>0</v>
      </c>
      <c r="F8" s="31"/>
      <c r="G8" s="35">
        <f t="shared" ref="G8:G22" si="3">IMABS(((($D$5*$H$5)+($H$3*$D$2))/2)-((2*$F$24)-1)*($H$3+($H$5/2)))</f>
        <v>0</v>
      </c>
      <c r="H8" s="35">
        <f t="shared" ref="H8:H22" si="4">IMABS(((($D$5*$H$5)+($H$3*$D$2))/2)-((2*$I$24)-1)*($H$3+($H$5/2)))</f>
        <v>4</v>
      </c>
      <c r="I8" s="31"/>
      <c r="J8" s="36">
        <f t="shared" ref="J8:J22" si="5">IMABS(((($D$5*$H$5)+($H$3*$D$2))/2)-((2*$I$24)-1)*($H$3+($H$5/2)))</f>
        <v>4</v>
      </c>
      <c r="K8" s="12"/>
      <c r="L8">
        <v>16</v>
      </c>
      <c r="M8" s="7">
        <f t="shared" ref="M8:M22" si="6">$H$2*(L8-1/2)</f>
        <v>15.5</v>
      </c>
      <c r="N8" s="31"/>
      <c r="O8" s="35">
        <f t="shared" ref="O8:O22" si="7">$H$2*(L8-1/2)</f>
        <v>15.5</v>
      </c>
      <c r="P8" s="35">
        <f t="shared" ref="P8:P22" si="8">$H$2*(L8-1/2)</f>
        <v>15.5</v>
      </c>
      <c r="Q8" s="31"/>
      <c r="R8" s="35">
        <f t="shared" ref="R8:R22" si="9">$H$2*(L8-1/2)</f>
        <v>15.5</v>
      </c>
      <c r="S8" s="35">
        <f t="shared" ref="S8:S22" si="10">$H$2*(L8-1/2)</f>
        <v>15.5</v>
      </c>
      <c r="T8" s="31"/>
      <c r="U8" s="36">
        <f t="shared" ref="U8:U22" si="11">$H$2*(L8-1/2)</f>
        <v>15.5</v>
      </c>
      <c r="W8">
        <v>1</v>
      </c>
      <c r="X8">
        <v>6</v>
      </c>
      <c r="Y8">
        <v>6</v>
      </c>
      <c r="Z8">
        <v>6</v>
      </c>
      <c r="AA8">
        <f>SUM(X8:Z8)</f>
        <v>18</v>
      </c>
    </row>
    <row r="9" spans="1:27">
      <c r="A9">
        <v>15</v>
      </c>
      <c r="B9" s="8">
        <f t="shared" si="0"/>
        <v>4</v>
      </c>
      <c r="C9" s="12"/>
      <c r="D9" s="10">
        <f t="shared" si="1"/>
        <v>4</v>
      </c>
      <c r="E9" s="10">
        <f t="shared" si="2"/>
        <v>0</v>
      </c>
      <c r="F9" s="12"/>
      <c r="G9" s="10">
        <f t="shared" si="3"/>
        <v>0</v>
      </c>
      <c r="H9" s="10">
        <f t="shared" si="4"/>
        <v>4</v>
      </c>
      <c r="I9" s="12"/>
      <c r="J9" s="37">
        <f t="shared" si="5"/>
        <v>4</v>
      </c>
      <c r="K9" s="12"/>
      <c r="L9">
        <v>15</v>
      </c>
      <c r="M9" s="8">
        <f t="shared" si="6"/>
        <v>14.5</v>
      </c>
      <c r="N9" s="12"/>
      <c r="O9" s="10">
        <f t="shared" si="7"/>
        <v>14.5</v>
      </c>
      <c r="P9" s="10">
        <f t="shared" si="8"/>
        <v>14.5</v>
      </c>
      <c r="Q9" s="12"/>
      <c r="R9" s="10">
        <f t="shared" si="9"/>
        <v>14.5</v>
      </c>
      <c r="S9" s="10">
        <f t="shared" si="10"/>
        <v>14.5</v>
      </c>
      <c r="T9" s="12"/>
      <c r="U9" s="37">
        <f t="shared" si="11"/>
        <v>14.5</v>
      </c>
      <c r="W9">
        <v>2</v>
      </c>
      <c r="X9">
        <v>6</v>
      </c>
      <c r="Y9">
        <v>6</v>
      </c>
      <c r="Z9">
        <v>6</v>
      </c>
      <c r="AA9">
        <f t="shared" ref="AA9:AA13" si="12">SUM(X9:Z9)</f>
        <v>18</v>
      </c>
    </row>
    <row r="10" spans="1:27">
      <c r="A10">
        <v>14</v>
      </c>
      <c r="B10" s="8">
        <f t="shared" si="0"/>
        <v>4</v>
      </c>
      <c r="C10" s="12"/>
      <c r="D10" s="10">
        <f t="shared" si="1"/>
        <v>4</v>
      </c>
      <c r="E10" s="10">
        <f t="shared" si="2"/>
        <v>0</v>
      </c>
      <c r="F10" s="12"/>
      <c r="G10" s="10">
        <f t="shared" si="3"/>
        <v>0</v>
      </c>
      <c r="H10" s="10">
        <f t="shared" si="4"/>
        <v>4</v>
      </c>
      <c r="I10" s="12"/>
      <c r="J10" s="37">
        <f t="shared" si="5"/>
        <v>4</v>
      </c>
      <c r="K10" s="12"/>
      <c r="L10">
        <v>14</v>
      </c>
      <c r="M10" s="8">
        <f t="shared" si="6"/>
        <v>13.5</v>
      </c>
      <c r="N10" s="12"/>
      <c r="O10" s="10">
        <f t="shared" si="7"/>
        <v>13.5</v>
      </c>
      <c r="P10" s="10">
        <f t="shared" si="8"/>
        <v>13.5</v>
      </c>
      <c r="Q10" s="12"/>
      <c r="R10" s="10">
        <f t="shared" si="9"/>
        <v>13.5</v>
      </c>
      <c r="S10" s="10">
        <f t="shared" si="10"/>
        <v>13.5</v>
      </c>
      <c r="T10" s="12"/>
      <c r="U10" s="37">
        <f t="shared" si="11"/>
        <v>13.5</v>
      </c>
      <c r="X10">
        <v>6</v>
      </c>
      <c r="Y10">
        <v>2</v>
      </c>
      <c r="AA10">
        <f t="shared" si="12"/>
        <v>8</v>
      </c>
    </row>
    <row r="11" spans="1:27">
      <c r="A11">
        <v>13</v>
      </c>
      <c r="B11" s="8">
        <f t="shared" si="0"/>
        <v>4</v>
      </c>
      <c r="C11" s="12"/>
      <c r="D11" s="10">
        <f t="shared" si="1"/>
        <v>4</v>
      </c>
      <c r="E11" s="10">
        <f t="shared" si="2"/>
        <v>0</v>
      </c>
      <c r="F11" s="12"/>
      <c r="G11" s="10">
        <f t="shared" si="3"/>
        <v>0</v>
      </c>
      <c r="H11" s="10">
        <f t="shared" si="4"/>
        <v>4</v>
      </c>
      <c r="I11" s="12"/>
      <c r="J11" s="37">
        <f t="shared" si="5"/>
        <v>4</v>
      </c>
      <c r="K11" s="12"/>
      <c r="L11">
        <v>13</v>
      </c>
      <c r="M11" s="8">
        <f t="shared" si="6"/>
        <v>12.5</v>
      </c>
      <c r="N11" s="12"/>
      <c r="O11" s="10">
        <f t="shared" si="7"/>
        <v>12.5</v>
      </c>
      <c r="P11" s="10">
        <f t="shared" si="8"/>
        <v>12.5</v>
      </c>
      <c r="Q11" s="12"/>
      <c r="R11" s="10">
        <f t="shared" si="9"/>
        <v>12.5</v>
      </c>
      <c r="S11" s="10">
        <f t="shared" si="10"/>
        <v>12.5</v>
      </c>
      <c r="T11" s="12"/>
      <c r="U11" s="37">
        <f t="shared" si="11"/>
        <v>12.5</v>
      </c>
      <c r="W11">
        <v>3</v>
      </c>
      <c r="Y11">
        <v>4</v>
      </c>
      <c r="Z11">
        <v>6</v>
      </c>
      <c r="AA11">
        <f t="shared" si="12"/>
        <v>10</v>
      </c>
    </row>
    <row r="12" spans="1:27">
      <c r="A12">
        <v>12</v>
      </c>
      <c r="B12" s="8">
        <f t="shared" si="0"/>
        <v>4</v>
      </c>
      <c r="C12" s="12"/>
      <c r="D12" s="10">
        <f t="shared" si="1"/>
        <v>4</v>
      </c>
      <c r="E12" s="10">
        <f t="shared" si="2"/>
        <v>0</v>
      </c>
      <c r="F12" s="12"/>
      <c r="G12" s="10">
        <f t="shared" si="3"/>
        <v>0</v>
      </c>
      <c r="H12" s="10">
        <f t="shared" si="4"/>
        <v>4</v>
      </c>
      <c r="I12" s="12"/>
      <c r="J12" s="37">
        <f t="shared" si="5"/>
        <v>4</v>
      </c>
      <c r="K12" s="12"/>
      <c r="L12">
        <v>12</v>
      </c>
      <c r="M12" s="8">
        <f t="shared" si="6"/>
        <v>11.5</v>
      </c>
      <c r="N12" s="12"/>
      <c r="O12" s="10">
        <f t="shared" si="7"/>
        <v>11.5</v>
      </c>
      <c r="P12" s="10">
        <f t="shared" si="8"/>
        <v>11.5</v>
      </c>
      <c r="Q12" s="12"/>
      <c r="R12" s="10">
        <f t="shared" si="9"/>
        <v>11.5</v>
      </c>
      <c r="S12" s="10">
        <f t="shared" si="10"/>
        <v>11.5</v>
      </c>
      <c r="T12" s="12"/>
      <c r="U12" s="37">
        <f t="shared" si="11"/>
        <v>11.5</v>
      </c>
      <c r="W12">
        <v>4</v>
      </c>
      <c r="X12">
        <v>6</v>
      </c>
      <c r="Y12">
        <v>4</v>
      </c>
      <c r="AA12">
        <f t="shared" si="12"/>
        <v>10</v>
      </c>
    </row>
    <row r="13" spans="1:27">
      <c r="A13">
        <v>11</v>
      </c>
      <c r="B13" s="68">
        <f t="shared" si="0"/>
        <v>4</v>
      </c>
      <c r="C13" s="69"/>
      <c r="D13" s="70">
        <f t="shared" si="1"/>
        <v>4</v>
      </c>
      <c r="E13" s="70">
        <f t="shared" si="2"/>
        <v>0</v>
      </c>
      <c r="F13" s="69"/>
      <c r="G13" s="70">
        <f t="shared" si="3"/>
        <v>0</v>
      </c>
      <c r="H13" s="70">
        <f t="shared" si="4"/>
        <v>4</v>
      </c>
      <c r="I13" s="69"/>
      <c r="J13" s="71">
        <f t="shared" si="5"/>
        <v>4</v>
      </c>
      <c r="K13" s="69"/>
      <c r="L13" s="72">
        <v>11</v>
      </c>
      <c r="M13" s="68">
        <f t="shared" si="6"/>
        <v>10.5</v>
      </c>
      <c r="N13" s="69"/>
      <c r="O13" s="70">
        <f t="shared" si="7"/>
        <v>10.5</v>
      </c>
      <c r="P13" s="70">
        <f t="shared" si="8"/>
        <v>10.5</v>
      </c>
      <c r="Q13" s="69"/>
      <c r="R13" s="70">
        <f t="shared" si="9"/>
        <v>10.5</v>
      </c>
      <c r="S13" s="70">
        <f t="shared" si="10"/>
        <v>10.5</v>
      </c>
      <c r="T13" s="69"/>
      <c r="U13" s="71">
        <f t="shared" si="11"/>
        <v>10.5</v>
      </c>
      <c r="V13" s="72"/>
      <c r="W13" s="72"/>
      <c r="Y13">
        <v>2</v>
      </c>
      <c r="Z13">
        <v>6</v>
      </c>
      <c r="AA13">
        <f t="shared" si="12"/>
        <v>8</v>
      </c>
    </row>
    <row r="14" spans="1:27">
      <c r="A14">
        <v>10</v>
      </c>
      <c r="B14" s="68">
        <f t="shared" si="0"/>
        <v>4</v>
      </c>
      <c r="C14" s="69"/>
      <c r="D14" s="70">
        <f t="shared" si="1"/>
        <v>4</v>
      </c>
      <c r="E14" s="70">
        <f t="shared" si="2"/>
        <v>0</v>
      </c>
      <c r="F14" s="69"/>
      <c r="G14" s="70">
        <f t="shared" si="3"/>
        <v>0</v>
      </c>
      <c r="H14" s="70">
        <f t="shared" si="4"/>
        <v>4</v>
      </c>
      <c r="I14" s="69"/>
      <c r="J14" s="71">
        <f t="shared" si="5"/>
        <v>4</v>
      </c>
      <c r="K14" s="69"/>
      <c r="L14" s="72">
        <v>10</v>
      </c>
      <c r="M14" s="68">
        <f t="shared" si="6"/>
        <v>9.5</v>
      </c>
      <c r="N14" s="69"/>
      <c r="O14" s="70">
        <f t="shared" si="7"/>
        <v>9.5</v>
      </c>
      <c r="P14" s="70">
        <f t="shared" si="8"/>
        <v>9.5</v>
      </c>
      <c r="Q14" s="69"/>
      <c r="R14" s="70">
        <f t="shared" si="9"/>
        <v>9.5</v>
      </c>
      <c r="S14" s="70">
        <f t="shared" si="10"/>
        <v>9.5</v>
      </c>
      <c r="T14" s="69"/>
      <c r="U14" s="71">
        <f t="shared" si="11"/>
        <v>9.5</v>
      </c>
      <c r="V14" s="72"/>
      <c r="W14" s="72">
        <v>5</v>
      </c>
      <c r="X14">
        <v>6</v>
      </c>
      <c r="Y14">
        <v>6</v>
      </c>
      <c r="Z14">
        <v>6</v>
      </c>
      <c r="AA14">
        <f>SUM(X14:Z14)</f>
        <v>18</v>
      </c>
    </row>
    <row r="15" spans="1:27">
      <c r="A15">
        <v>9</v>
      </c>
      <c r="B15" s="68">
        <f t="shared" si="0"/>
        <v>4</v>
      </c>
      <c r="C15" s="69"/>
      <c r="D15" s="70">
        <f t="shared" si="1"/>
        <v>4</v>
      </c>
      <c r="E15" s="70">
        <f t="shared" si="2"/>
        <v>0</v>
      </c>
      <c r="F15" s="69"/>
      <c r="G15" s="70">
        <f t="shared" si="3"/>
        <v>0</v>
      </c>
      <c r="H15" s="70">
        <f t="shared" si="4"/>
        <v>4</v>
      </c>
      <c r="I15" s="69"/>
      <c r="J15" s="71">
        <f t="shared" si="5"/>
        <v>4</v>
      </c>
      <c r="K15" s="69"/>
      <c r="L15" s="72">
        <v>9</v>
      </c>
      <c r="M15" s="68">
        <f t="shared" si="6"/>
        <v>8.5</v>
      </c>
      <c r="N15" s="69"/>
      <c r="O15" s="70">
        <f t="shared" si="7"/>
        <v>8.5</v>
      </c>
      <c r="P15" s="70">
        <f t="shared" si="8"/>
        <v>8.5</v>
      </c>
      <c r="Q15" s="69"/>
      <c r="R15" s="70">
        <f t="shared" si="9"/>
        <v>8.5</v>
      </c>
      <c r="S15" s="70">
        <f t="shared" si="10"/>
        <v>8.5</v>
      </c>
      <c r="T15" s="69"/>
      <c r="U15" s="71">
        <f t="shared" si="11"/>
        <v>8.5</v>
      </c>
      <c r="V15" s="72"/>
      <c r="W15" s="72">
        <v>6</v>
      </c>
      <c r="X15">
        <v>6</v>
      </c>
      <c r="Y15">
        <v>6</v>
      </c>
      <c r="AA15">
        <f>SUM(X15:Z15)</f>
        <v>12</v>
      </c>
    </row>
    <row r="16" spans="1:27" s="78" customFormat="1">
      <c r="A16" s="78">
        <v>8</v>
      </c>
      <c r="B16" s="68">
        <f t="shared" si="0"/>
        <v>4</v>
      </c>
      <c r="C16" s="69"/>
      <c r="D16" s="70">
        <f t="shared" si="1"/>
        <v>4</v>
      </c>
      <c r="E16" s="70">
        <f t="shared" si="2"/>
        <v>0</v>
      </c>
      <c r="F16" s="69"/>
      <c r="G16" s="70">
        <f t="shared" si="3"/>
        <v>0</v>
      </c>
      <c r="H16" s="70">
        <f t="shared" si="4"/>
        <v>4</v>
      </c>
      <c r="I16" s="69"/>
      <c r="J16" s="71">
        <f t="shared" si="5"/>
        <v>4</v>
      </c>
      <c r="K16" s="69"/>
      <c r="L16" s="72">
        <v>8</v>
      </c>
      <c r="M16" s="68">
        <f t="shared" si="6"/>
        <v>7.5</v>
      </c>
      <c r="N16" s="69"/>
      <c r="O16" s="70">
        <f t="shared" si="7"/>
        <v>7.5</v>
      </c>
      <c r="P16" s="70">
        <f t="shared" si="8"/>
        <v>7.5</v>
      </c>
      <c r="Q16" s="69"/>
      <c r="R16" s="70">
        <f t="shared" si="9"/>
        <v>7.5</v>
      </c>
      <c r="S16" s="70">
        <f t="shared" si="10"/>
        <v>7.5</v>
      </c>
      <c r="T16" s="69"/>
      <c r="U16" s="71">
        <f t="shared" si="11"/>
        <v>7.5</v>
      </c>
      <c r="V16" s="72"/>
      <c r="W16" s="72"/>
    </row>
    <row r="17" spans="1:33" s="78" customFormat="1">
      <c r="A17" s="78">
        <v>7</v>
      </c>
      <c r="B17" s="68">
        <f t="shared" si="0"/>
        <v>4</v>
      </c>
      <c r="C17" s="69"/>
      <c r="D17" s="70">
        <f t="shared" si="1"/>
        <v>4</v>
      </c>
      <c r="E17" s="70">
        <f t="shared" si="2"/>
        <v>0</v>
      </c>
      <c r="F17" s="69"/>
      <c r="G17" s="70">
        <f t="shared" si="3"/>
        <v>0</v>
      </c>
      <c r="H17" s="70">
        <f t="shared" si="4"/>
        <v>4</v>
      </c>
      <c r="I17" s="69"/>
      <c r="J17" s="71">
        <f t="shared" si="5"/>
        <v>4</v>
      </c>
      <c r="K17" s="69"/>
      <c r="L17" s="72">
        <v>7</v>
      </c>
      <c r="M17" s="68">
        <f t="shared" si="6"/>
        <v>6.5</v>
      </c>
      <c r="N17" s="69"/>
      <c r="O17" s="70">
        <f t="shared" si="7"/>
        <v>6.5</v>
      </c>
      <c r="P17" s="70">
        <f t="shared" si="8"/>
        <v>6.5</v>
      </c>
      <c r="Q17" s="69"/>
      <c r="R17" s="70">
        <f t="shared" si="9"/>
        <v>6.5</v>
      </c>
      <c r="S17" s="70">
        <f t="shared" si="10"/>
        <v>6.5</v>
      </c>
      <c r="T17" s="69"/>
      <c r="U17" s="71">
        <f t="shared" si="11"/>
        <v>6.5</v>
      </c>
      <c r="V17" s="72"/>
      <c r="W17" s="72"/>
    </row>
    <row r="18" spans="1:33" s="78" customFormat="1">
      <c r="A18" s="78">
        <v>6</v>
      </c>
      <c r="B18" s="68">
        <f>IMABS(((($D$5*$H$5)+($H$3*$D$2))/2)-((2*$C$24)-1)*($H$3+($H$5/2)))</f>
        <v>4</v>
      </c>
      <c r="C18" s="69"/>
      <c r="D18" s="70">
        <f t="shared" si="1"/>
        <v>4</v>
      </c>
      <c r="E18" s="70">
        <f t="shared" si="2"/>
        <v>0</v>
      </c>
      <c r="F18" s="69"/>
      <c r="G18" s="70">
        <f t="shared" si="3"/>
        <v>0</v>
      </c>
      <c r="H18" s="70">
        <f t="shared" si="4"/>
        <v>4</v>
      </c>
      <c r="I18" s="69"/>
      <c r="J18" s="71">
        <f t="shared" si="5"/>
        <v>4</v>
      </c>
      <c r="K18" s="69"/>
      <c r="L18" s="72">
        <v>6</v>
      </c>
      <c r="M18" s="68">
        <f t="shared" si="6"/>
        <v>5.5</v>
      </c>
      <c r="N18" s="69"/>
      <c r="O18" s="70">
        <f t="shared" si="7"/>
        <v>5.5</v>
      </c>
      <c r="P18" s="70">
        <f t="shared" si="8"/>
        <v>5.5</v>
      </c>
      <c r="Q18" s="69"/>
      <c r="R18" s="70">
        <f t="shared" si="9"/>
        <v>5.5</v>
      </c>
      <c r="S18" s="70">
        <f t="shared" si="10"/>
        <v>5.5</v>
      </c>
      <c r="T18" s="69"/>
      <c r="U18" s="71">
        <f t="shared" si="11"/>
        <v>5.5</v>
      </c>
      <c r="V18" s="72"/>
      <c r="W18" s="72"/>
    </row>
    <row r="19" spans="1:33" s="78" customFormat="1">
      <c r="A19" s="78">
        <v>5</v>
      </c>
      <c r="B19" s="68">
        <f>IMABS(((($D$5*$H$5)+($H$3*$D$2))/2)-((2*$C$24)-1)*($H$3+($H$5/2)))</f>
        <v>4</v>
      </c>
      <c r="C19" s="69"/>
      <c r="D19" s="70">
        <f t="shared" si="1"/>
        <v>4</v>
      </c>
      <c r="E19" s="70">
        <f t="shared" si="2"/>
        <v>0</v>
      </c>
      <c r="F19" s="69"/>
      <c r="G19" s="70">
        <f t="shared" si="3"/>
        <v>0</v>
      </c>
      <c r="H19" s="70">
        <f t="shared" si="4"/>
        <v>4</v>
      </c>
      <c r="I19" s="69"/>
      <c r="J19" s="71">
        <f t="shared" si="5"/>
        <v>4</v>
      </c>
      <c r="K19" s="69"/>
      <c r="L19" s="72">
        <v>5</v>
      </c>
      <c r="M19" s="68">
        <f t="shared" si="6"/>
        <v>4.5</v>
      </c>
      <c r="N19" s="69"/>
      <c r="O19" s="70">
        <f t="shared" si="7"/>
        <v>4.5</v>
      </c>
      <c r="P19" s="70">
        <f t="shared" si="8"/>
        <v>4.5</v>
      </c>
      <c r="Q19" s="69"/>
      <c r="R19" s="70">
        <f t="shared" si="9"/>
        <v>4.5</v>
      </c>
      <c r="S19" s="70">
        <f t="shared" si="10"/>
        <v>4.5</v>
      </c>
      <c r="T19" s="69"/>
      <c r="U19" s="71">
        <f t="shared" si="11"/>
        <v>4.5</v>
      </c>
      <c r="V19" s="72"/>
      <c r="W19" s="72"/>
    </row>
    <row r="20" spans="1:33" s="78" customFormat="1">
      <c r="A20" s="78">
        <v>4</v>
      </c>
      <c r="B20" s="68">
        <f t="shared" si="0"/>
        <v>4</v>
      </c>
      <c r="C20" s="69"/>
      <c r="D20" s="70">
        <f t="shared" si="1"/>
        <v>4</v>
      </c>
      <c r="E20" s="70">
        <f t="shared" si="2"/>
        <v>0</v>
      </c>
      <c r="F20" s="69"/>
      <c r="G20" s="70">
        <f t="shared" si="3"/>
        <v>0</v>
      </c>
      <c r="H20" s="70">
        <f t="shared" si="4"/>
        <v>4</v>
      </c>
      <c r="I20" s="69"/>
      <c r="J20" s="71">
        <f t="shared" si="5"/>
        <v>4</v>
      </c>
      <c r="K20" s="69"/>
      <c r="L20" s="72">
        <v>4</v>
      </c>
      <c r="M20" s="68">
        <f t="shared" si="6"/>
        <v>3.5</v>
      </c>
      <c r="N20" s="69"/>
      <c r="O20" s="70">
        <f t="shared" si="7"/>
        <v>3.5</v>
      </c>
      <c r="P20" s="70">
        <f t="shared" si="8"/>
        <v>3.5</v>
      </c>
      <c r="Q20" s="69"/>
      <c r="R20" s="70">
        <f t="shared" si="9"/>
        <v>3.5</v>
      </c>
      <c r="S20" s="70">
        <f t="shared" si="10"/>
        <v>3.5</v>
      </c>
      <c r="T20" s="69"/>
      <c r="U20" s="71">
        <f t="shared" si="11"/>
        <v>3.5</v>
      </c>
      <c r="V20" s="72"/>
      <c r="W20" s="72"/>
    </row>
    <row r="21" spans="1:33" s="78" customFormat="1">
      <c r="A21" s="78">
        <v>3</v>
      </c>
      <c r="B21" s="68">
        <f t="shared" si="0"/>
        <v>4</v>
      </c>
      <c r="C21" s="69"/>
      <c r="D21" s="70">
        <f t="shared" si="1"/>
        <v>4</v>
      </c>
      <c r="E21" s="70">
        <f t="shared" si="2"/>
        <v>0</v>
      </c>
      <c r="F21" s="69"/>
      <c r="G21" s="70">
        <f t="shared" si="3"/>
        <v>0</v>
      </c>
      <c r="H21" s="70">
        <f t="shared" si="4"/>
        <v>4</v>
      </c>
      <c r="I21" s="69"/>
      <c r="J21" s="71">
        <f t="shared" si="5"/>
        <v>4</v>
      </c>
      <c r="K21" s="69"/>
      <c r="L21" s="72">
        <v>3</v>
      </c>
      <c r="M21" s="68">
        <f t="shared" si="6"/>
        <v>2.5</v>
      </c>
      <c r="N21" s="69"/>
      <c r="O21" s="70">
        <f t="shared" si="7"/>
        <v>2.5</v>
      </c>
      <c r="P21" s="70">
        <f t="shared" si="8"/>
        <v>2.5</v>
      </c>
      <c r="Q21" s="69"/>
      <c r="R21" s="70">
        <f t="shared" si="9"/>
        <v>2.5</v>
      </c>
      <c r="S21" s="70">
        <f t="shared" si="10"/>
        <v>2.5</v>
      </c>
      <c r="T21" s="69"/>
      <c r="U21" s="71">
        <f t="shared" si="11"/>
        <v>2.5</v>
      </c>
      <c r="V21" s="72"/>
      <c r="W21" s="72"/>
    </row>
    <row r="22" spans="1:33" s="78" customFormat="1">
      <c r="A22" s="78">
        <v>2</v>
      </c>
      <c r="B22" s="68">
        <f t="shared" si="0"/>
        <v>4</v>
      </c>
      <c r="C22" s="69"/>
      <c r="D22" s="70">
        <f t="shared" si="1"/>
        <v>4</v>
      </c>
      <c r="E22" s="70">
        <f t="shared" si="2"/>
        <v>0</v>
      </c>
      <c r="F22" s="69"/>
      <c r="G22" s="70">
        <f t="shared" si="3"/>
        <v>0</v>
      </c>
      <c r="H22" s="70">
        <f t="shared" si="4"/>
        <v>4</v>
      </c>
      <c r="I22" s="69"/>
      <c r="J22" s="71">
        <f t="shared" si="5"/>
        <v>4</v>
      </c>
      <c r="K22" s="69"/>
      <c r="L22" s="72">
        <v>2</v>
      </c>
      <c r="M22" s="68">
        <f t="shared" si="6"/>
        <v>1.5</v>
      </c>
      <c r="N22" s="69"/>
      <c r="O22" s="70">
        <f t="shared" si="7"/>
        <v>1.5</v>
      </c>
      <c r="P22" s="70">
        <f t="shared" si="8"/>
        <v>1.5</v>
      </c>
      <c r="Q22" s="69"/>
      <c r="R22" s="70">
        <f t="shared" si="9"/>
        <v>1.5</v>
      </c>
      <c r="S22" s="70">
        <f t="shared" si="10"/>
        <v>1.5</v>
      </c>
      <c r="T22" s="69"/>
      <c r="U22" s="71">
        <f t="shared" si="11"/>
        <v>1.5</v>
      </c>
      <c r="V22" s="72"/>
      <c r="W22" s="72"/>
    </row>
    <row r="23" spans="1:33" s="78" customFormat="1" ht="15.75" thickBot="1">
      <c r="A23" s="78">
        <v>1</v>
      </c>
      <c r="B23" s="79">
        <f>IMABS(((($D$5*$H$5)+($H$2*$D$2))/2)-((2*$C$24)-1)*($H$2+($H$5/2)))</f>
        <v>3</v>
      </c>
      <c r="C23" s="80"/>
      <c r="D23" s="81">
        <f>IMABS(((($D$5*$H$5)+($H$3*$D$2))/2)-((2*$C$24)-1)*($H$3+($H$5/2)))</f>
        <v>4</v>
      </c>
      <c r="E23" s="81">
        <f>IMABS(((($D$5*$H$5)+($H$3*$D$2))/2)-((2*$F$24)-1)*($H$3+($H$5/2)))</f>
        <v>0</v>
      </c>
      <c r="F23" s="80"/>
      <c r="G23" s="81">
        <f>IMABS(((($D$5*$H$5)+($H$3*$D$2))/2)-((2*$F$24)-1)*($H$3+($H$5/2)))</f>
        <v>0</v>
      </c>
      <c r="H23" s="81">
        <f>IMABS(((($D$5*$H$5)+($H$3*$D$2))/2)-((2*$I$24)-1)*($H$3+($H$5/2)))</f>
        <v>4</v>
      </c>
      <c r="I23" s="80"/>
      <c r="J23" s="82">
        <f>IMABS(((($D$5*$H$5)+($H$3*$D$2))/2)-((2*$I$24)-1)*($H$3+($H$5/2)))</f>
        <v>4</v>
      </c>
      <c r="K23" s="69"/>
      <c r="L23" s="72">
        <v>1</v>
      </c>
      <c r="M23" s="79">
        <f>$H$2*(L23-1/2)</f>
        <v>0.5</v>
      </c>
      <c r="N23" s="80"/>
      <c r="O23" s="81">
        <f>$H$2*(L23-1/2)</f>
        <v>0.5</v>
      </c>
      <c r="P23" s="81">
        <f>$H$2*(L23-1/2)</f>
        <v>0.5</v>
      </c>
      <c r="Q23" s="80"/>
      <c r="R23" s="81">
        <f>$H$2*(L23-1/2)</f>
        <v>0.5</v>
      </c>
      <c r="S23" s="81">
        <f>$H$2*(L23-1/2)</f>
        <v>0.5</v>
      </c>
      <c r="T23" s="80"/>
      <c r="U23" s="82">
        <f>$H$2*(L23-1/2)</f>
        <v>0.5</v>
      </c>
      <c r="V23" s="72"/>
      <c r="W23" s="72"/>
    </row>
    <row r="24" spans="1:33" s="78" customFormat="1">
      <c r="A24" s="78" t="s">
        <v>88</v>
      </c>
      <c r="B24" s="72"/>
      <c r="C24" s="72">
        <v>1</v>
      </c>
      <c r="D24" s="72"/>
      <c r="E24" s="72"/>
      <c r="F24" s="72">
        <v>2</v>
      </c>
      <c r="G24" s="72"/>
      <c r="H24" s="72"/>
      <c r="I24" s="72">
        <v>3</v>
      </c>
      <c r="J24" s="72"/>
      <c r="K24" s="72"/>
      <c r="L24" s="72" t="s">
        <v>88</v>
      </c>
      <c r="M24" s="72">
        <v>1</v>
      </c>
      <c r="N24" s="72"/>
      <c r="O24" s="72">
        <v>2</v>
      </c>
      <c r="P24" s="72">
        <v>3</v>
      </c>
      <c r="Q24" s="72"/>
      <c r="R24" s="72">
        <v>4</v>
      </c>
      <c r="S24" s="72">
        <v>5</v>
      </c>
      <c r="T24" s="72"/>
      <c r="U24" s="72">
        <v>6</v>
      </c>
      <c r="V24" s="72"/>
      <c r="W24" s="72"/>
    </row>
    <row r="25" spans="1:33" s="78" customFormat="1">
      <c r="F25" s="78" t="s">
        <v>77</v>
      </c>
    </row>
    <row r="26" spans="1:33" s="78" customFormat="1"/>
    <row r="28" spans="1:33" ht="15.75" thickBot="1">
      <c r="C28" s="39" t="s">
        <v>85</v>
      </c>
      <c r="D28" s="39"/>
      <c r="N28" s="39" t="s">
        <v>86</v>
      </c>
      <c r="O28" s="39"/>
      <c r="Y28" s="39" t="s">
        <v>87</v>
      </c>
      <c r="Z28" s="39"/>
    </row>
    <row r="29" spans="1:33">
      <c r="B29">
        <v>16</v>
      </c>
      <c r="C29" s="7">
        <f t="shared" ref="C29:C43" si="13">B8+M8+$P$3</f>
        <v>19.5</v>
      </c>
      <c r="D29" s="31"/>
      <c r="E29" s="35">
        <f t="shared" ref="E29:E44" si="14">D8+O8+$P$3</f>
        <v>19.5</v>
      </c>
      <c r="F29" s="35">
        <f t="shared" ref="F29:F44" si="15">E8+P8+$P$3</f>
        <v>15.5</v>
      </c>
      <c r="G29" s="31"/>
      <c r="H29" s="35">
        <f t="shared" ref="H29:H44" si="16">G8+R8+$P$3</f>
        <v>15.5</v>
      </c>
      <c r="I29" s="35">
        <f>H8+S8+$P$3</f>
        <v>19.5</v>
      </c>
      <c r="J29" s="31"/>
      <c r="K29" s="36">
        <f t="shared" ref="K29:K44" si="17">J8+U8+$P$3</f>
        <v>19.5</v>
      </c>
      <c r="M29">
        <v>16</v>
      </c>
      <c r="N29" s="7">
        <f t="shared" ref="N29:N43" si="18">B8+M8+$P$4</f>
        <v>21</v>
      </c>
      <c r="O29" s="31"/>
      <c r="P29" s="35">
        <f t="shared" ref="P29:P44" si="19">D8+O8+$P$4</f>
        <v>21</v>
      </c>
      <c r="Q29" s="35">
        <f t="shared" ref="Q29:Q44" si="20">E8+P8+$P$4</f>
        <v>17</v>
      </c>
      <c r="R29" s="31"/>
      <c r="S29" s="35">
        <f t="shared" ref="S29:S44" si="21">G8+R8+$P$4</f>
        <v>17</v>
      </c>
      <c r="T29" s="35">
        <f t="shared" ref="T29:T44" si="22">H8+S8+$P$4</f>
        <v>21</v>
      </c>
      <c r="U29" s="31"/>
      <c r="V29" s="36">
        <f t="shared" ref="V29:V44" si="23">J8+U8+$P$4</f>
        <v>21</v>
      </c>
      <c r="X29">
        <v>16</v>
      </c>
      <c r="Y29" s="7">
        <f t="shared" ref="Y29:Y43" si="24">B8+M8+$P$5</f>
        <v>22.5</v>
      </c>
      <c r="Z29" s="31"/>
      <c r="AA29" s="35">
        <f t="shared" ref="AA29:AA44" si="25">D8+O8+$P$5</f>
        <v>22.5</v>
      </c>
      <c r="AB29" s="35">
        <f t="shared" ref="AB29:AB44" si="26">E8+P8+$P$5</f>
        <v>18.5</v>
      </c>
      <c r="AC29" s="31"/>
      <c r="AD29" s="35">
        <f t="shared" ref="AD29:AD44" si="27">G8+R8+$P$5</f>
        <v>18.5</v>
      </c>
      <c r="AE29" s="35">
        <f t="shared" ref="AE29:AE44" si="28">H8+S8+$P$5</f>
        <v>22.5</v>
      </c>
      <c r="AF29" s="31"/>
      <c r="AG29" s="36">
        <f t="shared" ref="AG29:AG44" si="29">J8+U8+$P$5</f>
        <v>22.5</v>
      </c>
    </row>
    <row r="30" spans="1:33">
      <c r="B30">
        <v>15</v>
      </c>
      <c r="C30" s="8">
        <f t="shared" si="13"/>
        <v>18.5</v>
      </c>
      <c r="D30" s="12"/>
      <c r="E30" s="10">
        <f t="shared" si="14"/>
        <v>18.5</v>
      </c>
      <c r="F30" s="10">
        <f t="shared" si="15"/>
        <v>14.5</v>
      </c>
      <c r="G30" s="12"/>
      <c r="H30" s="10">
        <f t="shared" si="16"/>
        <v>14.5</v>
      </c>
      <c r="I30" s="10">
        <f t="shared" ref="I30:I44" si="30">H9+S9+$P$3</f>
        <v>18.5</v>
      </c>
      <c r="J30" s="12"/>
      <c r="K30" s="37">
        <f t="shared" si="17"/>
        <v>18.5</v>
      </c>
      <c r="M30">
        <v>15</v>
      </c>
      <c r="N30" s="8">
        <f t="shared" si="18"/>
        <v>20</v>
      </c>
      <c r="O30" s="12"/>
      <c r="P30" s="10">
        <f t="shared" si="19"/>
        <v>20</v>
      </c>
      <c r="Q30" s="10">
        <f t="shared" si="20"/>
        <v>16</v>
      </c>
      <c r="R30" s="12"/>
      <c r="S30" s="10">
        <f t="shared" si="21"/>
        <v>16</v>
      </c>
      <c r="T30" s="10">
        <f t="shared" si="22"/>
        <v>20</v>
      </c>
      <c r="U30" s="12"/>
      <c r="V30" s="37">
        <f t="shared" si="23"/>
        <v>20</v>
      </c>
      <c r="X30">
        <v>15</v>
      </c>
      <c r="Y30" s="8">
        <f t="shared" si="24"/>
        <v>21.5</v>
      </c>
      <c r="Z30" s="12"/>
      <c r="AA30" s="10">
        <f t="shared" si="25"/>
        <v>21.5</v>
      </c>
      <c r="AB30" s="10">
        <f t="shared" si="26"/>
        <v>17.5</v>
      </c>
      <c r="AC30" s="12"/>
      <c r="AD30" s="10">
        <f t="shared" si="27"/>
        <v>17.5</v>
      </c>
      <c r="AE30" s="10">
        <f t="shared" si="28"/>
        <v>21.5</v>
      </c>
      <c r="AF30" s="12"/>
      <c r="AG30" s="37">
        <f t="shared" si="29"/>
        <v>21.5</v>
      </c>
    </row>
    <row r="31" spans="1:33">
      <c r="B31">
        <v>14</v>
      </c>
      <c r="C31" s="8">
        <f t="shared" si="13"/>
        <v>17.5</v>
      </c>
      <c r="D31" s="12"/>
      <c r="E31" s="10">
        <f t="shared" si="14"/>
        <v>17.5</v>
      </c>
      <c r="F31" s="10">
        <f t="shared" si="15"/>
        <v>13.5</v>
      </c>
      <c r="G31" s="12"/>
      <c r="H31" s="10">
        <f t="shared" si="16"/>
        <v>13.5</v>
      </c>
      <c r="I31" s="10">
        <f t="shared" si="30"/>
        <v>17.5</v>
      </c>
      <c r="J31" s="12"/>
      <c r="K31" s="37">
        <f t="shared" si="17"/>
        <v>17.5</v>
      </c>
      <c r="M31">
        <v>14</v>
      </c>
      <c r="N31" s="8">
        <f t="shared" si="18"/>
        <v>19</v>
      </c>
      <c r="O31" s="12"/>
      <c r="P31" s="10">
        <f t="shared" si="19"/>
        <v>19</v>
      </c>
      <c r="Q31" s="10">
        <f t="shared" si="20"/>
        <v>15</v>
      </c>
      <c r="R31" s="12"/>
      <c r="S31" s="10">
        <f t="shared" si="21"/>
        <v>15</v>
      </c>
      <c r="T31" s="10">
        <f t="shared" si="22"/>
        <v>19</v>
      </c>
      <c r="U31" s="12"/>
      <c r="V31" s="37">
        <f t="shared" si="23"/>
        <v>19</v>
      </c>
      <c r="X31">
        <v>14</v>
      </c>
      <c r="Y31" s="8">
        <f t="shared" si="24"/>
        <v>20.5</v>
      </c>
      <c r="Z31" s="12"/>
      <c r="AA31" s="10">
        <f t="shared" si="25"/>
        <v>20.5</v>
      </c>
      <c r="AB31" s="10">
        <f t="shared" si="26"/>
        <v>16.5</v>
      </c>
      <c r="AC31" s="12"/>
      <c r="AD31" s="10">
        <f t="shared" si="27"/>
        <v>16.5</v>
      </c>
      <c r="AE31" s="10">
        <f t="shared" si="28"/>
        <v>20.5</v>
      </c>
      <c r="AF31" s="12"/>
      <c r="AG31" s="37">
        <f t="shared" si="29"/>
        <v>20.5</v>
      </c>
    </row>
    <row r="32" spans="1:33">
      <c r="B32">
        <v>13</v>
      </c>
      <c r="C32" s="8">
        <f t="shared" si="13"/>
        <v>16.5</v>
      </c>
      <c r="D32" s="12"/>
      <c r="E32" s="10">
        <f t="shared" si="14"/>
        <v>16.5</v>
      </c>
      <c r="F32" s="10">
        <f t="shared" si="15"/>
        <v>12.5</v>
      </c>
      <c r="G32" s="12"/>
      <c r="H32" s="10">
        <f t="shared" si="16"/>
        <v>12.5</v>
      </c>
      <c r="I32" s="10">
        <f t="shared" si="30"/>
        <v>16.5</v>
      </c>
      <c r="J32" s="12"/>
      <c r="K32" s="37">
        <f t="shared" si="17"/>
        <v>16.5</v>
      </c>
      <c r="M32">
        <v>13</v>
      </c>
      <c r="N32" s="8">
        <f t="shared" si="18"/>
        <v>18</v>
      </c>
      <c r="O32" s="12"/>
      <c r="P32" s="10">
        <f t="shared" si="19"/>
        <v>18</v>
      </c>
      <c r="Q32" s="10">
        <f t="shared" si="20"/>
        <v>14</v>
      </c>
      <c r="R32" s="12"/>
      <c r="S32" s="10">
        <f t="shared" si="21"/>
        <v>14</v>
      </c>
      <c r="T32" s="10">
        <f t="shared" si="22"/>
        <v>18</v>
      </c>
      <c r="U32" s="12"/>
      <c r="V32" s="37">
        <f t="shared" si="23"/>
        <v>18</v>
      </c>
      <c r="X32">
        <v>13</v>
      </c>
      <c r="Y32" s="8">
        <f t="shared" si="24"/>
        <v>19.5</v>
      </c>
      <c r="Z32" s="12"/>
      <c r="AA32" s="10">
        <f t="shared" si="25"/>
        <v>19.5</v>
      </c>
      <c r="AB32" s="10">
        <f t="shared" si="26"/>
        <v>15.5</v>
      </c>
      <c r="AC32" s="12"/>
      <c r="AD32" s="10">
        <f t="shared" si="27"/>
        <v>15.5</v>
      </c>
      <c r="AE32" s="10">
        <f t="shared" si="28"/>
        <v>19.5</v>
      </c>
      <c r="AF32" s="12"/>
      <c r="AG32" s="37">
        <f t="shared" si="29"/>
        <v>19.5</v>
      </c>
    </row>
    <row r="33" spans="1:33">
      <c r="B33">
        <v>12</v>
      </c>
      <c r="C33" s="8">
        <f t="shared" si="13"/>
        <v>15.5</v>
      </c>
      <c r="D33" s="12"/>
      <c r="E33" s="10">
        <f t="shared" si="14"/>
        <v>15.5</v>
      </c>
      <c r="F33" s="10">
        <f t="shared" si="15"/>
        <v>11.5</v>
      </c>
      <c r="G33" s="12"/>
      <c r="H33" s="10">
        <f t="shared" si="16"/>
        <v>11.5</v>
      </c>
      <c r="I33" s="10">
        <f t="shared" si="30"/>
        <v>15.5</v>
      </c>
      <c r="J33" s="12"/>
      <c r="K33" s="37">
        <f t="shared" si="17"/>
        <v>15.5</v>
      </c>
      <c r="M33">
        <v>12</v>
      </c>
      <c r="N33" s="8">
        <f t="shared" si="18"/>
        <v>17</v>
      </c>
      <c r="O33" s="12"/>
      <c r="P33" s="10">
        <f t="shared" si="19"/>
        <v>17</v>
      </c>
      <c r="Q33" s="10">
        <f t="shared" si="20"/>
        <v>13</v>
      </c>
      <c r="R33" s="12"/>
      <c r="S33" s="10">
        <f t="shared" si="21"/>
        <v>13</v>
      </c>
      <c r="T33" s="10">
        <f t="shared" si="22"/>
        <v>17</v>
      </c>
      <c r="U33" s="12"/>
      <c r="V33" s="37">
        <f t="shared" si="23"/>
        <v>17</v>
      </c>
      <c r="X33">
        <v>12</v>
      </c>
      <c r="Y33" s="8">
        <f t="shared" si="24"/>
        <v>18.5</v>
      </c>
      <c r="Z33" s="12"/>
      <c r="AA33" s="10">
        <f t="shared" si="25"/>
        <v>18.5</v>
      </c>
      <c r="AB33" s="10">
        <f t="shared" si="26"/>
        <v>14.5</v>
      </c>
      <c r="AC33" s="12"/>
      <c r="AD33" s="10">
        <f t="shared" si="27"/>
        <v>14.5</v>
      </c>
      <c r="AE33" s="10">
        <f t="shared" si="28"/>
        <v>18.5</v>
      </c>
      <c r="AF33" s="12"/>
      <c r="AG33" s="37">
        <f t="shared" si="29"/>
        <v>18.5</v>
      </c>
    </row>
    <row r="34" spans="1:33">
      <c r="B34">
        <v>11</v>
      </c>
      <c r="C34" s="8">
        <f t="shared" si="13"/>
        <v>14.5</v>
      </c>
      <c r="D34" s="12"/>
      <c r="E34" s="10">
        <f t="shared" si="14"/>
        <v>14.5</v>
      </c>
      <c r="F34" s="10">
        <f t="shared" si="15"/>
        <v>10.5</v>
      </c>
      <c r="G34" s="12"/>
      <c r="H34" s="10">
        <f t="shared" si="16"/>
        <v>10.5</v>
      </c>
      <c r="I34" s="10">
        <f t="shared" si="30"/>
        <v>14.5</v>
      </c>
      <c r="J34" s="12"/>
      <c r="K34" s="37">
        <f t="shared" si="17"/>
        <v>14.5</v>
      </c>
      <c r="M34">
        <v>11</v>
      </c>
      <c r="N34" s="8">
        <f t="shared" si="18"/>
        <v>16</v>
      </c>
      <c r="O34" s="12"/>
      <c r="P34" s="10">
        <f t="shared" si="19"/>
        <v>16</v>
      </c>
      <c r="Q34" s="10">
        <f t="shared" si="20"/>
        <v>12</v>
      </c>
      <c r="R34" s="12"/>
      <c r="S34" s="10">
        <f t="shared" si="21"/>
        <v>12</v>
      </c>
      <c r="T34" s="10">
        <f t="shared" si="22"/>
        <v>16</v>
      </c>
      <c r="U34" s="12"/>
      <c r="V34" s="37">
        <f t="shared" si="23"/>
        <v>16</v>
      </c>
      <c r="X34">
        <v>11</v>
      </c>
      <c r="Y34" s="8">
        <f t="shared" si="24"/>
        <v>17.5</v>
      </c>
      <c r="Z34" s="12"/>
      <c r="AA34" s="10">
        <f t="shared" si="25"/>
        <v>17.5</v>
      </c>
      <c r="AB34" s="10">
        <f t="shared" si="26"/>
        <v>13.5</v>
      </c>
      <c r="AC34" s="12"/>
      <c r="AD34" s="10">
        <f t="shared" si="27"/>
        <v>13.5</v>
      </c>
      <c r="AE34" s="10">
        <f t="shared" si="28"/>
        <v>17.5</v>
      </c>
      <c r="AF34" s="12"/>
      <c r="AG34" s="37">
        <f t="shared" si="29"/>
        <v>17.5</v>
      </c>
    </row>
    <row r="35" spans="1:33">
      <c r="A35">
        <f>79/3</f>
        <v>26.333333333333332</v>
      </c>
      <c r="B35">
        <v>10</v>
      </c>
      <c r="C35" s="8">
        <f t="shared" si="13"/>
        <v>13.5</v>
      </c>
      <c r="D35" s="12"/>
      <c r="E35" s="10">
        <f t="shared" si="14"/>
        <v>13.5</v>
      </c>
      <c r="F35" s="10">
        <f t="shared" si="15"/>
        <v>9.5</v>
      </c>
      <c r="G35" s="12"/>
      <c r="H35" s="10">
        <f t="shared" si="16"/>
        <v>9.5</v>
      </c>
      <c r="I35" s="10">
        <f t="shared" si="30"/>
        <v>13.5</v>
      </c>
      <c r="J35" s="12"/>
      <c r="K35" s="37">
        <f t="shared" si="17"/>
        <v>13.5</v>
      </c>
      <c r="M35">
        <v>10</v>
      </c>
      <c r="N35" s="8">
        <f t="shared" si="18"/>
        <v>15</v>
      </c>
      <c r="O35" s="12"/>
      <c r="P35" s="10">
        <f t="shared" si="19"/>
        <v>15</v>
      </c>
      <c r="Q35" s="10">
        <f t="shared" si="20"/>
        <v>11</v>
      </c>
      <c r="R35" s="12"/>
      <c r="S35" s="10">
        <f t="shared" si="21"/>
        <v>11</v>
      </c>
      <c r="T35" s="10">
        <f t="shared" si="22"/>
        <v>15</v>
      </c>
      <c r="U35" s="12"/>
      <c r="V35" s="37">
        <f t="shared" si="23"/>
        <v>15</v>
      </c>
      <c r="X35">
        <v>10</v>
      </c>
      <c r="Y35" s="8">
        <f t="shared" si="24"/>
        <v>16.5</v>
      </c>
      <c r="Z35" s="12"/>
      <c r="AA35" s="10">
        <f t="shared" si="25"/>
        <v>16.5</v>
      </c>
      <c r="AB35" s="10">
        <f t="shared" si="26"/>
        <v>12.5</v>
      </c>
      <c r="AC35" s="12"/>
      <c r="AD35" s="10">
        <f t="shared" si="27"/>
        <v>12.5</v>
      </c>
      <c r="AE35" s="10">
        <f t="shared" si="28"/>
        <v>16.5</v>
      </c>
      <c r="AF35" s="12"/>
      <c r="AG35" s="37">
        <f t="shared" si="29"/>
        <v>16.5</v>
      </c>
    </row>
    <row r="36" spans="1:33">
      <c r="B36">
        <v>9</v>
      </c>
      <c r="C36" s="8">
        <f t="shared" si="13"/>
        <v>12.5</v>
      </c>
      <c r="D36" s="12"/>
      <c r="E36" s="10">
        <f t="shared" si="14"/>
        <v>12.5</v>
      </c>
      <c r="F36" s="10">
        <f t="shared" si="15"/>
        <v>8.5</v>
      </c>
      <c r="G36" s="12"/>
      <c r="H36" s="10">
        <f t="shared" si="16"/>
        <v>8.5</v>
      </c>
      <c r="I36" s="10">
        <f t="shared" si="30"/>
        <v>12.5</v>
      </c>
      <c r="J36" s="12"/>
      <c r="K36" s="37">
        <f t="shared" si="17"/>
        <v>12.5</v>
      </c>
      <c r="M36">
        <v>9</v>
      </c>
      <c r="N36" s="8">
        <f t="shared" si="18"/>
        <v>14</v>
      </c>
      <c r="O36" s="12"/>
      <c r="P36" s="10">
        <f t="shared" si="19"/>
        <v>14</v>
      </c>
      <c r="Q36" s="10">
        <f t="shared" si="20"/>
        <v>10</v>
      </c>
      <c r="R36" s="12"/>
      <c r="S36" s="10">
        <f t="shared" si="21"/>
        <v>10</v>
      </c>
      <c r="T36" s="10">
        <f t="shared" si="22"/>
        <v>14</v>
      </c>
      <c r="U36" s="12"/>
      <c r="V36" s="37">
        <f t="shared" si="23"/>
        <v>14</v>
      </c>
      <c r="X36">
        <v>9</v>
      </c>
      <c r="Y36" s="8">
        <f t="shared" si="24"/>
        <v>15.5</v>
      </c>
      <c r="Z36" s="12"/>
      <c r="AA36" s="10">
        <f t="shared" si="25"/>
        <v>15.5</v>
      </c>
      <c r="AB36" s="10">
        <f t="shared" si="26"/>
        <v>11.5</v>
      </c>
      <c r="AC36" s="12"/>
      <c r="AD36" s="10">
        <f t="shared" si="27"/>
        <v>11.5</v>
      </c>
      <c r="AE36" s="10">
        <f t="shared" si="28"/>
        <v>15.5</v>
      </c>
      <c r="AF36" s="12"/>
      <c r="AG36" s="37">
        <f t="shared" si="29"/>
        <v>15.5</v>
      </c>
    </row>
    <row r="37" spans="1:33">
      <c r="B37">
        <v>8</v>
      </c>
      <c r="C37" s="8">
        <f t="shared" si="13"/>
        <v>11.5</v>
      </c>
      <c r="D37" s="12"/>
      <c r="E37" s="10">
        <f t="shared" si="14"/>
        <v>11.5</v>
      </c>
      <c r="F37" s="10">
        <f t="shared" si="15"/>
        <v>7.5</v>
      </c>
      <c r="G37" s="12"/>
      <c r="H37" s="10">
        <f t="shared" si="16"/>
        <v>7.5</v>
      </c>
      <c r="I37" s="10">
        <f t="shared" si="30"/>
        <v>11.5</v>
      </c>
      <c r="J37" s="12"/>
      <c r="K37" s="37">
        <f t="shared" si="17"/>
        <v>11.5</v>
      </c>
      <c r="M37">
        <v>8</v>
      </c>
      <c r="N37" s="8">
        <f t="shared" si="18"/>
        <v>13</v>
      </c>
      <c r="O37" s="12"/>
      <c r="P37" s="10">
        <f t="shared" si="19"/>
        <v>13</v>
      </c>
      <c r="Q37" s="10">
        <f t="shared" si="20"/>
        <v>9</v>
      </c>
      <c r="R37" s="12"/>
      <c r="S37" s="10">
        <f t="shared" si="21"/>
        <v>9</v>
      </c>
      <c r="T37" s="10">
        <f t="shared" si="22"/>
        <v>13</v>
      </c>
      <c r="U37" s="12"/>
      <c r="V37" s="37">
        <f t="shared" si="23"/>
        <v>13</v>
      </c>
      <c r="X37">
        <v>8</v>
      </c>
      <c r="Y37" s="8">
        <f t="shared" si="24"/>
        <v>14.5</v>
      </c>
      <c r="Z37" s="12"/>
      <c r="AA37" s="10">
        <f t="shared" si="25"/>
        <v>14.5</v>
      </c>
      <c r="AB37" s="10">
        <f t="shared" si="26"/>
        <v>10.5</v>
      </c>
      <c r="AC37" s="12"/>
      <c r="AD37" s="10">
        <f t="shared" si="27"/>
        <v>10.5</v>
      </c>
      <c r="AE37" s="10">
        <f t="shared" si="28"/>
        <v>14.5</v>
      </c>
      <c r="AF37" s="12"/>
      <c r="AG37" s="37">
        <f t="shared" si="29"/>
        <v>14.5</v>
      </c>
    </row>
    <row r="38" spans="1:33">
      <c r="A38">
        <f>27+26+26</f>
        <v>79</v>
      </c>
      <c r="B38">
        <v>7</v>
      </c>
      <c r="C38" s="8">
        <f t="shared" si="13"/>
        <v>10.5</v>
      </c>
      <c r="D38" s="12"/>
      <c r="E38" s="10">
        <f t="shared" si="14"/>
        <v>10.5</v>
      </c>
      <c r="F38" s="10">
        <f t="shared" si="15"/>
        <v>6.5</v>
      </c>
      <c r="G38" s="12"/>
      <c r="H38" s="10">
        <f t="shared" si="16"/>
        <v>6.5</v>
      </c>
      <c r="I38" s="10">
        <f t="shared" si="30"/>
        <v>10.5</v>
      </c>
      <c r="J38" s="12"/>
      <c r="K38" s="37">
        <f t="shared" si="17"/>
        <v>10.5</v>
      </c>
      <c r="M38">
        <v>7</v>
      </c>
      <c r="N38" s="8">
        <f t="shared" si="18"/>
        <v>12</v>
      </c>
      <c r="O38" s="12"/>
      <c r="P38" s="10">
        <f t="shared" si="19"/>
        <v>12</v>
      </c>
      <c r="Q38" s="10">
        <f t="shared" si="20"/>
        <v>8</v>
      </c>
      <c r="R38" s="12"/>
      <c r="S38" s="10">
        <f t="shared" si="21"/>
        <v>8</v>
      </c>
      <c r="T38" s="10">
        <f t="shared" si="22"/>
        <v>12</v>
      </c>
      <c r="U38" s="12"/>
      <c r="V38" s="37">
        <f t="shared" si="23"/>
        <v>12</v>
      </c>
      <c r="X38">
        <v>7</v>
      </c>
      <c r="Y38" s="8">
        <f t="shared" si="24"/>
        <v>13.5</v>
      </c>
      <c r="Z38" s="12"/>
      <c r="AA38" s="10">
        <f t="shared" si="25"/>
        <v>13.5</v>
      </c>
      <c r="AB38" s="10">
        <f t="shared" si="26"/>
        <v>9.5</v>
      </c>
      <c r="AC38" s="12"/>
      <c r="AD38" s="10">
        <f t="shared" si="27"/>
        <v>9.5</v>
      </c>
      <c r="AE38" s="10">
        <f t="shared" si="28"/>
        <v>13.5</v>
      </c>
      <c r="AF38" s="12"/>
      <c r="AG38" s="37">
        <f t="shared" si="29"/>
        <v>13.5</v>
      </c>
    </row>
    <row r="39" spans="1:33">
      <c r="B39">
        <v>6</v>
      </c>
      <c r="C39" s="8">
        <f t="shared" si="13"/>
        <v>9.5</v>
      </c>
      <c r="D39" s="12"/>
      <c r="E39" s="10">
        <f t="shared" si="14"/>
        <v>9.5</v>
      </c>
      <c r="F39" s="10">
        <f t="shared" si="15"/>
        <v>5.5</v>
      </c>
      <c r="G39" s="12"/>
      <c r="H39" s="10">
        <f t="shared" si="16"/>
        <v>5.5</v>
      </c>
      <c r="I39" s="10">
        <f t="shared" si="30"/>
        <v>9.5</v>
      </c>
      <c r="J39" s="12"/>
      <c r="K39" s="37">
        <f t="shared" si="17"/>
        <v>9.5</v>
      </c>
      <c r="M39">
        <v>6</v>
      </c>
      <c r="N39" s="8">
        <f t="shared" si="18"/>
        <v>11</v>
      </c>
      <c r="O39" s="12"/>
      <c r="P39" s="10">
        <f t="shared" si="19"/>
        <v>11</v>
      </c>
      <c r="Q39" s="10">
        <f t="shared" si="20"/>
        <v>7</v>
      </c>
      <c r="R39" s="12"/>
      <c r="S39" s="10">
        <f t="shared" si="21"/>
        <v>7</v>
      </c>
      <c r="T39" s="10">
        <f t="shared" si="22"/>
        <v>11</v>
      </c>
      <c r="U39" s="12"/>
      <c r="V39" s="37">
        <f t="shared" si="23"/>
        <v>11</v>
      </c>
      <c r="X39">
        <v>6</v>
      </c>
      <c r="Y39" s="8">
        <f t="shared" si="24"/>
        <v>12.5</v>
      </c>
      <c r="Z39" s="12"/>
      <c r="AA39" s="10">
        <f t="shared" si="25"/>
        <v>12.5</v>
      </c>
      <c r="AB39" s="10">
        <f t="shared" si="26"/>
        <v>8.5</v>
      </c>
      <c r="AC39" s="12"/>
      <c r="AD39" s="10">
        <f t="shared" si="27"/>
        <v>8.5</v>
      </c>
      <c r="AE39" s="10">
        <f t="shared" si="28"/>
        <v>12.5</v>
      </c>
      <c r="AF39" s="12"/>
      <c r="AG39" s="37">
        <f t="shared" si="29"/>
        <v>12.5</v>
      </c>
    </row>
    <row r="40" spans="1:33">
      <c r="A40">
        <f>27/6</f>
        <v>4.5</v>
      </c>
      <c r="B40">
        <v>5</v>
      </c>
      <c r="C40" s="41">
        <f t="shared" si="13"/>
        <v>8.5</v>
      </c>
      <c r="D40" s="42"/>
      <c r="E40" s="43">
        <f t="shared" si="14"/>
        <v>8.5</v>
      </c>
      <c r="F40" s="43">
        <f t="shared" si="15"/>
        <v>4.5</v>
      </c>
      <c r="G40" s="12"/>
      <c r="H40" s="10">
        <f t="shared" si="16"/>
        <v>4.5</v>
      </c>
      <c r="I40" s="10">
        <f t="shared" si="30"/>
        <v>8.5</v>
      </c>
      <c r="J40" s="12"/>
      <c r="K40" s="37">
        <f t="shared" si="17"/>
        <v>8.5</v>
      </c>
      <c r="M40">
        <v>5</v>
      </c>
      <c r="N40" s="8">
        <f t="shared" si="18"/>
        <v>10</v>
      </c>
      <c r="O40" s="12"/>
      <c r="P40" s="10">
        <f t="shared" si="19"/>
        <v>10</v>
      </c>
      <c r="Q40" s="10">
        <f t="shared" si="20"/>
        <v>6</v>
      </c>
      <c r="R40" s="12"/>
      <c r="S40" s="10">
        <f t="shared" si="21"/>
        <v>6</v>
      </c>
      <c r="T40" s="10">
        <f t="shared" si="22"/>
        <v>10</v>
      </c>
      <c r="U40" s="12"/>
      <c r="V40" s="37">
        <f t="shared" si="23"/>
        <v>10</v>
      </c>
      <c r="X40">
        <v>5</v>
      </c>
      <c r="Y40" s="41">
        <f t="shared" si="24"/>
        <v>11.5</v>
      </c>
      <c r="Z40" s="42"/>
      <c r="AA40" s="43">
        <f t="shared" si="25"/>
        <v>11.5</v>
      </c>
      <c r="AB40" s="10">
        <f t="shared" si="26"/>
        <v>7.5</v>
      </c>
      <c r="AC40" s="12"/>
      <c r="AD40" s="10">
        <f t="shared" si="27"/>
        <v>7.5</v>
      </c>
      <c r="AE40" s="10">
        <f t="shared" si="28"/>
        <v>11.5</v>
      </c>
      <c r="AF40" s="12"/>
      <c r="AG40" s="37">
        <f t="shared" si="29"/>
        <v>11.5</v>
      </c>
    </row>
    <row r="41" spans="1:33">
      <c r="B41">
        <v>4</v>
      </c>
      <c r="C41" s="41">
        <f t="shared" si="13"/>
        <v>7.5</v>
      </c>
      <c r="D41" s="42"/>
      <c r="E41" s="43">
        <f t="shared" si="14"/>
        <v>7.5</v>
      </c>
      <c r="F41" s="43">
        <f t="shared" si="15"/>
        <v>3.5</v>
      </c>
      <c r="G41" s="42"/>
      <c r="H41" s="43">
        <f t="shared" si="16"/>
        <v>3.5</v>
      </c>
      <c r="I41" s="43">
        <f t="shared" si="30"/>
        <v>7.5</v>
      </c>
      <c r="J41" s="42"/>
      <c r="K41" s="44">
        <f t="shared" si="17"/>
        <v>7.5</v>
      </c>
      <c r="M41">
        <v>4</v>
      </c>
      <c r="N41" s="41">
        <f t="shared" si="18"/>
        <v>9</v>
      </c>
      <c r="O41" s="42"/>
      <c r="P41" s="43">
        <f t="shared" si="19"/>
        <v>9</v>
      </c>
      <c r="Q41" s="43">
        <f t="shared" si="20"/>
        <v>5</v>
      </c>
      <c r="R41" s="42"/>
      <c r="S41" s="43">
        <f t="shared" si="21"/>
        <v>5</v>
      </c>
      <c r="T41" s="43">
        <f t="shared" si="22"/>
        <v>9</v>
      </c>
      <c r="U41" s="42"/>
      <c r="V41" s="44">
        <f t="shared" si="23"/>
        <v>9</v>
      </c>
      <c r="X41">
        <v>4</v>
      </c>
      <c r="Y41" s="41">
        <f t="shared" si="24"/>
        <v>10.5</v>
      </c>
      <c r="Z41" s="42"/>
      <c r="AA41" s="43">
        <f t="shared" si="25"/>
        <v>10.5</v>
      </c>
      <c r="AB41" s="43">
        <f t="shared" si="26"/>
        <v>6.5</v>
      </c>
      <c r="AC41" s="42"/>
      <c r="AD41" s="43">
        <f t="shared" si="27"/>
        <v>6.5</v>
      </c>
      <c r="AE41" s="43">
        <f t="shared" si="28"/>
        <v>10.5</v>
      </c>
      <c r="AF41" s="42"/>
      <c r="AG41" s="44">
        <f t="shared" si="29"/>
        <v>10.5</v>
      </c>
    </row>
    <row r="42" spans="1:33">
      <c r="B42">
        <v>3</v>
      </c>
      <c r="C42" s="41">
        <f t="shared" si="13"/>
        <v>6.5</v>
      </c>
      <c r="D42" s="42"/>
      <c r="E42" s="43">
        <f t="shared" si="14"/>
        <v>6.5</v>
      </c>
      <c r="F42" s="43">
        <f t="shared" si="15"/>
        <v>2.5</v>
      </c>
      <c r="G42" s="42"/>
      <c r="H42" s="43">
        <f t="shared" si="16"/>
        <v>2.5</v>
      </c>
      <c r="I42" s="43">
        <f t="shared" si="30"/>
        <v>6.5</v>
      </c>
      <c r="J42" s="42"/>
      <c r="K42" s="44">
        <f t="shared" si="17"/>
        <v>6.5</v>
      </c>
      <c r="M42">
        <v>3</v>
      </c>
      <c r="N42" s="41">
        <f t="shared" si="18"/>
        <v>8</v>
      </c>
      <c r="O42" s="42"/>
      <c r="P42" s="43">
        <f t="shared" si="19"/>
        <v>8</v>
      </c>
      <c r="Q42" s="43">
        <f t="shared" si="20"/>
        <v>4</v>
      </c>
      <c r="R42" s="42"/>
      <c r="S42" s="43">
        <f t="shared" si="21"/>
        <v>4</v>
      </c>
      <c r="T42" s="43">
        <f t="shared" si="22"/>
        <v>8</v>
      </c>
      <c r="U42" s="42"/>
      <c r="V42" s="44">
        <f t="shared" si="23"/>
        <v>8</v>
      </c>
      <c r="X42">
        <v>3</v>
      </c>
      <c r="Y42" s="41">
        <f t="shared" si="24"/>
        <v>9.5</v>
      </c>
      <c r="Z42" s="42"/>
      <c r="AA42" s="43">
        <f t="shared" si="25"/>
        <v>9.5</v>
      </c>
      <c r="AB42" s="43">
        <f t="shared" si="26"/>
        <v>5.5</v>
      </c>
      <c r="AC42" s="42"/>
      <c r="AD42" s="43">
        <f t="shared" si="27"/>
        <v>5.5</v>
      </c>
      <c r="AE42" s="43">
        <f t="shared" si="28"/>
        <v>9.5</v>
      </c>
      <c r="AF42" s="42"/>
      <c r="AG42" s="44">
        <f t="shared" si="29"/>
        <v>9.5</v>
      </c>
    </row>
    <row r="43" spans="1:33">
      <c r="B43">
        <v>2</v>
      </c>
      <c r="C43" s="41">
        <f t="shared" si="13"/>
        <v>5.5</v>
      </c>
      <c r="D43" s="42"/>
      <c r="E43" s="43">
        <f t="shared" si="14"/>
        <v>5.5</v>
      </c>
      <c r="F43" s="43">
        <f t="shared" si="15"/>
        <v>1.5</v>
      </c>
      <c r="G43" s="42"/>
      <c r="H43" s="43">
        <f t="shared" si="16"/>
        <v>1.5</v>
      </c>
      <c r="I43" s="43">
        <f t="shared" si="30"/>
        <v>5.5</v>
      </c>
      <c r="J43" s="42"/>
      <c r="K43" s="44">
        <f t="shared" si="17"/>
        <v>5.5</v>
      </c>
      <c r="M43">
        <v>2</v>
      </c>
      <c r="N43" s="41">
        <f t="shared" si="18"/>
        <v>7</v>
      </c>
      <c r="O43" s="42"/>
      <c r="P43" s="43">
        <f t="shared" si="19"/>
        <v>7</v>
      </c>
      <c r="Q43" s="43">
        <f t="shared" si="20"/>
        <v>3</v>
      </c>
      <c r="R43" s="42"/>
      <c r="S43" s="43">
        <f t="shared" si="21"/>
        <v>3</v>
      </c>
      <c r="T43" s="43">
        <f t="shared" si="22"/>
        <v>7</v>
      </c>
      <c r="U43" s="42"/>
      <c r="V43" s="44">
        <f t="shared" si="23"/>
        <v>7</v>
      </c>
      <c r="X43">
        <v>2</v>
      </c>
      <c r="Y43" s="41">
        <f t="shared" si="24"/>
        <v>8.5</v>
      </c>
      <c r="Z43" s="42"/>
      <c r="AA43" s="43">
        <f t="shared" si="25"/>
        <v>8.5</v>
      </c>
      <c r="AB43" s="43">
        <f t="shared" si="26"/>
        <v>4.5</v>
      </c>
      <c r="AC43" s="42"/>
      <c r="AD43" s="43">
        <f t="shared" si="27"/>
        <v>4.5</v>
      </c>
      <c r="AE43" s="43">
        <f t="shared" si="28"/>
        <v>8.5</v>
      </c>
      <c r="AF43" s="42"/>
      <c r="AG43" s="44">
        <f t="shared" si="29"/>
        <v>8.5</v>
      </c>
    </row>
    <row r="44" spans="1:33" ht="15.75" thickBot="1">
      <c r="B44">
        <v>1</v>
      </c>
      <c r="C44" s="45">
        <f>B23+M23+$P$3</f>
        <v>3.5</v>
      </c>
      <c r="D44" s="46"/>
      <c r="E44" s="47">
        <f t="shared" si="14"/>
        <v>4.5</v>
      </c>
      <c r="F44" s="47">
        <f t="shared" si="15"/>
        <v>0.5</v>
      </c>
      <c r="G44" s="46"/>
      <c r="H44" s="47">
        <f t="shared" si="16"/>
        <v>0.5</v>
      </c>
      <c r="I44" s="47">
        <f t="shared" si="30"/>
        <v>4.5</v>
      </c>
      <c r="J44" s="46"/>
      <c r="K44" s="48">
        <f t="shared" si="17"/>
        <v>4.5</v>
      </c>
      <c r="M44">
        <v>1</v>
      </c>
      <c r="N44" s="45">
        <f>B23+M23+$P$4</f>
        <v>5</v>
      </c>
      <c r="O44" s="46"/>
      <c r="P44" s="47">
        <f t="shared" si="19"/>
        <v>6</v>
      </c>
      <c r="Q44" s="47">
        <f t="shared" si="20"/>
        <v>2</v>
      </c>
      <c r="R44" s="46"/>
      <c r="S44" s="47">
        <f t="shared" si="21"/>
        <v>2</v>
      </c>
      <c r="T44" s="47">
        <f t="shared" si="22"/>
        <v>6</v>
      </c>
      <c r="U44" s="46"/>
      <c r="V44" s="48">
        <f t="shared" si="23"/>
        <v>6</v>
      </c>
      <c r="X44">
        <v>1</v>
      </c>
      <c r="Y44" s="45">
        <f>B23+M23+$P$5</f>
        <v>6.5</v>
      </c>
      <c r="Z44" s="46"/>
      <c r="AA44" s="47">
        <f t="shared" si="25"/>
        <v>7.5</v>
      </c>
      <c r="AB44" s="47">
        <f t="shared" si="26"/>
        <v>3.5</v>
      </c>
      <c r="AC44" s="46"/>
      <c r="AD44" s="47">
        <f t="shared" si="27"/>
        <v>3.5</v>
      </c>
      <c r="AE44" s="47">
        <f t="shared" si="28"/>
        <v>7.5</v>
      </c>
      <c r="AF44" s="46"/>
      <c r="AG44" s="48">
        <f t="shared" si="29"/>
        <v>7.5</v>
      </c>
    </row>
    <row r="45" spans="1:33">
      <c r="B45" t="s">
        <v>88</v>
      </c>
      <c r="D45">
        <v>1</v>
      </c>
      <c r="G45">
        <v>2</v>
      </c>
      <c r="J45">
        <v>3</v>
      </c>
      <c r="O45">
        <v>1</v>
      </c>
      <c r="R45">
        <v>2</v>
      </c>
      <c r="U45">
        <v>3</v>
      </c>
      <c r="Z45">
        <v>1</v>
      </c>
      <c r="AC45">
        <v>2</v>
      </c>
      <c r="AF45">
        <v>3</v>
      </c>
    </row>
    <row r="46" spans="1:33">
      <c r="G46" t="s">
        <v>77</v>
      </c>
      <c r="R46" t="s">
        <v>77</v>
      </c>
      <c r="AC46" t="s">
        <v>77</v>
      </c>
    </row>
    <row r="47" spans="1:33">
      <c r="C47" t="s">
        <v>89</v>
      </c>
      <c r="D47">
        <f>SUM(C29:K44)</f>
        <v>1023</v>
      </c>
      <c r="N47" t="s">
        <v>90</v>
      </c>
      <c r="O47">
        <f>SUM(N29:V44)</f>
        <v>1167</v>
      </c>
      <c r="Y47" t="s">
        <v>89</v>
      </c>
      <c r="Z47">
        <f>SUM(Y29:AG44)</f>
        <v>1311</v>
      </c>
    </row>
  </sheetData>
  <mergeCells count="1">
    <mergeCell ref="F5:G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21"/>
  <sheetViews>
    <sheetView topLeftCell="A4" zoomScale="85" zoomScaleNormal="85" workbookViewId="0">
      <selection activeCell="K28" sqref="K28:K30"/>
    </sheetView>
  </sheetViews>
  <sheetFormatPr defaultRowHeight="12.75"/>
  <cols>
    <col min="1" max="1" width="9.140625" style="50"/>
    <col min="2" max="2" width="12.42578125" style="50" customWidth="1"/>
    <col min="3" max="5" width="9.140625" style="50"/>
    <col min="6" max="6" width="12.85546875" style="50" customWidth="1"/>
    <col min="7" max="11" width="9.140625" style="50"/>
    <col min="12" max="12" width="10" style="50" bestFit="1" customWidth="1"/>
    <col min="13" max="16384" width="9.140625" style="50"/>
  </cols>
  <sheetData>
    <row r="1" spans="1:20" ht="33.75" customHeight="1" thickBot="1">
      <c r="B1" s="156" t="s">
        <v>16</v>
      </c>
      <c r="C1" s="156" t="s">
        <v>17</v>
      </c>
      <c r="D1" s="158" t="s">
        <v>21</v>
      </c>
      <c r="E1" s="159"/>
      <c r="F1" s="159"/>
      <c r="G1" s="160"/>
      <c r="H1" s="20" t="s">
        <v>22</v>
      </c>
      <c r="I1" s="3" t="s">
        <v>19</v>
      </c>
      <c r="J1" s="4" t="s">
        <v>18</v>
      </c>
      <c r="K1" s="4" t="s">
        <v>20</v>
      </c>
      <c r="L1" s="19"/>
      <c r="M1" s="19"/>
      <c r="N1" s="51"/>
    </row>
    <row r="2" spans="1:20" ht="13.5" thickBot="1">
      <c r="B2" s="157"/>
      <c r="C2" s="157"/>
      <c r="D2" s="5" t="s">
        <v>0</v>
      </c>
      <c r="E2" s="5" t="s">
        <v>1</v>
      </c>
      <c r="F2" s="5" t="s">
        <v>2</v>
      </c>
      <c r="G2" s="5" t="s">
        <v>3</v>
      </c>
      <c r="H2" s="6" t="s">
        <v>4</v>
      </c>
      <c r="I2" s="5" t="s">
        <v>5</v>
      </c>
      <c r="J2" s="5" t="s">
        <v>6</v>
      </c>
      <c r="K2" s="5" t="s">
        <v>7</v>
      </c>
      <c r="L2" s="15"/>
      <c r="M2" s="15"/>
    </row>
    <row r="3" spans="1:20">
      <c r="B3" s="52">
        <v>1</v>
      </c>
      <c r="C3" s="9" t="s">
        <v>8</v>
      </c>
      <c r="D3" s="53">
        <v>27</v>
      </c>
      <c r="E3" s="53">
        <v>38</v>
      </c>
      <c r="F3" s="53">
        <v>25</v>
      </c>
      <c r="G3" s="54">
        <v>20</v>
      </c>
      <c r="H3" s="54">
        <f>LARGE(D3:G3,1)</f>
        <v>38</v>
      </c>
      <c r="I3" s="54"/>
      <c r="J3" s="9">
        <v>50</v>
      </c>
      <c r="K3" s="55"/>
      <c r="L3" s="56"/>
      <c r="M3" s="56"/>
    </row>
    <row r="4" spans="1:20">
      <c r="B4" s="57">
        <v>2</v>
      </c>
      <c r="C4" s="27" t="s">
        <v>9</v>
      </c>
      <c r="D4" s="58">
        <v>30</v>
      </c>
      <c r="E4" s="58">
        <v>18</v>
      </c>
      <c r="F4" s="58">
        <v>18</v>
      </c>
      <c r="G4" s="58">
        <v>44</v>
      </c>
      <c r="H4" s="58">
        <f t="shared" ref="H4:H5" si="0">LARGE(D4:G4,1)</f>
        <v>44</v>
      </c>
      <c r="I4" s="58"/>
      <c r="J4" s="27">
        <v>10</v>
      </c>
      <c r="K4" s="59"/>
      <c r="L4" s="56"/>
      <c r="M4" s="56"/>
      <c r="N4" s="60"/>
    </row>
    <row r="5" spans="1:20">
      <c r="B5" s="57">
        <v>3</v>
      </c>
      <c r="C5" s="27" t="s">
        <v>10</v>
      </c>
      <c r="D5" s="58">
        <v>9</v>
      </c>
      <c r="E5" s="58">
        <v>20</v>
      </c>
      <c r="F5" s="58">
        <v>0</v>
      </c>
      <c r="G5" s="58">
        <v>15</v>
      </c>
      <c r="H5" s="58">
        <f t="shared" si="0"/>
        <v>20</v>
      </c>
      <c r="I5" s="58"/>
      <c r="J5" s="27">
        <v>25</v>
      </c>
      <c r="K5" s="59"/>
      <c r="L5" s="56"/>
      <c r="M5" s="56"/>
    </row>
    <row r="6" spans="1:20">
      <c r="B6" s="61"/>
      <c r="C6" s="15"/>
      <c r="D6" s="61"/>
      <c r="E6" s="61"/>
      <c r="F6" s="61"/>
      <c r="G6" s="61"/>
      <c r="H6" s="61">
        <f>SUM(H3:H5)</f>
        <v>102</v>
      </c>
      <c r="I6" s="61"/>
      <c r="J6" s="15">
        <f>SUM(J3:J5)</f>
        <v>85</v>
      </c>
      <c r="K6" s="56"/>
      <c r="L6" s="56"/>
      <c r="M6" s="56"/>
      <c r="N6" s="163" t="s">
        <v>97</v>
      </c>
      <c r="O6" s="163"/>
      <c r="P6" s="76" t="s">
        <v>101</v>
      </c>
      <c r="Q6" s="67" t="s">
        <v>99</v>
      </c>
      <c r="R6" s="67" t="s">
        <v>100</v>
      </c>
    </row>
    <row r="7" spans="1:20">
      <c r="A7" s="161" t="s">
        <v>23</v>
      </c>
      <c r="B7" s="161"/>
      <c r="C7" s="23">
        <v>6</v>
      </c>
      <c r="D7" s="61"/>
      <c r="E7" s="161" t="s">
        <v>29</v>
      </c>
      <c r="F7" s="161"/>
      <c r="G7" s="61">
        <v>1</v>
      </c>
      <c r="H7" s="61"/>
      <c r="I7" s="62" t="s">
        <v>73</v>
      </c>
      <c r="J7" s="15">
        <v>0.5</v>
      </c>
      <c r="K7" s="56"/>
      <c r="L7" s="56"/>
      <c r="M7" s="56"/>
      <c r="N7" s="150" t="s">
        <v>32</v>
      </c>
      <c r="O7" s="150"/>
      <c r="P7" s="83">
        <v>79</v>
      </c>
      <c r="Q7" s="77">
        <v>489.01898734177212</v>
      </c>
      <c r="R7" s="77">
        <v>1355.6962025316454</v>
      </c>
    </row>
    <row r="8" spans="1:20">
      <c r="A8" s="162" t="s">
        <v>24</v>
      </c>
      <c r="B8" s="162"/>
      <c r="C8" s="23">
        <v>3</v>
      </c>
      <c r="D8" s="61"/>
      <c r="E8" s="161" t="s">
        <v>30</v>
      </c>
      <c r="F8" s="161"/>
      <c r="G8" s="61">
        <v>1</v>
      </c>
      <c r="H8" s="61"/>
      <c r="I8" s="62" t="s">
        <v>74</v>
      </c>
      <c r="J8" s="15">
        <v>0.2</v>
      </c>
      <c r="K8" s="56"/>
      <c r="L8" s="56"/>
      <c r="M8" s="56"/>
      <c r="N8" s="150" t="s">
        <v>33</v>
      </c>
      <c r="O8" s="150"/>
      <c r="P8" s="58">
        <v>84</v>
      </c>
      <c r="Q8" s="77">
        <v>507.96875</v>
      </c>
      <c r="R8" s="77">
        <v>1394.21875</v>
      </c>
      <c r="S8" s="50" t="s">
        <v>103</v>
      </c>
    </row>
    <row r="9" spans="1:20">
      <c r="A9" s="162" t="s">
        <v>25</v>
      </c>
      <c r="B9" s="162"/>
      <c r="C9" s="63"/>
      <c r="D9" s="61"/>
      <c r="E9" s="161" t="s">
        <v>28</v>
      </c>
      <c r="F9" s="161"/>
      <c r="G9" s="61">
        <v>1.5</v>
      </c>
      <c r="H9" s="61"/>
      <c r="I9" s="61"/>
      <c r="J9" s="15"/>
      <c r="K9" s="56"/>
      <c r="L9" s="56"/>
      <c r="M9" s="56"/>
      <c r="N9" s="150" t="s">
        <v>35</v>
      </c>
      <c r="O9" s="150"/>
      <c r="P9" s="93">
        <v>102</v>
      </c>
      <c r="Q9" s="124">
        <v>458.40909090909093</v>
      </c>
      <c r="R9" s="124">
        <v>1286.2695924764889</v>
      </c>
      <c r="T9" s="50" t="s">
        <v>136</v>
      </c>
    </row>
    <row r="10" spans="1:20">
      <c r="A10" s="50" t="s">
        <v>26</v>
      </c>
      <c r="B10" s="56"/>
      <c r="C10" s="23">
        <v>3</v>
      </c>
      <c r="D10" s="61"/>
      <c r="E10" s="161" t="s">
        <v>27</v>
      </c>
      <c r="F10" s="161"/>
      <c r="G10" s="61">
        <v>1</v>
      </c>
      <c r="H10" s="61"/>
      <c r="I10" s="61"/>
      <c r="J10" s="15"/>
      <c r="K10" s="56"/>
      <c r="L10" s="56"/>
      <c r="M10" s="56"/>
      <c r="N10" s="150" t="s">
        <v>36</v>
      </c>
      <c r="O10" s="150"/>
      <c r="P10" s="93">
        <v>97</v>
      </c>
      <c r="Q10" s="94">
        <v>474.68108831400531</v>
      </c>
      <c r="R10" s="94">
        <v>1309.3421052631579</v>
      </c>
    </row>
    <row r="11" spans="1:20" ht="15.75" customHeight="1">
      <c r="B11" s="56"/>
      <c r="C11" s="13"/>
      <c r="D11" s="61"/>
      <c r="E11" s="61"/>
      <c r="F11" s="61"/>
      <c r="G11" s="61"/>
      <c r="H11" s="61"/>
      <c r="I11" s="61"/>
      <c r="J11" s="15"/>
      <c r="K11" s="56"/>
      <c r="L11" s="56"/>
      <c r="M11" s="56"/>
      <c r="N11" s="150" t="s">
        <v>37</v>
      </c>
      <c r="O11" s="150"/>
      <c r="P11" s="58">
        <v>102</v>
      </c>
      <c r="Q11" s="77">
        <v>506.04066985645932</v>
      </c>
      <c r="R11" s="77">
        <v>1378.6483253588499</v>
      </c>
      <c r="S11" s="50" t="s">
        <v>103</v>
      </c>
    </row>
    <row r="12" spans="1:20" ht="15.75" customHeight="1" thickBot="1">
      <c r="B12" s="64" t="s">
        <v>31</v>
      </c>
      <c r="C12" s="13"/>
      <c r="D12" s="61"/>
      <c r="E12" s="61"/>
      <c r="F12" s="61"/>
      <c r="G12" s="61"/>
      <c r="H12" s="61"/>
      <c r="I12" s="61"/>
      <c r="J12" s="15"/>
      <c r="K12" s="56"/>
      <c r="L12" s="56"/>
      <c r="M12" s="56"/>
      <c r="N12" s="150" t="s">
        <v>39</v>
      </c>
      <c r="O12" s="150"/>
      <c r="P12" s="58">
        <v>102</v>
      </c>
      <c r="Q12" s="84">
        <v>453.19976076555025</v>
      </c>
      <c r="R12" s="84">
        <v>1263.761961722488</v>
      </c>
    </row>
    <row r="13" spans="1:20" ht="15.75" customHeight="1" thickBot="1">
      <c r="B13" s="151" t="s">
        <v>32</v>
      </c>
      <c r="C13" s="152"/>
      <c r="D13" s="61"/>
      <c r="E13" s="151" t="s">
        <v>35</v>
      </c>
      <c r="F13" s="152"/>
      <c r="G13" s="61"/>
      <c r="H13" s="153" t="s">
        <v>38</v>
      </c>
      <c r="I13" s="154"/>
      <c r="J13" s="15" t="s">
        <v>59</v>
      </c>
      <c r="K13" s="56"/>
      <c r="L13" s="56"/>
      <c r="M13" s="56"/>
      <c r="N13" s="150" t="s">
        <v>42</v>
      </c>
      <c r="O13" s="150"/>
      <c r="P13" s="58">
        <v>97</v>
      </c>
      <c r="Q13" s="77">
        <v>568.65298840321145</v>
      </c>
      <c r="R13" s="77">
        <v>1500.5374665477252</v>
      </c>
      <c r="S13" s="50" t="s">
        <v>103</v>
      </c>
    </row>
    <row r="14" spans="1:20" ht="15.75" customHeight="1" thickBot="1">
      <c r="B14" s="151" t="s">
        <v>33</v>
      </c>
      <c r="C14" s="152"/>
      <c r="D14" s="61"/>
      <c r="E14" s="151" t="s">
        <v>36</v>
      </c>
      <c r="F14" s="152"/>
      <c r="G14" s="61"/>
      <c r="H14" s="151" t="s">
        <v>39</v>
      </c>
      <c r="I14" s="152"/>
      <c r="J14" s="15"/>
      <c r="K14" s="56"/>
      <c r="L14" s="56"/>
      <c r="M14" s="56"/>
      <c r="N14" s="150" t="s">
        <v>43</v>
      </c>
      <c r="O14" s="150"/>
      <c r="P14" s="58">
        <v>102</v>
      </c>
      <c r="Q14" s="77">
        <v>609.92946708463955</v>
      </c>
      <c r="R14" s="77">
        <v>1596.2225705329156</v>
      </c>
      <c r="S14" s="50" t="s">
        <v>103</v>
      </c>
    </row>
    <row r="15" spans="1:20" ht="15.75" customHeight="1" thickBot="1">
      <c r="B15" s="153" t="s">
        <v>34</v>
      </c>
      <c r="C15" s="154"/>
      <c r="D15" s="61" t="s">
        <v>59</v>
      </c>
      <c r="E15" s="151" t="s">
        <v>37</v>
      </c>
      <c r="F15" s="152"/>
      <c r="G15" s="61"/>
      <c r="H15" s="153" t="s">
        <v>40</v>
      </c>
      <c r="I15" s="154"/>
      <c r="J15" s="15" t="s">
        <v>59</v>
      </c>
      <c r="K15" s="56"/>
      <c r="L15" s="56"/>
      <c r="M15" s="56"/>
      <c r="N15" s="150" t="s">
        <v>44</v>
      </c>
      <c r="O15" s="150"/>
      <c r="P15" s="58">
        <v>102</v>
      </c>
      <c r="Q15" s="77">
        <v>608.37320574162675</v>
      </c>
      <c r="R15" s="77">
        <v>1593.11004784689</v>
      </c>
      <c r="S15" s="50" t="s">
        <v>103</v>
      </c>
    </row>
    <row r="16" spans="1:20" ht="15.75" customHeight="1" thickBot="1">
      <c r="B16" s="25"/>
      <c r="C16" s="25"/>
      <c r="D16" s="61"/>
      <c r="E16" s="25"/>
      <c r="F16" s="25"/>
      <c r="G16" s="61"/>
      <c r="H16" s="25"/>
      <c r="I16" s="25"/>
      <c r="J16" s="15"/>
      <c r="K16" s="56"/>
      <c r="L16" s="56"/>
      <c r="M16" s="56"/>
      <c r="N16" s="150" t="s">
        <v>45</v>
      </c>
      <c r="O16" s="150"/>
      <c r="P16" s="95">
        <v>84</v>
      </c>
      <c r="Q16" s="96">
        <v>504.84375</v>
      </c>
      <c r="R16" s="96">
        <v>1444.21875</v>
      </c>
      <c r="S16" s="50" t="s">
        <v>103</v>
      </c>
    </row>
    <row r="17" spans="2:21" ht="15.75" customHeight="1" thickBot="1">
      <c r="B17" s="151" t="s">
        <v>42</v>
      </c>
      <c r="C17" s="152"/>
      <c r="D17" s="61"/>
      <c r="E17" s="151" t="s">
        <v>45</v>
      </c>
      <c r="F17" s="152"/>
      <c r="G17" s="61"/>
      <c r="H17" s="151" t="s">
        <v>41</v>
      </c>
      <c r="I17" s="152"/>
      <c r="J17" s="15"/>
      <c r="K17" s="56"/>
      <c r="L17" s="56"/>
      <c r="M17" s="56"/>
      <c r="N17" s="150" t="s">
        <v>41</v>
      </c>
      <c r="O17" s="150"/>
      <c r="P17" s="58">
        <v>102</v>
      </c>
      <c r="Q17" s="77">
        <v>455.56818181818181</v>
      </c>
      <c r="R17" s="77">
        <v>1268.4988038277511</v>
      </c>
      <c r="S17" s="50" t="s">
        <v>103</v>
      </c>
    </row>
    <row r="18" spans="2:21" ht="15.75" customHeight="1" thickBot="1">
      <c r="B18" s="151" t="s">
        <v>43</v>
      </c>
      <c r="C18" s="152"/>
      <c r="D18" s="61"/>
      <c r="E18" s="153" t="s">
        <v>46</v>
      </c>
      <c r="F18" s="154"/>
      <c r="G18" s="61" t="s">
        <v>59</v>
      </c>
      <c r="H18" s="153" t="s">
        <v>48</v>
      </c>
      <c r="I18" s="154"/>
      <c r="J18" s="15" t="s">
        <v>59</v>
      </c>
      <c r="K18" s="56"/>
      <c r="L18" s="56"/>
      <c r="M18" s="56"/>
      <c r="N18" s="150" t="s">
        <v>51</v>
      </c>
      <c r="O18" s="150"/>
      <c r="P18" s="65">
        <v>102</v>
      </c>
      <c r="Q18" s="77">
        <v>615.67583732057415</v>
      </c>
      <c r="R18" s="77">
        <v>1620.1495215311006</v>
      </c>
      <c r="S18" s="50" t="s">
        <v>103</v>
      </c>
    </row>
    <row r="19" spans="2:21" ht="15.75" customHeight="1" thickBot="1">
      <c r="B19" s="151" t="s">
        <v>44</v>
      </c>
      <c r="C19" s="152"/>
      <c r="D19" s="61"/>
      <c r="E19" s="153" t="s">
        <v>47</v>
      </c>
      <c r="F19" s="154"/>
      <c r="G19" s="61" t="s">
        <v>59</v>
      </c>
      <c r="H19" s="153" t="s">
        <v>49</v>
      </c>
      <c r="I19" s="154"/>
      <c r="J19" s="15" t="s">
        <v>59</v>
      </c>
      <c r="K19" s="56"/>
      <c r="L19" s="56"/>
      <c r="M19" s="56"/>
      <c r="N19" s="150" t="s">
        <v>53</v>
      </c>
      <c r="O19" s="150"/>
      <c r="P19" s="58">
        <v>102</v>
      </c>
      <c r="Q19" s="77">
        <v>565.50837320574158</v>
      </c>
      <c r="R19" s="77">
        <v>1498.1758373205739</v>
      </c>
      <c r="S19" s="50" t="s">
        <v>103</v>
      </c>
    </row>
    <row r="20" spans="2:21" ht="15.75" customHeight="1" thickBot="1">
      <c r="B20" s="25"/>
      <c r="C20" s="25"/>
      <c r="D20" s="61"/>
      <c r="E20" s="25"/>
      <c r="F20" s="25"/>
      <c r="G20" s="61"/>
      <c r="H20" s="25"/>
      <c r="I20" s="25"/>
      <c r="J20" s="15"/>
      <c r="K20" s="56"/>
      <c r="L20" s="56"/>
      <c r="M20" s="56"/>
    </row>
    <row r="21" spans="2:21" ht="15.75" customHeight="1" thickBot="1">
      <c r="B21" s="153" t="s">
        <v>50</v>
      </c>
      <c r="C21" s="154"/>
      <c r="D21" s="61" t="s">
        <v>59</v>
      </c>
      <c r="E21" s="151" t="s">
        <v>53</v>
      </c>
      <c r="F21" s="152"/>
      <c r="G21" s="61"/>
      <c r="H21" s="153" t="s">
        <v>56</v>
      </c>
      <c r="I21" s="154"/>
      <c r="J21" s="15" t="s">
        <v>59</v>
      </c>
      <c r="K21" s="56"/>
      <c r="L21" s="56"/>
      <c r="M21" s="56"/>
    </row>
    <row r="22" spans="2:21" ht="15.75" customHeight="1" thickBot="1">
      <c r="B22" s="151" t="s">
        <v>51</v>
      </c>
      <c r="C22" s="152"/>
      <c r="D22" s="61"/>
      <c r="E22" s="153" t="s">
        <v>54</v>
      </c>
      <c r="F22" s="154"/>
      <c r="G22" s="61" t="s">
        <v>59</v>
      </c>
      <c r="H22" s="153" t="s">
        <v>57</v>
      </c>
      <c r="I22" s="154"/>
      <c r="J22" s="15" t="s">
        <v>59</v>
      </c>
      <c r="K22" s="56"/>
      <c r="L22" s="56"/>
      <c r="M22" s="56"/>
    </row>
    <row r="23" spans="2:21" ht="15.75" customHeight="1" thickBot="1">
      <c r="B23" s="153" t="s">
        <v>52</v>
      </c>
      <c r="C23" s="154"/>
      <c r="D23" s="61" t="s">
        <v>59</v>
      </c>
      <c r="E23" s="153" t="s">
        <v>55</v>
      </c>
      <c r="F23" s="154"/>
      <c r="G23" s="61" t="s">
        <v>59</v>
      </c>
      <c r="H23" s="153" t="s">
        <v>58</v>
      </c>
      <c r="I23" s="154"/>
      <c r="J23" s="15" t="s">
        <v>59</v>
      </c>
      <c r="K23" s="56"/>
      <c r="L23" s="56"/>
      <c r="M23" s="56"/>
    </row>
    <row r="24" spans="2:21">
      <c r="B24" s="25"/>
      <c r="C24" s="25"/>
      <c r="D24" s="61"/>
      <c r="E24" s="25"/>
      <c r="F24" s="25"/>
      <c r="G24" s="61"/>
      <c r="H24" s="25"/>
      <c r="I24" s="25"/>
      <c r="J24" s="15"/>
      <c r="K24" s="56"/>
      <c r="L24" s="56"/>
      <c r="M24" s="56"/>
    </row>
    <row r="26" spans="2:21" ht="38.25" customHeight="1">
      <c r="B26" s="137" t="s">
        <v>16</v>
      </c>
      <c r="C26" s="137" t="s">
        <v>17</v>
      </c>
      <c r="D26" s="138" t="s">
        <v>11</v>
      </c>
      <c r="E26" s="138"/>
      <c r="F26" s="138"/>
      <c r="G26" s="138"/>
      <c r="H26" s="28" t="s">
        <v>12</v>
      </c>
      <c r="I26" s="28" t="s">
        <v>14</v>
      </c>
      <c r="J26" s="29" t="s">
        <v>60</v>
      </c>
      <c r="K26" s="11" t="s">
        <v>92</v>
      </c>
      <c r="L26" s="11" t="s">
        <v>93</v>
      </c>
      <c r="M26" s="27" t="s">
        <v>94</v>
      </c>
      <c r="N26" s="27" t="s">
        <v>84</v>
      </c>
      <c r="O26" s="27" t="s">
        <v>91</v>
      </c>
      <c r="P26" s="11" t="s">
        <v>98</v>
      </c>
      <c r="Q26" s="11" t="s">
        <v>99</v>
      </c>
      <c r="R26" s="11" t="s">
        <v>100</v>
      </c>
    </row>
    <row r="27" spans="2:21">
      <c r="B27" s="137"/>
      <c r="C27" s="137"/>
      <c r="D27" s="27" t="s">
        <v>0</v>
      </c>
      <c r="E27" s="27" t="s">
        <v>1</v>
      </c>
      <c r="F27" s="27" t="s">
        <v>2</v>
      </c>
      <c r="G27" s="27" t="s">
        <v>3</v>
      </c>
      <c r="H27" s="27"/>
      <c r="I27" s="27"/>
      <c r="J27" s="26"/>
      <c r="K27" s="26" t="s">
        <v>96</v>
      </c>
      <c r="L27" s="26" t="s">
        <v>96</v>
      </c>
      <c r="M27" s="26" t="s">
        <v>96</v>
      </c>
      <c r="N27" s="26" t="s">
        <v>96</v>
      </c>
      <c r="O27" s="58" t="s">
        <v>95</v>
      </c>
      <c r="P27" s="50" t="s">
        <v>102</v>
      </c>
      <c r="Q27" s="26" t="s">
        <v>96</v>
      </c>
      <c r="R27" s="58" t="s">
        <v>95</v>
      </c>
    </row>
    <row r="28" spans="2:21">
      <c r="B28" s="58">
        <v>1</v>
      </c>
      <c r="C28" s="27" t="s">
        <v>8</v>
      </c>
      <c r="D28" s="85">
        <v>27</v>
      </c>
      <c r="E28" s="85">
        <v>38</v>
      </c>
      <c r="F28" s="85">
        <v>25</v>
      </c>
      <c r="G28" s="85">
        <v>20</v>
      </c>
      <c r="H28" s="141">
        <v>79</v>
      </c>
      <c r="I28" s="144">
        <v>85</v>
      </c>
      <c r="J28" s="144">
        <v>1</v>
      </c>
      <c r="K28" s="147">
        <f>(3*SUM(Distancia!B20:J23))+SUM(Distancia!B19:E19)+(2*(SUM(Distancia!B19:D19)))</f>
        <v>213</v>
      </c>
      <c r="L28" s="144">
        <f>(3*SUM(Distancia!M20:U23))+(2*(SUM(Distancia!M19:O19)))+SUM(Distancia!M19:P19)</f>
        <v>175.5</v>
      </c>
      <c r="M28" s="147">
        <f>27*0+26*1.5+26*3</f>
        <v>117</v>
      </c>
      <c r="N28" s="147">
        <f>SUM(K28:M30)/H31</f>
        <v>6.3987341772151902</v>
      </c>
      <c r="O28" s="147">
        <f>(((K28+L28)/$J$7)+(M28/$J$8))/H28</f>
        <v>17.240506329113924</v>
      </c>
      <c r="P28" s="164">
        <f>H31</f>
        <v>79</v>
      </c>
      <c r="Q28" s="164">
        <f>N28*I28</f>
        <v>543.89240506329122</v>
      </c>
      <c r="R28" s="164">
        <f>O28*I28</f>
        <v>1465.4430379746834</v>
      </c>
      <c r="S28" s="86"/>
      <c r="T28" s="86"/>
      <c r="U28" s="86"/>
    </row>
    <row r="29" spans="2:21">
      <c r="B29" s="58">
        <v>2</v>
      </c>
      <c r="C29" s="27" t="s">
        <v>9</v>
      </c>
      <c r="D29" s="85">
        <v>30</v>
      </c>
      <c r="E29" s="85">
        <v>18</v>
      </c>
      <c r="F29" s="85">
        <v>18</v>
      </c>
      <c r="G29" s="85">
        <v>44</v>
      </c>
      <c r="H29" s="142"/>
      <c r="I29" s="145"/>
      <c r="J29" s="145"/>
      <c r="K29" s="148"/>
      <c r="L29" s="145"/>
      <c r="M29" s="148"/>
      <c r="N29" s="148"/>
      <c r="O29" s="148"/>
      <c r="P29" s="164"/>
      <c r="Q29" s="164"/>
      <c r="R29" s="164"/>
      <c r="S29" s="86"/>
      <c r="T29" s="86"/>
      <c r="U29" s="86"/>
    </row>
    <row r="30" spans="2:21">
      <c r="B30" s="58">
        <v>3</v>
      </c>
      <c r="C30" s="27" t="s">
        <v>10</v>
      </c>
      <c r="D30" s="85">
        <v>9</v>
      </c>
      <c r="E30" s="85">
        <v>20</v>
      </c>
      <c r="F30" s="85">
        <v>0</v>
      </c>
      <c r="G30" s="85">
        <v>15</v>
      </c>
      <c r="H30" s="143"/>
      <c r="I30" s="146"/>
      <c r="J30" s="146"/>
      <c r="K30" s="149"/>
      <c r="L30" s="146"/>
      <c r="M30" s="149"/>
      <c r="N30" s="149"/>
      <c r="O30" s="149"/>
      <c r="P30" s="164"/>
      <c r="Q30" s="164"/>
      <c r="R30" s="164"/>
      <c r="S30" s="86"/>
      <c r="T30" s="86"/>
      <c r="U30" s="86"/>
    </row>
    <row r="31" spans="2:21">
      <c r="B31" s="140"/>
      <c r="C31" s="140"/>
      <c r="D31" s="87">
        <f>SUM(D28:D30)</f>
        <v>66</v>
      </c>
      <c r="E31" s="87">
        <f t="shared" ref="E31:G31" si="1">SUM(E28:E30)</f>
        <v>76</v>
      </c>
      <c r="F31" s="87">
        <f t="shared" si="1"/>
        <v>43</v>
      </c>
      <c r="G31" s="87">
        <f t="shared" si="1"/>
        <v>79</v>
      </c>
      <c r="H31" s="75">
        <f>SUM(H28:H30)</f>
        <v>79</v>
      </c>
      <c r="I31" s="87"/>
      <c r="J31" s="87"/>
      <c r="K31" s="87"/>
      <c r="L31" s="87"/>
      <c r="M31" s="87"/>
      <c r="N31" s="1"/>
      <c r="O31" s="88"/>
      <c r="P31" s="86"/>
      <c r="Q31" s="86"/>
      <c r="R31" s="86"/>
      <c r="S31" s="86"/>
      <c r="T31" s="86"/>
      <c r="U31" s="86"/>
    </row>
    <row r="32" spans="2:21"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</row>
    <row r="33" spans="2:21" s="56" customFormat="1" ht="25.5">
      <c r="B33" s="137" t="s">
        <v>16</v>
      </c>
      <c r="C33" s="137" t="s">
        <v>17</v>
      </c>
      <c r="D33" s="150" t="s">
        <v>11</v>
      </c>
      <c r="E33" s="150"/>
      <c r="F33" s="150"/>
      <c r="G33" s="150"/>
      <c r="H33" s="89" t="s">
        <v>12</v>
      </c>
      <c r="I33" s="89" t="s">
        <v>14</v>
      </c>
      <c r="J33" s="29" t="s">
        <v>61</v>
      </c>
      <c r="K33" s="90" t="s">
        <v>92</v>
      </c>
      <c r="L33" s="90" t="s">
        <v>93</v>
      </c>
      <c r="M33" s="66" t="s">
        <v>94</v>
      </c>
      <c r="N33" s="66" t="s">
        <v>84</v>
      </c>
      <c r="O33" s="66" t="s">
        <v>91</v>
      </c>
      <c r="P33" s="90" t="s">
        <v>98</v>
      </c>
      <c r="Q33" s="90" t="s">
        <v>99</v>
      </c>
      <c r="R33" s="90" t="s">
        <v>100</v>
      </c>
      <c r="S33" s="87"/>
      <c r="T33" s="87"/>
      <c r="U33" s="87"/>
    </row>
    <row r="34" spans="2:21" s="56" customFormat="1">
      <c r="B34" s="137"/>
      <c r="C34" s="137"/>
      <c r="D34" s="66" t="s">
        <v>0</v>
      </c>
      <c r="E34" s="66" t="s">
        <v>1</v>
      </c>
      <c r="F34" s="66" t="s">
        <v>2</v>
      </c>
      <c r="G34" s="66" t="s">
        <v>3</v>
      </c>
      <c r="H34" s="66" t="s">
        <v>4</v>
      </c>
      <c r="I34" s="66" t="s">
        <v>6</v>
      </c>
      <c r="J34" s="91"/>
      <c r="K34" s="91" t="s">
        <v>96</v>
      </c>
      <c r="L34" s="91" t="s">
        <v>96</v>
      </c>
      <c r="M34" s="91" t="s">
        <v>96</v>
      </c>
      <c r="N34" s="91" t="s">
        <v>96</v>
      </c>
      <c r="O34" s="85" t="s">
        <v>95</v>
      </c>
      <c r="P34" s="90" t="s">
        <v>102</v>
      </c>
      <c r="Q34" s="91" t="s">
        <v>96</v>
      </c>
      <c r="R34" s="85" t="s">
        <v>95</v>
      </c>
      <c r="S34" s="87"/>
      <c r="T34" s="87"/>
      <c r="U34" s="87"/>
    </row>
    <row r="35" spans="2:21" s="56" customFormat="1">
      <c r="B35" s="58">
        <v>1</v>
      </c>
      <c r="C35" s="27" t="s">
        <v>8</v>
      </c>
      <c r="D35" s="85">
        <v>27</v>
      </c>
      <c r="E35" s="85">
        <v>38</v>
      </c>
      <c r="F35" s="85">
        <v>25</v>
      </c>
      <c r="G35" s="85">
        <v>20</v>
      </c>
      <c r="H35" s="155">
        <v>64</v>
      </c>
      <c r="I35" s="150">
        <v>60</v>
      </c>
      <c r="J35" s="150">
        <v>1</v>
      </c>
      <c r="K35" s="165">
        <f>3*(SUM(Distancia!B21:J23))+SUM(Distancia!B20:J20)+(SUM(Distancia!B20:G20))</f>
        <v>165</v>
      </c>
      <c r="L35" s="150">
        <f>3*(SUM(Distancia!M21:U23))+SUM(Distancia!M20:U20)+(SUM(Distancia!M20:R20))</f>
        <v>116</v>
      </c>
      <c r="M35" s="165">
        <f>22*0+21*1.5+21*3</f>
        <v>94.5</v>
      </c>
      <c r="N35" s="165">
        <f>SUM(K35:M36)/H35</f>
        <v>5.8671875</v>
      </c>
      <c r="O35" s="155">
        <f>(((K35+L35)/$J$7)+(M35/$J$8))/H35</f>
        <v>16.1640625</v>
      </c>
      <c r="P35" s="164">
        <f>H38</f>
        <v>84</v>
      </c>
      <c r="Q35" s="164">
        <f>(N35*I35)+(N37*I37)</f>
        <v>562.03125</v>
      </c>
      <c r="R35" s="164">
        <f>O35*I35+O37*I37</f>
        <v>1502.34375</v>
      </c>
      <c r="S35" s="87"/>
      <c r="T35" s="87"/>
      <c r="U35" s="87"/>
    </row>
    <row r="36" spans="2:21" s="56" customFormat="1">
      <c r="B36" s="58">
        <v>2</v>
      </c>
      <c r="C36" s="27" t="s">
        <v>9</v>
      </c>
      <c r="D36" s="85">
        <v>30</v>
      </c>
      <c r="E36" s="85">
        <v>18</v>
      </c>
      <c r="F36" s="85">
        <v>18</v>
      </c>
      <c r="G36" s="85">
        <v>44</v>
      </c>
      <c r="H36" s="155"/>
      <c r="I36" s="150"/>
      <c r="J36" s="150"/>
      <c r="K36" s="165"/>
      <c r="L36" s="150"/>
      <c r="M36" s="165"/>
      <c r="N36" s="165"/>
      <c r="O36" s="155"/>
      <c r="P36" s="164"/>
      <c r="Q36" s="164"/>
      <c r="R36" s="164"/>
      <c r="S36" s="87"/>
      <c r="T36" s="87"/>
      <c r="U36" s="87"/>
    </row>
    <row r="37" spans="2:21" s="56" customFormat="1">
      <c r="B37" s="58">
        <v>3</v>
      </c>
      <c r="C37" s="27" t="s">
        <v>10</v>
      </c>
      <c r="D37" s="85">
        <v>9</v>
      </c>
      <c r="E37" s="85">
        <v>20</v>
      </c>
      <c r="F37" s="85">
        <v>0</v>
      </c>
      <c r="G37" s="85">
        <v>15</v>
      </c>
      <c r="H37" s="85">
        <f t="shared" ref="H37" si="2">LARGE(D37:G37,1)</f>
        <v>20</v>
      </c>
      <c r="I37" s="66">
        <v>25</v>
      </c>
      <c r="J37" s="66">
        <v>2</v>
      </c>
      <c r="K37" s="92">
        <f>SUM(Distancia!H20:J20)+SUM(Distancia!B20:J20)+2*(SUM(Distancia!B19:J19))</f>
        <v>56</v>
      </c>
      <c r="L37" s="66">
        <f>SUM(Distancia!S20:U20)+SUM(Distancia!M20:U20)+2*(SUM(Distancia!M19:U19))</f>
        <v>82</v>
      </c>
      <c r="M37" s="92">
        <f>6*0+8*1.5+6*3</f>
        <v>30</v>
      </c>
      <c r="N37" s="92">
        <f>SUM(K37:M37)/H37</f>
        <v>8.4</v>
      </c>
      <c r="O37" s="85">
        <f>(((K37+L37)/$J$7)+(M37/$J$8))/H37</f>
        <v>21.3</v>
      </c>
      <c r="P37" s="164"/>
      <c r="Q37" s="164"/>
      <c r="R37" s="164"/>
      <c r="S37" s="87"/>
      <c r="T37" s="87"/>
      <c r="U37" s="87"/>
    </row>
    <row r="38" spans="2:21" s="56" customFormat="1">
      <c r="B38" s="140"/>
      <c r="C38" s="140"/>
      <c r="D38" s="87"/>
      <c r="E38" s="87"/>
      <c r="F38" s="87"/>
      <c r="G38" s="87"/>
      <c r="H38" s="75">
        <f>SUM(H35:H37)</f>
        <v>84</v>
      </c>
      <c r="I38" s="87"/>
      <c r="J38" s="87"/>
      <c r="K38" s="87"/>
      <c r="L38" s="87"/>
      <c r="M38" s="87"/>
      <c r="N38" s="1"/>
      <c r="O38" s="88"/>
      <c r="P38" s="87"/>
      <c r="Q38" s="87"/>
      <c r="R38" s="87"/>
      <c r="S38" s="87"/>
      <c r="T38" s="87"/>
      <c r="U38" s="87"/>
    </row>
    <row r="39" spans="2:21" s="56" customFormat="1"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</row>
    <row r="40" spans="2:21" s="56" customFormat="1" ht="25.5">
      <c r="B40" s="137" t="s">
        <v>16</v>
      </c>
      <c r="C40" s="137" t="s">
        <v>17</v>
      </c>
      <c r="D40" s="150" t="s">
        <v>11</v>
      </c>
      <c r="E40" s="150"/>
      <c r="F40" s="150"/>
      <c r="G40" s="150"/>
      <c r="H40" s="89" t="s">
        <v>12</v>
      </c>
      <c r="I40" s="89" t="s">
        <v>14</v>
      </c>
      <c r="J40" s="29" t="s">
        <v>62</v>
      </c>
      <c r="K40" s="90" t="s">
        <v>92</v>
      </c>
      <c r="L40" s="90" t="s">
        <v>93</v>
      </c>
      <c r="M40" s="66" t="s">
        <v>94</v>
      </c>
      <c r="N40" s="66" t="s">
        <v>84</v>
      </c>
      <c r="O40" s="66" t="s">
        <v>91</v>
      </c>
      <c r="P40" s="90" t="s">
        <v>98</v>
      </c>
      <c r="Q40" s="90" t="s">
        <v>99</v>
      </c>
      <c r="R40" s="90" t="s">
        <v>100</v>
      </c>
      <c r="S40" s="87"/>
      <c r="T40" s="87"/>
      <c r="U40" s="87"/>
    </row>
    <row r="41" spans="2:21" s="56" customFormat="1">
      <c r="B41" s="137"/>
      <c r="C41" s="137"/>
      <c r="D41" s="66" t="s">
        <v>0</v>
      </c>
      <c r="E41" s="66" t="s">
        <v>1</v>
      </c>
      <c r="F41" s="66" t="s">
        <v>2</v>
      </c>
      <c r="G41" s="66" t="s">
        <v>3</v>
      </c>
      <c r="H41" s="66" t="s">
        <v>4</v>
      </c>
      <c r="I41" s="66" t="s">
        <v>6</v>
      </c>
      <c r="J41" s="91"/>
      <c r="K41" s="91" t="s">
        <v>96</v>
      </c>
      <c r="L41" s="91" t="s">
        <v>96</v>
      </c>
      <c r="M41" s="91" t="s">
        <v>96</v>
      </c>
      <c r="N41" s="91" t="s">
        <v>96</v>
      </c>
      <c r="O41" s="85" t="s">
        <v>95</v>
      </c>
      <c r="P41" s="90" t="s">
        <v>102</v>
      </c>
      <c r="Q41" s="91" t="s">
        <v>96</v>
      </c>
      <c r="R41" s="85" t="s">
        <v>95</v>
      </c>
      <c r="S41" s="87"/>
      <c r="T41" s="87"/>
      <c r="U41" s="87"/>
    </row>
    <row r="42" spans="2:21" s="56" customFormat="1">
      <c r="B42" s="58">
        <v>1</v>
      </c>
      <c r="C42" s="27" t="s">
        <v>8</v>
      </c>
      <c r="D42" s="85">
        <v>27</v>
      </c>
      <c r="E42" s="85">
        <v>38</v>
      </c>
      <c r="F42" s="85">
        <v>25</v>
      </c>
      <c r="G42" s="85">
        <v>20</v>
      </c>
      <c r="H42" s="155">
        <v>58</v>
      </c>
      <c r="I42" s="150">
        <v>75</v>
      </c>
      <c r="J42" s="150">
        <v>1</v>
      </c>
      <c r="K42" s="165">
        <f>SUM(Distancia!B21:J23)*3+SUM(Distancia!B20:G20)</f>
        <v>149</v>
      </c>
      <c r="L42" s="150">
        <f>SUM(Distancia!M21:U23)*3+SUM(Distancia!M20:R20)</f>
        <v>95</v>
      </c>
      <c r="M42" s="165">
        <f>22*0+18*1.5+18*3</f>
        <v>81</v>
      </c>
      <c r="N42" s="165">
        <f>SUM(K42:M43)/H42</f>
        <v>5.6034482758620694</v>
      </c>
      <c r="O42" s="155">
        <f>(((K42+L42)/$J$7)+(M42/$J$8))/H42</f>
        <v>15.396551724137931</v>
      </c>
      <c r="P42" s="164">
        <f>H45</f>
        <v>102</v>
      </c>
      <c r="Q42" s="164">
        <f>(N42*I42)+(N44*I44)</f>
        <v>510.48589341692798</v>
      </c>
      <c r="R42" s="164">
        <f>O42*I42+O44*I44</f>
        <v>1390.4231974921631</v>
      </c>
      <c r="S42" s="87"/>
      <c r="T42" s="87"/>
      <c r="U42" s="87"/>
    </row>
    <row r="43" spans="2:21" s="56" customFormat="1">
      <c r="B43" s="58">
        <v>3</v>
      </c>
      <c r="C43" s="27" t="s">
        <v>10</v>
      </c>
      <c r="D43" s="85">
        <v>9</v>
      </c>
      <c r="E43" s="85">
        <v>20</v>
      </c>
      <c r="F43" s="85">
        <v>0</v>
      </c>
      <c r="G43" s="85">
        <v>15</v>
      </c>
      <c r="H43" s="155"/>
      <c r="I43" s="150"/>
      <c r="J43" s="150"/>
      <c r="K43" s="165"/>
      <c r="L43" s="150"/>
      <c r="M43" s="165"/>
      <c r="N43" s="165"/>
      <c r="O43" s="155"/>
      <c r="P43" s="164"/>
      <c r="Q43" s="164"/>
      <c r="R43" s="164"/>
      <c r="S43" s="87"/>
      <c r="T43" s="87"/>
      <c r="U43" s="87"/>
    </row>
    <row r="44" spans="2:21" s="56" customFormat="1">
      <c r="B44" s="58">
        <v>2</v>
      </c>
      <c r="C44" s="27" t="s">
        <v>9</v>
      </c>
      <c r="D44" s="85">
        <v>30</v>
      </c>
      <c r="E44" s="85">
        <v>18</v>
      </c>
      <c r="F44" s="85">
        <v>18</v>
      </c>
      <c r="G44" s="85">
        <v>44</v>
      </c>
      <c r="H44" s="85">
        <f t="shared" ref="H44" si="3">LARGE(D44:G44,1)</f>
        <v>44</v>
      </c>
      <c r="I44" s="66">
        <v>10</v>
      </c>
      <c r="J44" s="66">
        <v>2</v>
      </c>
      <c r="K44" s="92">
        <f>SUM(Distancia!H20:J20)+SUM(Distancia!B20:J20)*2+SUM(Distancia!B19:J19)*3+SUM(Distancia!B18:J18)*2</f>
        <v>120</v>
      </c>
      <c r="L44" s="66">
        <f>SUM(Distancia!S20:U20)+SUM(Distancia!M20:U20)*2+SUM(Distancia!M19:U19)*3+SUM(Distancia!M18:U18)*2</f>
        <v>196</v>
      </c>
      <c r="M44" s="92">
        <f>14*0+18*1.5+18*3</f>
        <v>81</v>
      </c>
      <c r="N44" s="92">
        <f>SUM(K44:M44)/H44</f>
        <v>9.0227272727272734</v>
      </c>
      <c r="O44" s="85">
        <f>(((K44+L44)/$J$7)+(M44/$J$8))/H44</f>
        <v>23.568181818181817</v>
      </c>
      <c r="P44" s="164"/>
      <c r="Q44" s="164"/>
      <c r="R44" s="164"/>
      <c r="S44" s="87"/>
      <c r="T44" s="87"/>
      <c r="U44" s="87"/>
    </row>
    <row r="45" spans="2:21" s="56" customFormat="1">
      <c r="B45" s="140"/>
      <c r="C45" s="140"/>
      <c r="D45" s="87"/>
      <c r="E45" s="87"/>
      <c r="F45" s="87"/>
      <c r="G45" s="87"/>
      <c r="H45" s="75">
        <f>SUM(H42:H44)</f>
        <v>102</v>
      </c>
      <c r="I45" s="87"/>
      <c r="J45" s="87"/>
      <c r="K45" s="87"/>
      <c r="L45" s="87"/>
      <c r="M45" s="87"/>
      <c r="N45" s="1"/>
      <c r="O45" s="88"/>
      <c r="P45" s="87"/>
      <c r="Q45" s="87"/>
      <c r="R45" s="87"/>
      <c r="S45" s="87"/>
      <c r="T45" s="87"/>
      <c r="U45" s="87"/>
    </row>
    <row r="46" spans="2:21" s="56" customFormat="1"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</row>
    <row r="47" spans="2:21" s="56" customFormat="1" ht="25.5">
      <c r="B47" s="137" t="s">
        <v>16</v>
      </c>
      <c r="C47" s="137" t="s">
        <v>17</v>
      </c>
      <c r="D47" s="150" t="s">
        <v>11</v>
      </c>
      <c r="E47" s="150"/>
      <c r="F47" s="150"/>
      <c r="G47" s="150"/>
      <c r="H47" s="89" t="s">
        <v>12</v>
      </c>
      <c r="I47" s="89" t="s">
        <v>14</v>
      </c>
      <c r="J47" s="66" t="s">
        <v>63</v>
      </c>
      <c r="K47" s="90" t="s">
        <v>92</v>
      </c>
      <c r="L47" s="90" t="s">
        <v>93</v>
      </c>
      <c r="M47" s="66" t="s">
        <v>94</v>
      </c>
      <c r="N47" s="66" t="s">
        <v>84</v>
      </c>
      <c r="O47" s="66" t="s">
        <v>91</v>
      </c>
      <c r="P47" s="90" t="s">
        <v>98</v>
      </c>
      <c r="Q47" s="90" t="s">
        <v>99</v>
      </c>
      <c r="R47" s="90" t="s">
        <v>100</v>
      </c>
      <c r="S47" s="87"/>
      <c r="T47" s="87"/>
      <c r="U47" s="87"/>
    </row>
    <row r="48" spans="2:21" s="56" customFormat="1">
      <c r="B48" s="137"/>
      <c r="C48" s="137"/>
      <c r="D48" s="27" t="s">
        <v>0</v>
      </c>
      <c r="E48" s="27" t="s">
        <v>1</v>
      </c>
      <c r="F48" s="27" t="s">
        <v>2</v>
      </c>
      <c r="G48" s="27" t="s">
        <v>3</v>
      </c>
      <c r="H48" s="27" t="s">
        <v>4</v>
      </c>
      <c r="I48" s="27" t="s">
        <v>6</v>
      </c>
      <c r="J48" s="26"/>
      <c r="K48" s="26" t="s">
        <v>96</v>
      </c>
      <c r="L48" s="26" t="s">
        <v>96</v>
      </c>
      <c r="M48" s="26" t="s">
        <v>96</v>
      </c>
      <c r="N48" s="26" t="s">
        <v>96</v>
      </c>
      <c r="O48" s="58" t="s">
        <v>95</v>
      </c>
      <c r="P48" s="11" t="s">
        <v>102</v>
      </c>
      <c r="Q48" s="26" t="s">
        <v>96</v>
      </c>
      <c r="R48" s="58" t="s">
        <v>95</v>
      </c>
    </row>
    <row r="49" spans="2:18" s="56" customFormat="1">
      <c r="B49" s="58">
        <v>1</v>
      </c>
      <c r="C49" s="27" t="s">
        <v>8</v>
      </c>
      <c r="D49" s="58">
        <v>27</v>
      </c>
      <c r="E49" s="58">
        <v>38</v>
      </c>
      <c r="F49" s="58">
        <v>25</v>
      </c>
      <c r="G49" s="58">
        <v>20</v>
      </c>
      <c r="H49" s="58">
        <f>LARGE(D49:G49,1)</f>
        <v>38</v>
      </c>
      <c r="I49" s="27">
        <v>50</v>
      </c>
      <c r="J49" s="27">
        <v>1</v>
      </c>
      <c r="K49" s="21">
        <f>SUM(Distancia!B22:J23)*3+SUM(Distancia!B21:D21)</f>
        <v>101</v>
      </c>
      <c r="L49" s="27">
        <f>SUM(Distancia!M22:U23)*3+SUM(Distancia!N21:O21)</f>
        <v>38.5</v>
      </c>
      <c r="M49" s="73">
        <f>14*0+12*1.5+12*3</f>
        <v>54</v>
      </c>
      <c r="N49" s="73">
        <f>SUM(K49:M49)/H49</f>
        <v>5.0921052631578947</v>
      </c>
      <c r="O49" s="65">
        <f>(((K49+L49)/$J$7)+(M49/$J$8))/H49</f>
        <v>14.447368421052632</v>
      </c>
      <c r="P49" s="164">
        <f>H52</f>
        <v>97</v>
      </c>
      <c r="Q49" s="164">
        <f>(N49*I49)+(N50*I50)</f>
        <v>528.07983942908118</v>
      </c>
      <c r="R49" s="164">
        <f>O49*I49+O50*I50</f>
        <v>1416.1396074933095</v>
      </c>
    </row>
    <row r="50" spans="2:18" s="56" customFormat="1">
      <c r="B50" s="58">
        <v>2</v>
      </c>
      <c r="C50" s="27" t="s">
        <v>9</v>
      </c>
      <c r="D50" s="58">
        <v>30</v>
      </c>
      <c r="E50" s="58">
        <v>18</v>
      </c>
      <c r="F50" s="58">
        <v>18</v>
      </c>
      <c r="G50" s="58">
        <v>44</v>
      </c>
      <c r="H50" s="168">
        <v>59</v>
      </c>
      <c r="I50" s="138">
        <v>35</v>
      </c>
      <c r="J50" s="138">
        <v>2</v>
      </c>
      <c r="K50" s="166">
        <f>SUM(Distancia!F21:J21)+SUM(Distancia!B21:J21)*2+SUM(Distancia!B19:J20)*3+SUM(Distancia!B18:J18)+Distancia!B18</f>
        <v>156</v>
      </c>
      <c r="L50" s="138">
        <f>SUM(Distancia!P21:U21)+SUM(Distancia!M21:U21)*2+SUM(Distancia!M19:U20)*3+SUM(Distancia!M18:U18)+Distancia!M18</f>
        <v>222.5</v>
      </c>
      <c r="M50" s="166">
        <f>22*0+19*1.5+18*3</f>
        <v>82.5</v>
      </c>
      <c r="N50" s="166">
        <f>SUM(K50:M51)/H50</f>
        <v>7.8135593220338979</v>
      </c>
      <c r="O50" s="167">
        <f>(((K50+L50)/$J$7)+(M50/$J$8))/H50</f>
        <v>19.822033898305083</v>
      </c>
      <c r="P50" s="164"/>
      <c r="Q50" s="164"/>
      <c r="R50" s="164"/>
    </row>
    <row r="51" spans="2:18" s="56" customFormat="1">
      <c r="B51" s="58">
        <v>3</v>
      </c>
      <c r="C51" s="27" t="s">
        <v>10</v>
      </c>
      <c r="D51" s="58">
        <v>9</v>
      </c>
      <c r="E51" s="58">
        <v>20</v>
      </c>
      <c r="F51" s="58">
        <v>0</v>
      </c>
      <c r="G51" s="58">
        <v>15</v>
      </c>
      <c r="H51" s="169"/>
      <c r="I51" s="138"/>
      <c r="J51" s="138"/>
      <c r="K51" s="166"/>
      <c r="L51" s="138"/>
      <c r="M51" s="166"/>
      <c r="N51" s="166"/>
      <c r="O51" s="167"/>
      <c r="P51" s="164"/>
      <c r="Q51" s="164"/>
      <c r="R51" s="164"/>
    </row>
    <row r="52" spans="2:18" s="56" customFormat="1">
      <c r="B52" s="140"/>
      <c r="C52" s="140"/>
      <c r="H52" s="75">
        <f>SUM(H49:H51)</f>
        <v>97</v>
      </c>
      <c r="N52" s="1"/>
      <c r="O52" s="61"/>
    </row>
    <row r="53" spans="2:18" s="56" customFormat="1"/>
    <row r="54" spans="2:18" s="56" customFormat="1" ht="25.5">
      <c r="B54" s="137" t="s">
        <v>16</v>
      </c>
      <c r="C54" s="137" t="s">
        <v>17</v>
      </c>
      <c r="D54" s="138" t="s">
        <v>11</v>
      </c>
      <c r="E54" s="138"/>
      <c r="F54" s="138"/>
      <c r="G54" s="138"/>
      <c r="H54" s="28" t="s">
        <v>12</v>
      </c>
      <c r="I54" s="28" t="s">
        <v>14</v>
      </c>
      <c r="J54" s="18" t="s">
        <v>64</v>
      </c>
      <c r="K54" s="11" t="s">
        <v>92</v>
      </c>
      <c r="L54" s="11" t="s">
        <v>93</v>
      </c>
      <c r="M54" s="27" t="s">
        <v>94</v>
      </c>
      <c r="N54" s="27" t="s">
        <v>84</v>
      </c>
      <c r="O54" s="27" t="s">
        <v>91</v>
      </c>
      <c r="P54" s="11" t="s">
        <v>98</v>
      </c>
      <c r="Q54" s="11" t="s">
        <v>99</v>
      </c>
      <c r="R54" s="11" t="s">
        <v>100</v>
      </c>
    </row>
    <row r="55" spans="2:18" s="56" customFormat="1">
      <c r="B55" s="137"/>
      <c r="C55" s="137"/>
      <c r="D55" s="27" t="s">
        <v>0</v>
      </c>
      <c r="E55" s="27" t="s">
        <v>1</v>
      </c>
      <c r="F55" s="27" t="s">
        <v>2</v>
      </c>
      <c r="G55" s="27" t="s">
        <v>3</v>
      </c>
      <c r="H55" s="27" t="s">
        <v>4</v>
      </c>
      <c r="I55" s="27" t="s">
        <v>6</v>
      </c>
      <c r="J55" s="26"/>
      <c r="K55" s="26" t="s">
        <v>96</v>
      </c>
      <c r="L55" s="26" t="s">
        <v>96</v>
      </c>
      <c r="M55" s="26" t="s">
        <v>96</v>
      </c>
      <c r="N55" s="26" t="s">
        <v>96</v>
      </c>
      <c r="O55" s="58" t="s">
        <v>95</v>
      </c>
      <c r="P55" s="11" t="s">
        <v>102</v>
      </c>
      <c r="Q55" s="26" t="s">
        <v>96</v>
      </c>
      <c r="R55" s="58" t="s">
        <v>95</v>
      </c>
    </row>
    <row r="56" spans="2:18" s="56" customFormat="1">
      <c r="B56" s="58">
        <v>1</v>
      </c>
      <c r="C56" s="27" t="s">
        <v>8</v>
      </c>
      <c r="D56" s="58">
        <v>27</v>
      </c>
      <c r="E56" s="58">
        <v>38</v>
      </c>
      <c r="F56" s="58">
        <v>25</v>
      </c>
      <c r="G56" s="58">
        <v>20</v>
      </c>
      <c r="H56" s="58">
        <f>LARGE(D56:G56,1)</f>
        <v>38</v>
      </c>
      <c r="I56" s="27">
        <v>50</v>
      </c>
      <c r="J56" s="27">
        <v>1</v>
      </c>
      <c r="K56" s="21">
        <f>SUM(Distancia!B22:J23)*3+SUM(Distancia!B21:D21)</f>
        <v>101</v>
      </c>
      <c r="L56" s="27">
        <f>SUM(Distancia!M22:U23)*3+SUM(Distancia!M21:O21)</f>
        <v>41</v>
      </c>
      <c r="M56" s="73">
        <f>14*0+12*1.5+12*3</f>
        <v>54</v>
      </c>
      <c r="N56" s="73">
        <f>SUM(K56:M56)/H56</f>
        <v>5.1578947368421053</v>
      </c>
      <c r="O56" s="65">
        <f>(((K56+L56)/$J$7)+(M56/$J$8))/H56</f>
        <v>14.578947368421053</v>
      </c>
      <c r="P56" s="164">
        <f>H59</f>
        <v>102</v>
      </c>
      <c r="Q56" s="164">
        <f>(N56*I56)+(N57*I57)+I58*N58</f>
        <v>559.94019138755982</v>
      </c>
      <c r="R56" s="164">
        <f>O56*I56+O57*I57+I58*O58</f>
        <v>1486.4473684210525</v>
      </c>
    </row>
    <row r="57" spans="2:18" s="56" customFormat="1">
      <c r="B57" s="58">
        <v>2</v>
      </c>
      <c r="C57" s="27" t="s">
        <v>9</v>
      </c>
      <c r="D57" s="58">
        <v>30</v>
      </c>
      <c r="E57" s="58">
        <v>18</v>
      </c>
      <c r="F57" s="58">
        <v>18</v>
      </c>
      <c r="G57" s="58">
        <v>44</v>
      </c>
      <c r="H57" s="58">
        <f t="shared" ref="H57:H58" si="4">LARGE(D57:G57,1)</f>
        <v>44</v>
      </c>
      <c r="I57" s="27">
        <v>10</v>
      </c>
      <c r="J57" s="27">
        <v>2</v>
      </c>
      <c r="K57" s="21">
        <f>SUM(Distancia!E21:J21)+SUM(Distancia!B21:J21)*2+SUM(Distancia!B20:J20)*3+SUM(Distancia!B19:J19)+SUM(Distancia!C19:G19)</f>
        <v>108</v>
      </c>
      <c r="L57" s="27">
        <f>SUM(Distancia!P21:U21)+SUM(Distancia!M21:U21)*2+SUM(Distancia!M20:U20)*2+SUM(Distancia!M19:U19)+SUM(Distancia!M19:R19)</f>
        <v>127</v>
      </c>
      <c r="M57" s="73">
        <f>16*0+16*1.5+12*3</f>
        <v>60</v>
      </c>
      <c r="N57" s="73">
        <f>SUM(K57:M57)/H57</f>
        <v>6.7045454545454541</v>
      </c>
      <c r="O57" s="65">
        <f>(((K57+L57)/$J$7)+(M57/$J$8))/H57</f>
        <v>17.5</v>
      </c>
      <c r="P57" s="164"/>
      <c r="Q57" s="164"/>
      <c r="R57" s="164"/>
    </row>
    <row r="58" spans="2:18" s="56" customFormat="1">
      <c r="B58" s="58">
        <v>3</v>
      </c>
      <c r="C58" s="27" t="s">
        <v>10</v>
      </c>
      <c r="D58" s="58">
        <v>9</v>
      </c>
      <c r="E58" s="58">
        <v>20</v>
      </c>
      <c r="F58" s="58">
        <v>0</v>
      </c>
      <c r="G58" s="58">
        <v>15</v>
      </c>
      <c r="H58" s="58">
        <f t="shared" si="4"/>
        <v>20</v>
      </c>
      <c r="I58" s="27">
        <v>25</v>
      </c>
      <c r="J58" s="27">
        <v>3</v>
      </c>
      <c r="K58" s="21">
        <f>SUM(Distancia!H19:J19)+SUM(Distancia!B19:J19)+SUM(Distancia!B18:J18)*2</f>
        <v>56</v>
      </c>
      <c r="L58" s="27">
        <f>SUM(Distancia!S19:U19)+SUM(Distancia!M19:U19)+SUM(Distancia!M18:U18)*2</f>
        <v>102</v>
      </c>
      <c r="M58" s="73">
        <f>6*0+8*1.5+6*3</f>
        <v>30</v>
      </c>
      <c r="N58" s="73">
        <f>SUM(K58:M58)/H58</f>
        <v>9.4</v>
      </c>
      <c r="O58" s="65">
        <f>(((K58+L58)/$J$7)+(M58/$J$8))/H58</f>
        <v>23.3</v>
      </c>
      <c r="P58" s="164"/>
      <c r="Q58" s="164"/>
      <c r="R58" s="164"/>
    </row>
    <row r="59" spans="2:18" s="56" customFormat="1">
      <c r="B59" s="140"/>
      <c r="C59" s="140"/>
      <c r="H59" s="75">
        <f>SUM(H56:H58)</f>
        <v>102</v>
      </c>
      <c r="N59" s="1"/>
      <c r="O59" s="61"/>
    </row>
    <row r="60" spans="2:18" s="56" customFormat="1"/>
    <row r="61" spans="2:18" s="56" customFormat="1" ht="25.5">
      <c r="B61" s="137" t="s">
        <v>16</v>
      </c>
      <c r="C61" s="137" t="s">
        <v>17</v>
      </c>
      <c r="D61" s="138" t="s">
        <v>11</v>
      </c>
      <c r="E61" s="138"/>
      <c r="F61" s="138"/>
      <c r="G61" s="138"/>
      <c r="H61" s="28" t="s">
        <v>12</v>
      </c>
      <c r="I61" s="28" t="s">
        <v>14</v>
      </c>
      <c r="J61" s="18" t="s">
        <v>65</v>
      </c>
      <c r="K61" s="11" t="s">
        <v>92</v>
      </c>
      <c r="L61" s="11" t="s">
        <v>93</v>
      </c>
      <c r="M61" s="27" t="s">
        <v>94</v>
      </c>
      <c r="N61" s="27" t="s">
        <v>84</v>
      </c>
      <c r="O61" s="27" t="s">
        <v>91</v>
      </c>
      <c r="P61" s="11" t="s">
        <v>98</v>
      </c>
      <c r="Q61" s="11" t="s">
        <v>99</v>
      </c>
      <c r="R61" s="11" t="s">
        <v>100</v>
      </c>
    </row>
    <row r="62" spans="2:18" s="56" customFormat="1">
      <c r="B62" s="137"/>
      <c r="C62" s="137"/>
      <c r="D62" s="27" t="s">
        <v>0</v>
      </c>
      <c r="E62" s="27" t="s">
        <v>1</v>
      </c>
      <c r="F62" s="27" t="s">
        <v>2</v>
      </c>
      <c r="G62" s="27" t="s">
        <v>3</v>
      </c>
      <c r="H62" s="27" t="s">
        <v>4</v>
      </c>
      <c r="I62" s="27" t="s">
        <v>6</v>
      </c>
      <c r="J62" s="26"/>
      <c r="K62" s="26" t="s">
        <v>96</v>
      </c>
      <c r="L62" s="26" t="s">
        <v>96</v>
      </c>
      <c r="M62" s="26" t="s">
        <v>96</v>
      </c>
      <c r="N62" s="26" t="s">
        <v>96</v>
      </c>
      <c r="O62" s="58" t="s">
        <v>95</v>
      </c>
      <c r="P62" s="11" t="s">
        <v>102</v>
      </c>
      <c r="Q62" s="26" t="s">
        <v>96</v>
      </c>
      <c r="R62" s="58" t="s">
        <v>95</v>
      </c>
    </row>
    <row r="63" spans="2:18" s="56" customFormat="1">
      <c r="B63" s="58">
        <v>1</v>
      </c>
      <c r="C63" s="27" t="s">
        <v>8</v>
      </c>
      <c r="D63" s="58">
        <v>27</v>
      </c>
      <c r="E63" s="58">
        <v>38</v>
      </c>
      <c r="F63" s="58">
        <v>25</v>
      </c>
      <c r="G63" s="58">
        <v>20</v>
      </c>
      <c r="H63" s="58">
        <f>LARGE(D63:G63,1)</f>
        <v>38</v>
      </c>
      <c r="I63" s="27">
        <v>50</v>
      </c>
      <c r="J63" s="27">
        <v>1</v>
      </c>
      <c r="K63" s="73">
        <f>SUM(Distancia!B22:J23)*3+SUM(Distancia!B21:D21)</f>
        <v>101</v>
      </c>
      <c r="L63" s="49">
        <f>SUM(Distancia!M22:U23)*3+SUM(Distancia!M21:O21)</f>
        <v>41</v>
      </c>
      <c r="M63" s="73">
        <f>14*0+12*1.5+12*3</f>
        <v>54</v>
      </c>
      <c r="N63" s="73">
        <f>SUM(K63:M63)/H63</f>
        <v>5.1578947368421053</v>
      </c>
      <c r="O63" s="65">
        <f>(((K63+L63)/$J$7)+(M63/$J$8))/H63</f>
        <v>14.578947368421053</v>
      </c>
      <c r="P63" s="164">
        <f>H66</f>
        <v>102</v>
      </c>
      <c r="Q63" s="164">
        <f>(N63*I63)+(N64*I64)+I65*N65</f>
        <v>505.28110047846889</v>
      </c>
      <c r="R63" s="164">
        <f>O63*I63+O64*I64+I65*O65</f>
        <v>1367.9246411483252</v>
      </c>
    </row>
    <row r="64" spans="2:18" s="56" customFormat="1">
      <c r="B64" s="58">
        <v>3</v>
      </c>
      <c r="C64" s="27" t="s">
        <v>10</v>
      </c>
      <c r="D64" s="58">
        <v>9</v>
      </c>
      <c r="E64" s="58">
        <v>20</v>
      </c>
      <c r="F64" s="58">
        <v>0</v>
      </c>
      <c r="G64" s="58">
        <v>15</v>
      </c>
      <c r="H64" s="58">
        <f t="shared" ref="H64" si="5">LARGE(D64:G64,1)</f>
        <v>20</v>
      </c>
      <c r="I64" s="27">
        <v>25</v>
      </c>
      <c r="J64" s="27">
        <v>2</v>
      </c>
      <c r="K64" s="21">
        <f>SUM(Distancia!E21:J21)+SUM(Distancia!B21:J21)*2+SUM(Distancia!B20:G20)</f>
        <v>48</v>
      </c>
      <c r="L64" s="27">
        <f>SUM(Distancia!P21:U21)+SUM(Distancia!M21:U21)*2+SUM(Distancia!M20:R20)</f>
        <v>54</v>
      </c>
      <c r="M64" s="73">
        <f>8*0+6*1.5+6*3</f>
        <v>27</v>
      </c>
      <c r="N64" s="73">
        <f>SUM(K64:M64)/H64</f>
        <v>6.45</v>
      </c>
      <c r="O64" s="65">
        <f>(((K64+L64)/$J$7)+(M64/$J$8))/H64</f>
        <v>16.95</v>
      </c>
      <c r="P64" s="164"/>
      <c r="Q64" s="164"/>
      <c r="R64" s="164"/>
    </row>
    <row r="65" spans="2:18" s="56" customFormat="1">
      <c r="B65" s="58">
        <v>2</v>
      </c>
      <c r="C65" s="27" t="s">
        <v>9</v>
      </c>
      <c r="D65" s="58">
        <v>30</v>
      </c>
      <c r="E65" s="58">
        <v>18</v>
      </c>
      <c r="F65" s="58">
        <v>18</v>
      </c>
      <c r="G65" s="58">
        <v>44</v>
      </c>
      <c r="H65" s="58">
        <f>LARGE(D65:G65,1)</f>
        <v>44</v>
      </c>
      <c r="I65" s="27">
        <v>10</v>
      </c>
      <c r="J65" s="27">
        <v>3</v>
      </c>
      <c r="K65" s="21">
        <f>SUM(Distancia!H20:J20)+SUM(Distancia!B20:J20)*2+SUM(Distancia!B19:J19)*3+SUM(Distancia!B18:J18)*2</f>
        <v>120</v>
      </c>
      <c r="L65" s="27">
        <f>SUM(Distancia!S20:U20)+SUM(Distancia!M20:U20)*2+SUM(Distancia!M19:U19)*3+SUM(Distancia!M18:U18)*2</f>
        <v>196</v>
      </c>
      <c r="M65" s="73">
        <f>14*0+18*1.5+12*3</f>
        <v>63</v>
      </c>
      <c r="N65" s="73">
        <f>SUM(K65:M65)/H65</f>
        <v>8.6136363636363633</v>
      </c>
      <c r="O65" s="65">
        <f>(((K65+L65)/$J$7)+(M65/$J$8))/H65</f>
        <v>21.522727272727273</v>
      </c>
      <c r="P65" s="164"/>
      <c r="Q65" s="164"/>
      <c r="R65" s="164"/>
    </row>
    <row r="66" spans="2:18" s="56" customFormat="1">
      <c r="B66" s="140"/>
      <c r="C66" s="140"/>
      <c r="H66" s="75">
        <f>SUM(H63:H65)</f>
        <v>102</v>
      </c>
      <c r="N66" s="1"/>
      <c r="O66" s="61"/>
    </row>
    <row r="67" spans="2:18" s="56" customFormat="1"/>
    <row r="68" spans="2:18" s="56" customFormat="1" ht="25.5">
      <c r="B68" s="137" t="s">
        <v>16</v>
      </c>
      <c r="C68" s="137" t="s">
        <v>17</v>
      </c>
      <c r="D68" s="138" t="s">
        <v>11</v>
      </c>
      <c r="E68" s="138"/>
      <c r="F68" s="138"/>
      <c r="G68" s="138"/>
      <c r="H68" s="28" t="s">
        <v>12</v>
      </c>
      <c r="I68" s="28" t="s">
        <v>14</v>
      </c>
      <c r="J68" s="18" t="s">
        <v>66</v>
      </c>
      <c r="K68" s="11" t="s">
        <v>92</v>
      </c>
      <c r="L68" s="11" t="s">
        <v>93</v>
      </c>
      <c r="M68" s="27" t="s">
        <v>94</v>
      </c>
      <c r="N68" s="27" t="s">
        <v>84</v>
      </c>
      <c r="O68" s="27" t="s">
        <v>91</v>
      </c>
      <c r="P68" s="11" t="s">
        <v>98</v>
      </c>
      <c r="Q68" s="11" t="s">
        <v>99</v>
      </c>
      <c r="R68" s="11" t="s">
        <v>100</v>
      </c>
    </row>
    <row r="69" spans="2:18" s="56" customFormat="1">
      <c r="B69" s="137"/>
      <c r="C69" s="137"/>
      <c r="D69" s="27" t="s">
        <v>0</v>
      </c>
      <c r="E69" s="27" t="s">
        <v>1</v>
      </c>
      <c r="F69" s="27" t="s">
        <v>2</v>
      </c>
      <c r="G69" s="27" t="s">
        <v>3</v>
      </c>
      <c r="H69" s="27" t="s">
        <v>4</v>
      </c>
      <c r="I69" s="27" t="s">
        <v>6</v>
      </c>
      <c r="J69" s="26"/>
      <c r="K69" s="26" t="s">
        <v>96</v>
      </c>
      <c r="L69" s="26" t="s">
        <v>96</v>
      </c>
      <c r="M69" s="26" t="s">
        <v>96</v>
      </c>
      <c r="N69" s="26" t="s">
        <v>96</v>
      </c>
      <c r="O69" s="58" t="s">
        <v>95</v>
      </c>
      <c r="P69" s="11" t="s">
        <v>102</v>
      </c>
      <c r="Q69" s="26" t="s">
        <v>96</v>
      </c>
      <c r="R69" s="58" t="s">
        <v>95</v>
      </c>
    </row>
    <row r="70" spans="2:18" s="56" customFormat="1" ht="15" customHeight="1">
      <c r="B70" s="58">
        <v>2</v>
      </c>
      <c r="C70" s="27" t="s">
        <v>9</v>
      </c>
      <c r="D70" s="58">
        <v>30</v>
      </c>
      <c r="E70" s="58">
        <v>18</v>
      </c>
      <c r="F70" s="58">
        <v>18</v>
      </c>
      <c r="G70" s="58">
        <v>44</v>
      </c>
      <c r="H70" s="170">
        <v>59</v>
      </c>
      <c r="I70" s="138">
        <v>35</v>
      </c>
      <c r="J70" s="138">
        <v>1</v>
      </c>
      <c r="K70" s="171">
        <f>SUM(Distancia!B21:J23)*3+SUM(Distancia!B20:H20)</f>
        <v>153</v>
      </c>
      <c r="L70" s="173">
        <f>SUM(Distancia!M21:U23)*3+SUM(Distancia!M20:S20)</f>
        <v>98.5</v>
      </c>
      <c r="M70" s="165">
        <f>23*0+18*1.5+18*3</f>
        <v>81</v>
      </c>
      <c r="N70" s="166">
        <f>SUM(K70:M71)/H70</f>
        <v>5.6355932203389827</v>
      </c>
      <c r="O70" s="167">
        <f>(((K70+L70)/$J$7)+(M70/$J$8))/H70</f>
        <v>15.389830508474576</v>
      </c>
      <c r="P70" s="164">
        <f>H73</f>
        <v>97</v>
      </c>
      <c r="Q70" s="164">
        <f>(N70*I70)+(N72*I72)</f>
        <v>624.21944692239072</v>
      </c>
      <c r="R70" s="164">
        <f>O70*I70+O72*I72</f>
        <v>1611.6703835860837</v>
      </c>
    </row>
    <row r="71" spans="2:18" s="56" customFormat="1">
      <c r="B71" s="58">
        <v>3</v>
      </c>
      <c r="C71" s="27" t="s">
        <v>10</v>
      </c>
      <c r="D71" s="58">
        <v>9</v>
      </c>
      <c r="E71" s="58">
        <v>20</v>
      </c>
      <c r="F71" s="58">
        <v>0</v>
      </c>
      <c r="G71" s="58">
        <v>15</v>
      </c>
      <c r="H71" s="170"/>
      <c r="I71" s="138"/>
      <c r="J71" s="138"/>
      <c r="K71" s="172"/>
      <c r="L71" s="174"/>
      <c r="M71" s="165"/>
      <c r="N71" s="166"/>
      <c r="O71" s="167"/>
      <c r="P71" s="164"/>
      <c r="Q71" s="164"/>
      <c r="R71" s="164"/>
    </row>
    <row r="72" spans="2:18" s="56" customFormat="1">
      <c r="B72" s="58">
        <v>1</v>
      </c>
      <c r="C72" s="27" t="s">
        <v>8</v>
      </c>
      <c r="D72" s="58">
        <v>27</v>
      </c>
      <c r="E72" s="58">
        <v>38</v>
      </c>
      <c r="F72" s="58">
        <v>25</v>
      </c>
      <c r="G72" s="58">
        <v>20</v>
      </c>
      <c r="H72" s="74">
        <f>LARGE(D72:G72,1)</f>
        <v>38</v>
      </c>
      <c r="I72" s="27">
        <v>50</v>
      </c>
      <c r="J72" s="27">
        <v>2</v>
      </c>
      <c r="K72" s="21">
        <f>Distancia!J20+SUM(Distancia!B20:J20)*2+SUM(Distancia!B19:J19)*3+SUM(Distancia!B18:J18)+Distancia!B18</f>
        <v>104</v>
      </c>
      <c r="L72" s="27">
        <f>Distancia!U20+SUM(Distancia!M20:U20)*2+SUM(Distancia!M19:U19)*3+SUM(Distancia!M18:U18)+Distancia!M18</f>
        <v>165</v>
      </c>
      <c r="M72" s="92">
        <f>13*0+13*1.5+12*3</f>
        <v>55.5</v>
      </c>
      <c r="N72" s="21">
        <f>SUM(K72:M72)/H72</f>
        <v>8.5394736842105257</v>
      </c>
      <c r="O72" s="58">
        <f>(((K72+L72)/$J$7)+(M72/$J$8))/H72</f>
        <v>21.460526315789473</v>
      </c>
      <c r="P72" s="164"/>
      <c r="Q72" s="164"/>
      <c r="R72" s="164"/>
    </row>
    <row r="73" spans="2:18" s="56" customFormat="1">
      <c r="B73" s="140"/>
      <c r="C73" s="140"/>
      <c r="H73" s="75">
        <f>SUM(H70:H72)</f>
        <v>97</v>
      </c>
      <c r="N73" s="1"/>
      <c r="O73" s="61"/>
    </row>
    <row r="74" spans="2:18" s="56" customFormat="1"/>
    <row r="75" spans="2:18" s="56" customFormat="1" ht="25.5">
      <c r="B75" s="137" t="s">
        <v>16</v>
      </c>
      <c r="C75" s="137" t="s">
        <v>17</v>
      </c>
      <c r="D75" s="138" t="s">
        <v>11</v>
      </c>
      <c r="E75" s="138"/>
      <c r="F75" s="138"/>
      <c r="G75" s="138"/>
      <c r="H75" s="28" t="s">
        <v>12</v>
      </c>
      <c r="I75" s="28" t="s">
        <v>14</v>
      </c>
      <c r="J75" s="18" t="s">
        <v>67</v>
      </c>
      <c r="K75" s="11" t="s">
        <v>92</v>
      </c>
      <c r="L75" s="11" t="s">
        <v>93</v>
      </c>
      <c r="M75" s="27" t="s">
        <v>94</v>
      </c>
      <c r="N75" s="27" t="s">
        <v>84</v>
      </c>
      <c r="O75" s="27" t="s">
        <v>91</v>
      </c>
      <c r="P75" s="11" t="s">
        <v>98</v>
      </c>
      <c r="Q75" s="11" t="s">
        <v>99</v>
      </c>
      <c r="R75" s="11" t="s">
        <v>100</v>
      </c>
    </row>
    <row r="76" spans="2:18" s="56" customFormat="1">
      <c r="B76" s="137"/>
      <c r="C76" s="137"/>
      <c r="D76" s="27" t="s">
        <v>0</v>
      </c>
      <c r="E76" s="27" t="s">
        <v>1</v>
      </c>
      <c r="F76" s="27" t="s">
        <v>2</v>
      </c>
      <c r="G76" s="27" t="s">
        <v>3</v>
      </c>
      <c r="H76" s="27" t="s">
        <v>4</v>
      </c>
      <c r="I76" s="27" t="s">
        <v>6</v>
      </c>
      <c r="J76" s="26"/>
      <c r="K76" s="26" t="s">
        <v>96</v>
      </c>
      <c r="L76" s="26" t="s">
        <v>96</v>
      </c>
      <c r="M76" s="26" t="s">
        <v>96</v>
      </c>
      <c r="N76" s="26" t="s">
        <v>96</v>
      </c>
      <c r="O76" s="58" t="s">
        <v>95</v>
      </c>
      <c r="P76" s="11" t="s">
        <v>102</v>
      </c>
      <c r="Q76" s="26" t="s">
        <v>96</v>
      </c>
      <c r="R76" s="58" t="s">
        <v>95</v>
      </c>
    </row>
    <row r="77" spans="2:18" s="56" customFormat="1" ht="15.75" customHeight="1">
      <c r="B77" s="58">
        <v>2</v>
      </c>
      <c r="C77" s="27" t="s">
        <v>9</v>
      </c>
      <c r="D77" s="58">
        <v>30</v>
      </c>
      <c r="E77" s="58">
        <v>18</v>
      </c>
      <c r="F77" s="58">
        <v>18</v>
      </c>
      <c r="G77" s="58">
        <v>44</v>
      </c>
      <c r="H77" s="58">
        <f t="shared" ref="H77" si="6">LARGE(D77:G77,1)</f>
        <v>44</v>
      </c>
      <c r="I77" s="27">
        <v>10</v>
      </c>
      <c r="J77" s="27">
        <v>1</v>
      </c>
      <c r="K77" s="21">
        <f>SUM(Distancia!B22:J23)*3+SUM(Distancia!B21:J21)+SUM(Distancia!B21:D21)</f>
        <v>117</v>
      </c>
      <c r="L77" s="27">
        <f>SUM(Distancia!M22:U23)*3+SUM(Distancia!M21:U21)+SUM(Distancia!M21:O21)</f>
        <v>56</v>
      </c>
      <c r="M77" s="73">
        <f>18*0+14*1.5+12*3</f>
        <v>57</v>
      </c>
      <c r="N77" s="73">
        <f>SUM(K77:M77)/H77</f>
        <v>5.2272727272727275</v>
      </c>
      <c r="O77" s="65">
        <f>(((K77+L77)/$J$7)+(M77/$J$8))/H77</f>
        <v>14.340909090909092</v>
      </c>
      <c r="P77" s="164">
        <f>H80</f>
        <v>102</v>
      </c>
      <c r="Q77" s="164">
        <f>(N77*I77)+(N78*I78)</f>
        <v>665.20376175548586</v>
      </c>
      <c r="R77" s="164">
        <f>O77*I77+O78*I78</f>
        <v>1706.7711598746082</v>
      </c>
    </row>
    <row r="78" spans="2:18" s="56" customFormat="1">
      <c r="B78" s="58">
        <v>1</v>
      </c>
      <c r="C78" s="27" t="s">
        <v>8</v>
      </c>
      <c r="D78" s="58">
        <v>27</v>
      </c>
      <c r="E78" s="58">
        <v>38</v>
      </c>
      <c r="F78" s="58">
        <v>25</v>
      </c>
      <c r="G78" s="58">
        <v>20</v>
      </c>
      <c r="H78" s="167">
        <v>58</v>
      </c>
      <c r="I78" s="138">
        <v>75</v>
      </c>
      <c r="J78" s="138">
        <v>2</v>
      </c>
      <c r="K78" s="166">
        <f>SUM(Distancia!E21:J21)+SUM(Distancia!B21:J21)+SUM(Distancia!B19:J20)*3+SUM(Distancia!B18:J18)*2</f>
        <v>152</v>
      </c>
      <c r="L78" s="138">
        <f>SUM(Distancia!P21:U21)+SUM(Distancia!M21:U21)+SUM(Distancia!M19:U20)*3+SUM(Distancia!M18:U18)*2</f>
        <v>235</v>
      </c>
      <c r="M78" s="166">
        <f>18*0+22*1.5+18*3</f>
        <v>87</v>
      </c>
      <c r="N78" s="166">
        <f>SUM(K78:M79)/H78</f>
        <v>8.1724137931034484</v>
      </c>
      <c r="O78" s="167">
        <f>(((K78+L78)/$J$7)+(M78/$J$8))/H78</f>
        <v>20.844827586206897</v>
      </c>
      <c r="P78" s="164"/>
      <c r="Q78" s="164"/>
      <c r="R78" s="164"/>
    </row>
    <row r="79" spans="2:18" s="56" customFormat="1" ht="15.75" customHeight="1">
      <c r="B79" s="58">
        <v>3</v>
      </c>
      <c r="C79" s="27" t="s">
        <v>10</v>
      </c>
      <c r="D79" s="58">
        <v>9</v>
      </c>
      <c r="E79" s="58">
        <v>20</v>
      </c>
      <c r="F79" s="58">
        <v>0</v>
      </c>
      <c r="G79" s="58">
        <v>15</v>
      </c>
      <c r="H79" s="167"/>
      <c r="I79" s="138"/>
      <c r="J79" s="138"/>
      <c r="K79" s="166"/>
      <c r="L79" s="138"/>
      <c r="M79" s="166"/>
      <c r="N79" s="166"/>
      <c r="O79" s="167"/>
      <c r="P79" s="164"/>
      <c r="Q79" s="164"/>
      <c r="R79" s="164"/>
    </row>
    <row r="80" spans="2:18" s="56" customFormat="1">
      <c r="B80" s="140"/>
      <c r="C80" s="140"/>
      <c r="H80" s="75">
        <f>SUM(H77:H79)</f>
        <v>102</v>
      </c>
      <c r="N80" s="1"/>
      <c r="O80" s="61"/>
    </row>
    <row r="81" spans="2:18" s="56" customFormat="1"/>
    <row r="82" spans="2:18" s="56" customFormat="1" ht="25.5">
      <c r="B82" s="137" t="s">
        <v>16</v>
      </c>
      <c r="C82" s="137" t="s">
        <v>17</v>
      </c>
      <c r="D82" s="138" t="s">
        <v>11</v>
      </c>
      <c r="E82" s="138"/>
      <c r="F82" s="138"/>
      <c r="G82" s="138"/>
      <c r="H82" s="28" t="s">
        <v>12</v>
      </c>
      <c r="I82" s="28" t="s">
        <v>14</v>
      </c>
      <c r="J82" s="18" t="s">
        <v>68</v>
      </c>
      <c r="K82" s="11" t="s">
        <v>92</v>
      </c>
      <c r="L82" s="11" t="s">
        <v>93</v>
      </c>
      <c r="M82" s="27" t="s">
        <v>94</v>
      </c>
      <c r="N82" s="27" t="s">
        <v>84</v>
      </c>
      <c r="O82" s="27" t="s">
        <v>91</v>
      </c>
      <c r="P82" s="11" t="s">
        <v>98</v>
      </c>
      <c r="Q82" s="11" t="s">
        <v>99</v>
      </c>
      <c r="R82" s="11" t="s">
        <v>100</v>
      </c>
    </row>
    <row r="83" spans="2:18" s="56" customFormat="1">
      <c r="B83" s="137"/>
      <c r="C83" s="137"/>
      <c r="D83" s="27" t="s">
        <v>0</v>
      </c>
      <c r="E83" s="27" t="s">
        <v>1</v>
      </c>
      <c r="F83" s="27" t="s">
        <v>2</v>
      </c>
      <c r="G83" s="27" t="s">
        <v>3</v>
      </c>
      <c r="H83" s="27" t="s">
        <v>4</v>
      </c>
      <c r="I83" s="27" t="s">
        <v>6</v>
      </c>
      <c r="J83" s="26"/>
      <c r="K83" s="26" t="s">
        <v>96</v>
      </c>
      <c r="L83" s="26" t="s">
        <v>96</v>
      </c>
      <c r="M83" s="26" t="s">
        <v>96</v>
      </c>
      <c r="N83" s="26" t="s">
        <v>96</v>
      </c>
      <c r="O83" s="58" t="s">
        <v>95</v>
      </c>
      <c r="P83" s="11" t="s">
        <v>102</v>
      </c>
      <c r="Q83" s="26" t="s">
        <v>96</v>
      </c>
      <c r="R83" s="58" t="s">
        <v>95</v>
      </c>
    </row>
    <row r="84" spans="2:18" s="56" customFormat="1" ht="15" customHeight="1">
      <c r="B84" s="58">
        <v>2</v>
      </c>
      <c r="C84" s="27" t="s">
        <v>9</v>
      </c>
      <c r="D84" s="58">
        <v>30</v>
      </c>
      <c r="E84" s="58">
        <v>18</v>
      </c>
      <c r="F84" s="58">
        <v>18</v>
      </c>
      <c r="G84" s="58">
        <v>44</v>
      </c>
      <c r="H84" s="58">
        <f>LARGE(D84:G84,1)</f>
        <v>44</v>
      </c>
      <c r="I84" s="27">
        <v>10</v>
      </c>
      <c r="J84" s="27">
        <v>1</v>
      </c>
      <c r="K84" s="21">
        <v>90</v>
      </c>
      <c r="L84" s="27">
        <v>56</v>
      </c>
      <c r="M84" s="73">
        <v>57</v>
      </c>
      <c r="N84" s="73">
        <f>SUM(K84:M84)/H84</f>
        <v>4.6136363636363633</v>
      </c>
      <c r="O84" s="65">
        <f>(((K84+L84)/$J$7)+(M84/$J$8))/H84</f>
        <v>13.113636363636363</v>
      </c>
      <c r="P84" s="164">
        <f>H87</f>
        <v>102</v>
      </c>
      <c r="Q84" s="164">
        <f>(N84*I84)+(N85*I85)+I86*N86</f>
        <v>657.4521531100479</v>
      </c>
      <c r="R84" s="164">
        <f>O84*I84+O85*I85+I86*O86</f>
        <v>1691.2679425837323</v>
      </c>
    </row>
    <row r="85" spans="2:18" s="56" customFormat="1">
      <c r="B85" s="58">
        <v>1</v>
      </c>
      <c r="C85" s="27" t="s">
        <v>8</v>
      </c>
      <c r="D85" s="58">
        <v>27</v>
      </c>
      <c r="E85" s="58">
        <v>38</v>
      </c>
      <c r="F85" s="58">
        <v>25</v>
      </c>
      <c r="G85" s="58">
        <v>20</v>
      </c>
      <c r="H85" s="58">
        <f>LARGE(D85:G85,1)</f>
        <v>38</v>
      </c>
      <c r="I85" s="27">
        <v>50</v>
      </c>
      <c r="J85" s="27">
        <v>2</v>
      </c>
      <c r="K85" s="21">
        <f>SUM(Distancia!E21:J21)+SUM(Distancia!B21:J21)+SUM(Distancia!B20:J20)*3+SUM(Distancia!B19:J19)+SUM(Distancia!B19:G19)</f>
        <v>96</v>
      </c>
      <c r="L85" s="27">
        <f>SUM(Distancia!P21:U21)+SUM(Distancia!M21:U21)+SUM(Distancia!M20:U20)*3+SUM(Distancia!M19:U19)+SUM(Distancia!M19:R19)</f>
        <v>133</v>
      </c>
      <c r="M85" s="73">
        <f>12*0+14*1.5+12*3</f>
        <v>57</v>
      </c>
      <c r="N85" s="73">
        <f>SUM(K85:M85)/H85</f>
        <v>7.5263157894736841</v>
      </c>
      <c r="O85" s="65">
        <f>(((K85+L85)/$J$7)+(M85/$J$8))/H85</f>
        <v>19.55263157894737</v>
      </c>
      <c r="P85" s="164"/>
      <c r="Q85" s="164"/>
      <c r="R85" s="164"/>
    </row>
    <row r="86" spans="2:18" s="56" customFormat="1">
      <c r="B86" s="58">
        <v>3</v>
      </c>
      <c r="C86" s="27" t="s">
        <v>10</v>
      </c>
      <c r="D86" s="58">
        <v>9</v>
      </c>
      <c r="E86" s="58">
        <v>20</v>
      </c>
      <c r="F86" s="58">
        <v>0</v>
      </c>
      <c r="G86" s="58">
        <v>15</v>
      </c>
      <c r="H86" s="58">
        <f t="shared" ref="H86" si="7">LARGE(D86:G86,1)</f>
        <v>20</v>
      </c>
      <c r="I86" s="27">
        <v>25</v>
      </c>
      <c r="J86" s="27">
        <v>3</v>
      </c>
      <c r="K86" s="21">
        <f>SUM(Distancia!H19:J19)+SUM(Distancia!B19:J19)+SUM(Distancia!B18:J18)*2</f>
        <v>56</v>
      </c>
      <c r="L86" s="49">
        <f>SUM(Distancia!S19:U19)+SUM(Distancia!M19:U19)+SUM(Distancia!M18:U18)*2</f>
        <v>102</v>
      </c>
      <c r="M86" s="73">
        <f>6*0+8*1.5+6*3</f>
        <v>30</v>
      </c>
      <c r="N86" s="73">
        <f>SUM(K86:M86)/H86</f>
        <v>9.4</v>
      </c>
      <c r="O86" s="65">
        <f>(((K86+L86)/$J$7)+(M86/$J$8))/H86</f>
        <v>23.3</v>
      </c>
      <c r="P86" s="164"/>
      <c r="Q86" s="164"/>
      <c r="R86" s="164"/>
    </row>
    <row r="87" spans="2:18" s="56" customFormat="1">
      <c r="B87" s="140"/>
      <c r="C87" s="140"/>
      <c r="H87" s="75">
        <f>SUM(H84:H86)</f>
        <v>102</v>
      </c>
      <c r="N87" s="1"/>
      <c r="O87" s="61"/>
    </row>
    <row r="88" spans="2:18" s="56" customFormat="1"/>
    <row r="89" spans="2:18" s="56" customFormat="1" ht="25.5">
      <c r="B89" s="137" t="s">
        <v>16</v>
      </c>
      <c r="C89" s="137" t="s">
        <v>17</v>
      </c>
      <c r="D89" s="138" t="s">
        <v>11</v>
      </c>
      <c r="E89" s="138"/>
      <c r="F89" s="138"/>
      <c r="G89" s="138"/>
      <c r="H89" s="28" t="s">
        <v>12</v>
      </c>
      <c r="I89" s="28" t="s">
        <v>14</v>
      </c>
      <c r="J89" s="18" t="s">
        <v>69</v>
      </c>
      <c r="K89" s="11" t="s">
        <v>92</v>
      </c>
      <c r="L89" s="11" t="s">
        <v>93</v>
      </c>
      <c r="M89" s="27" t="s">
        <v>94</v>
      </c>
      <c r="N89" s="27" t="s">
        <v>84</v>
      </c>
      <c r="O89" s="27" t="s">
        <v>91</v>
      </c>
      <c r="P89" s="11" t="s">
        <v>98</v>
      </c>
      <c r="Q89" s="11" t="s">
        <v>99</v>
      </c>
      <c r="R89" s="11" t="s">
        <v>100</v>
      </c>
    </row>
    <row r="90" spans="2:18" s="56" customFormat="1">
      <c r="B90" s="137"/>
      <c r="C90" s="137"/>
      <c r="D90" s="27" t="s">
        <v>0</v>
      </c>
      <c r="E90" s="27" t="s">
        <v>1</v>
      </c>
      <c r="F90" s="27" t="s">
        <v>2</v>
      </c>
      <c r="G90" s="27" t="s">
        <v>3</v>
      </c>
      <c r="H90" s="27" t="s">
        <v>4</v>
      </c>
      <c r="I90" s="27" t="s">
        <v>6</v>
      </c>
      <c r="J90" s="26"/>
      <c r="K90" s="26" t="s">
        <v>96</v>
      </c>
      <c r="L90" s="26" t="s">
        <v>96</v>
      </c>
      <c r="M90" s="26" t="s">
        <v>96</v>
      </c>
      <c r="N90" s="26" t="s">
        <v>96</v>
      </c>
      <c r="O90" s="58" t="s">
        <v>95</v>
      </c>
      <c r="P90" s="11" t="s">
        <v>102</v>
      </c>
      <c r="Q90" s="26" t="s">
        <v>96</v>
      </c>
      <c r="R90" s="58" t="s">
        <v>95</v>
      </c>
    </row>
    <row r="91" spans="2:18" s="56" customFormat="1" ht="15" customHeight="1">
      <c r="B91" s="58">
        <v>3</v>
      </c>
      <c r="C91" s="27" t="s">
        <v>10</v>
      </c>
      <c r="D91" s="58">
        <v>9</v>
      </c>
      <c r="E91" s="58">
        <v>20</v>
      </c>
      <c r="F91" s="58">
        <v>0</v>
      </c>
      <c r="G91" s="58">
        <v>15</v>
      </c>
      <c r="H91" s="58">
        <f t="shared" ref="H91" si="8">LARGE(D91:G91,1)</f>
        <v>20</v>
      </c>
      <c r="I91" s="27">
        <v>25</v>
      </c>
      <c r="J91" s="27">
        <v>1</v>
      </c>
      <c r="K91" s="21">
        <f>SUM(Distancia!B23:J23)*3+SUM(Distancia!B22:D22)</f>
        <v>53</v>
      </c>
      <c r="L91" s="27">
        <f>SUM(Distancia!M23:U23)*3+SUM(Distancia!M22:O22)</f>
        <v>12</v>
      </c>
      <c r="M91" s="73">
        <f>14*0+12*1.5+12*3</f>
        <v>54</v>
      </c>
      <c r="N91" s="73">
        <f>SUM(K91:M91)/H91</f>
        <v>5.95</v>
      </c>
      <c r="O91" s="65">
        <f>(((K91+L91)/$J$7)+(M91/$J$8))/H91</f>
        <v>20</v>
      </c>
      <c r="P91" s="164">
        <f>H94</f>
        <v>84</v>
      </c>
      <c r="Q91" s="164">
        <f>(N91*I91)+(N92*I92)</f>
        <v>557.96875</v>
      </c>
      <c r="R91" s="164">
        <f>O91*I91+O92*I92</f>
        <v>1550.46875</v>
      </c>
    </row>
    <row r="92" spans="2:18" s="56" customFormat="1">
      <c r="B92" s="58">
        <v>1</v>
      </c>
      <c r="C92" s="27" t="s">
        <v>8</v>
      </c>
      <c r="D92" s="58">
        <v>27</v>
      </c>
      <c r="E92" s="58">
        <v>38</v>
      </c>
      <c r="F92" s="58">
        <v>25</v>
      </c>
      <c r="G92" s="58">
        <v>20</v>
      </c>
      <c r="H92" s="167">
        <v>64</v>
      </c>
      <c r="I92" s="138">
        <v>60</v>
      </c>
      <c r="J92" s="138">
        <v>2</v>
      </c>
      <c r="K92" s="166">
        <f>SUM(Distancia!E22:J22)+SUM(Distancia!B22:J22)*2+SUM(Distancia!B20:J21)*3+SUM(Distancia!B19:J19)*2</f>
        <v>168</v>
      </c>
      <c r="L92" s="138">
        <f>SUM(Distancia!P22:U22)+SUM(Distancia!M22:U22)*2+SUM(Distancia!M20:U21)*3+SUM(Distancia!M19:U19)*2</f>
        <v>186</v>
      </c>
      <c r="M92" s="166">
        <f>22*0+19*1.5+18*3</f>
        <v>82.5</v>
      </c>
      <c r="N92" s="166">
        <f>SUM(K92:M93)/H92</f>
        <v>6.8203125</v>
      </c>
      <c r="O92" s="167">
        <f>(((K92+L92)/$J$7)+(M92/$J$8))/H92</f>
        <v>17.5078125</v>
      </c>
      <c r="P92" s="164"/>
      <c r="Q92" s="164"/>
      <c r="R92" s="164"/>
    </row>
    <row r="93" spans="2:18" s="56" customFormat="1">
      <c r="B93" s="58">
        <v>2</v>
      </c>
      <c r="C93" s="27" t="s">
        <v>9</v>
      </c>
      <c r="D93" s="58">
        <v>30</v>
      </c>
      <c r="E93" s="58">
        <v>18</v>
      </c>
      <c r="F93" s="58">
        <v>18</v>
      </c>
      <c r="G93" s="58">
        <v>44</v>
      </c>
      <c r="H93" s="167"/>
      <c r="I93" s="138"/>
      <c r="J93" s="138"/>
      <c r="K93" s="166"/>
      <c r="L93" s="138"/>
      <c r="M93" s="166"/>
      <c r="N93" s="166"/>
      <c r="O93" s="167"/>
      <c r="P93" s="164"/>
      <c r="Q93" s="164"/>
      <c r="R93" s="164"/>
    </row>
    <row r="94" spans="2:18" s="56" customFormat="1">
      <c r="B94" s="140"/>
      <c r="C94" s="140"/>
      <c r="H94" s="75">
        <f>SUM(H91:H93)</f>
        <v>84</v>
      </c>
      <c r="N94" s="1"/>
      <c r="O94" s="61"/>
    </row>
    <row r="95" spans="2:18" s="56" customFormat="1"/>
    <row r="96" spans="2:18" s="56" customFormat="1" ht="25.5">
      <c r="B96" s="137" t="s">
        <v>16</v>
      </c>
      <c r="C96" s="137" t="s">
        <v>17</v>
      </c>
      <c r="D96" s="138" t="s">
        <v>11</v>
      </c>
      <c r="E96" s="138"/>
      <c r="F96" s="138"/>
      <c r="G96" s="138"/>
      <c r="H96" s="28" t="s">
        <v>12</v>
      </c>
      <c r="I96" s="28" t="s">
        <v>14</v>
      </c>
      <c r="J96" s="18" t="s">
        <v>70</v>
      </c>
      <c r="K96" s="11" t="s">
        <v>92</v>
      </c>
      <c r="L96" s="11" t="s">
        <v>93</v>
      </c>
      <c r="M96" s="27" t="s">
        <v>94</v>
      </c>
      <c r="N96" s="27" t="s">
        <v>84</v>
      </c>
      <c r="O96" s="27" t="s">
        <v>91</v>
      </c>
      <c r="P96" s="11" t="s">
        <v>98</v>
      </c>
      <c r="Q96" s="11" t="s">
        <v>99</v>
      </c>
      <c r="R96" s="11" t="s">
        <v>100</v>
      </c>
    </row>
    <row r="97" spans="2:18" s="56" customFormat="1">
      <c r="B97" s="137"/>
      <c r="C97" s="137"/>
      <c r="D97" s="27" t="s">
        <v>0</v>
      </c>
      <c r="E97" s="27" t="s">
        <v>1</v>
      </c>
      <c r="F97" s="27" t="s">
        <v>2</v>
      </c>
      <c r="G97" s="27" t="s">
        <v>3</v>
      </c>
      <c r="H97" s="27" t="s">
        <v>4</v>
      </c>
      <c r="I97" s="27" t="s">
        <v>6</v>
      </c>
      <c r="J97" s="26"/>
      <c r="K97" s="26" t="s">
        <v>96</v>
      </c>
      <c r="L97" s="26" t="s">
        <v>96</v>
      </c>
      <c r="M97" s="26" t="s">
        <v>96</v>
      </c>
      <c r="N97" s="26" t="s">
        <v>96</v>
      </c>
      <c r="O97" s="58" t="s">
        <v>95</v>
      </c>
      <c r="P97" s="11" t="s">
        <v>102</v>
      </c>
      <c r="Q97" s="26" t="s">
        <v>96</v>
      </c>
      <c r="R97" s="58" t="s">
        <v>95</v>
      </c>
    </row>
    <row r="98" spans="2:18" s="56" customFormat="1" ht="15" customHeight="1">
      <c r="B98" s="58">
        <v>3</v>
      </c>
      <c r="C98" s="27" t="s">
        <v>10</v>
      </c>
      <c r="D98" s="58">
        <v>9</v>
      </c>
      <c r="E98" s="58">
        <v>20</v>
      </c>
      <c r="F98" s="58">
        <v>0</v>
      </c>
      <c r="G98" s="58">
        <v>15</v>
      </c>
      <c r="H98" s="58">
        <f>LARGE(D98:G98,1)</f>
        <v>20</v>
      </c>
      <c r="I98" s="27">
        <v>25</v>
      </c>
      <c r="J98" s="27">
        <v>1</v>
      </c>
      <c r="K98" s="73">
        <f>SUM(Distancia!B23:J23)*3+SUM(Distancia!B22:D22)</f>
        <v>53</v>
      </c>
      <c r="L98" s="49">
        <f>SUM(Distancia!M23:U23)*3+SUM(Distancia!M22:O22)</f>
        <v>12</v>
      </c>
      <c r="M98" s="73">
        <f>8*0+6*1.5+6*3</f>
        <v>27</v>
      </c>
      <c r="N98" s="73">
        <f>SUM(K98:M98)/H98</f>
        <v>4.5999999999999996</v>
      </c>
      <c r="O98" s="65">
        <f>(((K98+L98)/$J$7)+(M98/$J$8))/H98</f>
        <v>13.25</v>
      </c>
      <c r="P98" s="164">
        <f>H101</f>
        <v>102</v>
      </c>
      <c r="Q98" s="164">
        <f>(N98*I98)+(N99*I99)+I100*N100</f>
        <v>507.71531100478467</v>
      </c>
      <c r="R98" s="164">
        <f>O98*I98+O99*I99+I100*O100</f>
        <v>1372.7930622009569</v>
      </c>
    </row>
    <row r="99" spans="2:18" s="56" customFormat="1">
      <c r="B99" s="58">
        <v>1</v>
      </c>
      <c r="C99" s="27" t="s">
        <v>8</v>
      </c>
      <c r="D99" s="58">
        <v>27</v>
      </c>
      <c r="E99" s="58">
        <v>38</v>
      </c>
      <c r="F99" s="58">
        <v>25</v>
      </c>
      <c r="G99" s="58">
        <v>20</v>
      </c>
      <c r="H99" s="58">
        <f>LARGE(D99:G99,1)</f>
        <v>38</v>
      </c>
      <c r="I99" s="27">
        <v>50</v>
      </c>
      <c r="J99" s="27">
        <v>2</v>
      </c>
      <c r="K99" s="21">
        <f>SUM(Distancia!E22:J22)+SUM(Distancia!B22:J22)*2+SUM(Distancia!B21:J21)*3+SUM(Distancia!B20:G20)</f>
        <v>96</v>
      </c>
      <c r="L99" s="27">
        <f>SUM(Distancia!P22:U22)+SUM(Distancia!M22:U22)*2+SUM(Distancia!M21:U21)*3+SUM(Distancia!M20:R20)</f>
        <v>83</v>
      </c>
      <c r="M99" s="73">
        <f>14*0+12*1.5+12*3</f>
        <v>54</v>
      </c>
      <c r="N99" s="73">
        <f>SUM(K99:M99)/H99</f>
        <v>6.1315789473684212</v>
      </c>
      <c r="O99" s="65">
        <f>(((K99+L99)/$J$7)+(M99/$J$8))/H99</f>
        <v>16.526315789473685</v>
      </c>
      <c r="P99" s="164"/>
      <c r="Q99" s="164"/>
      <c r="R99" s="164"/>
    </row>
    <row r="100" spans="2:18" s="56" customFormat="1">
      <c r="B100" s="58">
        <v>2</v>
      </c>
      <c r="C100" s="27" t="s">
        <v>9</v>
      </c>
      <c r="D100" s="58">
        <v>30</v>
      </c>
      <c r="E100" s="58">
        <v>18</v>
      </c>
      <c r="F100" s="58">
        <v>18</v>
      </c>
      <c r="G100" s="58">
        <v>44</v>
      </c>
      <c r="H100" s="58">
        <f t="shared" ref="H100" si="9">LARGE(D100:G100,1)</f>
        <v>44</v>
      </c>
      <c r="I100" s="27">
        <v>10</v>
      </c>
      <c r="J100" s="27">
        <v>3</v>
      </c>
      <c r="K100" s="21">
        <f>SUM(Distancia!H20:J20)+SUM(Distancia!B20:J20)*2+SUM(Distancia!B19:J19)*3+SUM(Distancia!B18:J18)*2</f>
        <v>120</v>
      </c>
      <c r="L100" s="27">
        <f>SUM(Distancia!S20:U20)+SUM(Distancia!M20:U20)*2+SUM(Distancia!M19:U19)*3+SUM(Distancia!M18:U18)*2</f>
        <v>196</v>
      </c>
      <c r="M100" s="73">
        <f>14*0+18*1.5+12*3</f>
        <v>63</v>
      </c>
      <c r="N100" s="73">
        <f>SUM(K100:M100)/H100</f>
        <v>8.6136363636363633</v>
      </c>
      <c r="O100" s="65">
        <f>(((K100+L100)/$J$7)+(M100/$J$8))/H100</f>
        <v>21.522727272727273</v>
      </c>
      <c r="P100" s="164"/>
      <c r="Q100" s="164"/>
      <c r="R100" s="164"/>
    </row>
    <row r="101" spans="2:18" s="56" customFormat="1">
      <c r="B101" s="140"/>
      <c r="C101" s="140"/>
      <c r="H101" s="75">
        <f>SUM(H98:H100)</f>
        <v>102</v>
      </c>
      <c r="N101" s="1"/>
      <c r="O101" s="61"/>
    </row>
    <row r="102" spans="2:18" s="56" customFormat="1"/>
    <row r="103" spans="2:18" s="56" customFormat="1" ht="25.5">
      <c r="B103" s="137" t="s">
        <v>16</v>
      </c>
      <c r="C103" s="137" t="s">
        <v>17</v>
      </c>
      <c r="D103" s="138" t="s">
        <v>11</v>
      </c>
      <c r="E103" s="138"/>
      <c r="F103" s="138"/>
      <c r="G103" s="138"/>
      <c r="H103" s="28" t="s">
        <v>12</v>
      </c>
      <c r="I103" s="28" t="s">
        <v>14</v>
      </c>
      <c r="J103" s="18" t="s">
        <v>71</v>
      </c>
      <c r="K103" s="11" t="s">
        <v>92</v>
      </c>
      <c r="L103" s="11" t="s">
        <v>93</v>
      </c>
      <c r="M103" s="27" t="s">
        <v>94</v>
      </c>
      <c r="N103" s="27" t="s">
        <v>84</v>
      </c>
      <c r="O103" s="27" t="s">
        <v>91</v>
      </c>
      <c r="P103" s="11" t="s">
        <v>98</v>
      </c>
      <c r="Q103" s="11" t="s">
        <v>99</v>
      </c>
      <c r="R103" s="11" t="s">
        <v>100</v>
      </c>
    </row>
    <row r="104" spans="2:18" s="56" customFormat="1">
      <c r="B104" s="137"/>
      <c r="C104" s="137"/>
      <c r="D104" s="27" t="s">
        <v>0</v>
      </c>
      <c r="E104" s="27" t="s">
        <v>1</v>
      </c>
      <c r="F104" s="27" t="s">
        <v>2</v>
      </c>
      <c r="G104" s="27" t="s">
        <v>3</v>
      </c>
      <c r="H104" s="27" t="s">
        <v>4</v>
      </c>
      <c r="I104" s="27" t="s">
        <v>6</v>
      </c>
      <c r="J104" s="26"/>
      <c r="K104" s="26" t="s">
        <v>96</v>
      </c>
      <c r="L104" s="26" t="s">
        <v>96</v>
      </c>
      <c r="M104" s="26" t="s">
        <v>96</v>
      </c>
      <c r="N104" s="26" t="s">
        <v>96</v>
      </c>
      <c r="O104" s="58" t="s">
        <v>95</v>
      </c>
      <c r="P104" s="11" t="s">
        <v>102</v>
      </c>
      <c r="Q104" s="26" t="s">
        <v>96</v>
      </c>
      <c r="R104" s="58" t="s">
        <v>95</v>
      </c>
    </row>
    <row r="105" spans="2:18" s="56" customFormat="1" ht="15" customHeight="1">
      <c r="B105" s="58">
        <v>2</v>
      </c>
      <c r="C105" s="27" t="s">
        <v>9</v>
      </c>
      <c r="D105" s="58">
        <v>30</v>
      </c>
      <c r="E105" s="58">
        <v>18</v>
      </c>
      <c r="F105" s="58">
        <v>18</v>
      </c>
      <c r="G105" s="58">
        <v>44</v>
      </c>
      <c r="H105" s="58">
        <f t="shared" ref="H105:H106" si="10">LARGE(D105:G105,1)</f>
        <v>44</v>
      </c>
      <c r="I105" s="27">
        <v>10</v>
      </c>
      <c r="J105" s="27">
        <v>1</v>
      </c>
      <c r="K105" s="73">
        <v>90</v>
      </c>
      <c r="L105" s="49">
        <v>56</v>
      </c>
      <c r="M105" s="73">
        <v>57</v>
      </c>
      <c r="N105" s="73">
        <f>SUM(K105:M105)/H105</f>
        <v>4.6136363636363633</v>
      </c>
      <c r="O105" s="65">
        <f>(((K105+L105)/$J$7)+(M105/$J$8))/H105</f>
        <v>13.113636363636363</v>
      </c>
      <c r="P105" s="164">
        <f>H108</f>
        <v>102</v>
      </c>
      <c r="Q105" s="164">
        <f>(N105*I105)+(N106*I106)+I107*N107</f>
        <v>664.88636363636363</v>
      </c>
      <c r="R105" s="164">
        <f>O105*I105+O106*I106+I107*O107</f>
        <v>1718.5705741626793</v>
      </c>
    </row>
    <row r="106" spans="2:18" s="56" customFormat="1">
      <c r="B106" s="58">
        <v>3</v>
      </c>
      <c r="C106" s="27" t="s">
        <v>10</v>
      </c>
      <c r="D106" s="58">
        <v>9</v>
      </c>
      <c r="E106" s="58">
        <v>20</v>
      </c>
      <c r="F106" s="58">
        <v>0</v>
      </c>
      <c r="G106" s="58">
        <v>15</v>
      </c>
      <c r="H106" s="58">
        <f t="shared" si="10"/>
        <v>20</v>
      </c>
      <c r="I106" s="27">
        <v>25</v>
      </c>
      <c r="J106" s="27">
        <v>2</v>
      </c>
      <c r="K106" s="21">
        <f>SUM(Distancia!E21:J21)+SUM(Distancia!B21:J21)+SUM(Distancia!B20:J20)+SUM(Distancia!B20:G20)</f>
        <v>48</v>
      </c>
      <c r="L106" s="27">
        <f>SUM(Distancia!P21:U21)+SUM(Distancia!M21:U21)+SUM(Distancia!M20:U20)+SUM(Distancia!M20:R20)</f>
        <v>60</v>
      </c>
      <c r="M106" s="73">
        <f>8*0+6*1.5+6*3</f>
        <v>27</v>
      </c>
      <c r="N106" s="73">
        <f>SUM(K106:M106)/H106</f>
        <v>6.75</v>
      </c>
      <c r="O106" s="65">
        <f>(((K106+L106)/$J$7)+(M106/$J$8))/H106</f>
        <v>17.55</v>
      </c>
      <c r="P106" s="164"/>
      <c r="Q106" s="164"/>
      <c r="R106" s="164"/>
    </row>
    <row r="107" spans="2:18" s="56" customFormat="1" ht="13.5" customHeight="1">
      <c r="B107" s="58">
        <v>1</v>
      </c>
      <c r="C107" s="27" t="s">
        <v>8</v>
      </c>
      <c r="D107" s="58">
        <v>27</v>
      </c>
      <c r="E107" s="58">
        <v>38</v>
      </c>
      <c r="F107" s="58">
        <v>25</v>
      </c>
      <c r="G107" s="58">
        <v>20</v>
      </c>
      <c r="H107" s="58">
        <f>LARGE(D107:G107,1)</f>
        <v>38</v>
      </c>
      <c r="I107" s="27">
        <v>50</v>
      </c>
      <c r="J107" s="27">
        <v>3</v>
      </c>
      <c r="K107" s="21">
        <f>SUM(Distancia!H20:J20)+SUM(Distancia!B20:J20)+SUM(Distancia!B19:J19)*3+SUM(Distancia!B18:J18)*2</f>
        <v>104</v>
      </c>
      <c r="L107" s="27">
        <f>SUM(Distancia!S20:U20)+SUM(Distancia!M20:U20)+SUM(Distancia!M19:U19)*3+SUM(Distancia!M18:U18)*2</f>
        <v>175</v>
      </c>
      <c r="M107" s="73">
        <f>14*0+18*1.5+12*3</f>
        <v>63</v>
      </c>
      <c r="N107" s="73">
        <f>SUM(K107:M107)/H107</f>
        <v>9</v>
      </c>
      <c r="O107" s="65">
        <f>(((K107+L107)/$J$7)+(M107/$J$8))/H107</f>
        <v>22.973684210526315</v>
      </c>
      <c r="P107" s="164"/>
      <c r="Q107" s="164"/>
      <c r="R107" s="164"/>
    </row>
    <row r="108" spans="2:18" s="56" customFormat="1">
      <c r="B108" s="140"/>
      <c r="C108" s="140"/>
      <c r="H108" s="75">
        <f>SUM(H105:H107)</f>
        <v>102</v>
      </c>
      <c r="N108" s="1"/>
      <c r="O108" s="61"/>
    </row>
    <row r="109" spans="2:18" s="56" customFormat="1"/>
    <row r="110" spans="2:18" s="56" customFormat="1" ht="25.5" customHeight="1">
      <c r="B110" s="137" t="s">
        <v>16</v>
      </c>
      <c r="C110" s="137" t="s">
        <v>17</v>
      </c>
      <c r="D110" s="138" t="s">
        <v>11</v>
      </c>
      <c r="E110" s="138"/>
      <c r="F110" s="138"/>
      <c r="G110" s="138"/>
      <c r="H110" s="28" t="s">
        <v>12</v>
      </c>
      <c r="I110" s="28" t="s">
        <v>14</v>
      </c>
      <c r="J110" s="18" t="s">
        <v>72</v>
      </c>
      <c r="K110" s="11" t="s">
        <v>92</v>
      </c>
      <c r="L110" s="11" t="s">
        <v>93</v>
      </c>
      <c r="M110" s="27" t="s">
        <v>94</v>
      </c>
      <c r="N110" s="27" t="s">
        <v>84</v>
      </c>
      <c r="O110" s="27" t="s">
        <v>91</v>
      </c>
      <c r="P110" s="11" t="s">
        <v>98</v>
      </c>
      <c r="Q110" s="11" t="s">
        <v>99</v>
      </c>
      <c r="R110" s="11" t="s">
        <v>100</v>
      </c>
    </row>
    <row r="111" spans="2:18" s="56" customFormat="1">
      <c r="B111" s="137"/>
      <c r="C111" s="137"/>
      <c r="D111" s="27" t="s">
        <v>0</v>
      </c>
      <c r="E111" s="27" t="s">
        <v>1</v>
      </c>
      <c r="F111" s="27" t="s">
        <v>2</v>
      </c>
      <c r="G111" s="27" t="s">
        <v>3</v>
      </c>
      <c r="H111" s="27" t="s">
        <v>4</v>
      </c>
      <c r="I111" s="27" t="s">
        <v>6</v>
      </c>
      <c r="J111" s="26"/>
      <c r="K111" s="26" t="s">
        <v>96</v>
      </c>
      <c r="L111" s="26" t="s">
        <v>96</v>
      </c>
      <c r="M111" s="26" t="s">
        <v>96</v>
      </c>
      <c r="N111" s="26" t="s">
        <v>96</v>
      </c>
      <c r="O111" s="58" t="s">
        <v>95</v>
      </c>
      <c r="P111" s="11" t="s">
        <v>102</v>
      </c>
      <c r="Q111" s="26" t="s">
        <v>96</v>
      </c>
      <c r="R111" s="58" t="s">
        <v>95</v>
      </c>
    </row>
    <row r="112" spans="2:18" s="56" customFormat="1" ht="15" customHeight="1">
      <c r="B112" s="58">
        <v>3</v>
      </c>
      <c r="C112" s="27" t="s">
        <v>10</v>
      </c>
      <c r="D112" s="58">
        <v>9</v>
      </c>
      <c r="E112" s="58">
        <v>20</v>
      </c>
      <c r="F112" s="58">
        <v>0</v>
      </c>
      <c r="G112" s="58">
        <v>15</v>
      </c>
      <c r="H112" s="58">
        <f>LARGE(D112:G112,1)</f>
        <v>20</v>
      </c>
      <c r="I112" s="27">
        <v>25</v>
      </c>
      <c r="J112" s="27">
        <v>1</v>
      </c>
      <c r="K112" s="73">
        <f>SUM(Distancia!B23:J23)*3+SUM(Distancia!B22:D22)</f>
        <v>53</v>
      </c>
      <c r="L112" s="49">
        <f>SUM(Distancia!M23:U23)*3+SUM(Distancia!M22:O22)</f>
        <v>12</v>
      </c>
      <c r="M112" s="73">
        <f>8*0+6*1.5+6*3</f>
        <v>27</v>
      </c>
      <c r="N112" s="73">
        <f>SUM(K112:M112)/H112</f>
        <v>4.5999999999999996</v>
      </c>
      <c r="O112" s="65">
        <f>(((K112+L112)/$J$7)+(M112/$J$8))/H112</f>
        <v>13.25</v>
      </c>
      <c r="P112" s="164">
        <f>H115</f>
        <v>102</v>
      </c>
      <c r="Q112" s="164">
        <f>(N112*I112)+(N113*I113)+I114*N114</f>
        <v>619.83253588516754</v>
      </c>
      <c r="R112" s="164">
        <f>O112*I112+O113*I113+I114*O114</f>
        <v>1606.8241626794261</v>
      </c>
    </row>
    <row r="113" spans="2:18" s="56" customFormat="1" ht="13.5" customHeight="1">
      <c r="B113" s="58">
        <v>2</v>
      </c>
      <c r="C113" s="27" t="s">
        <v>9</v>
      </c>
      <c r="D113" s="58">
        <v>30</v>
      </c>
      <c r="E113" s="58">
        <v>18</v>
      </c>
      <c r="F113" s="58">
        <v>18</v>
      </c>
      <c r="G113" s="58">
        <v>44</v>
      </c>
      <c r="H113" s="58">
        <f t="shared" ref="H113" si="11">LARGE(D113:G113,1)</f>
        <v>44</v>
      </c>
      <c r="I113" s="27">
        <v>10</v>
      </c>
      <c r="J113" s="27">
        <v>2</v>
      </c>
      <c r="K113" s="21">
        <f>SUM(Distancia!E22:J22)+SUM(Distancia!B22:J22)*2+SUM(Distancia!B21:J21)*3+SUM(Distancia!B20:J20)+SUM(Distancia!B20:G20)</f>
        <v>112</v>
      </c>
      <c r="L113" s="27">
        <f>SUM(Distancia!P22:U22)+SUM(Distancia!M22:U22)*2+SUM(Distancia!M21:U21)*3+SUM(Distancia!M20:U20)+SUM(Distancia!M20:R20)</f>
        <v>104</v>
      </c>
      <c r="M113" s="73">
        <f>16*0+16*1.5+12*3</f>
        <v>60</v>
      </c>
      <c r="N113" s="73">
        <f>SUM(K113:M113)/H113</f>
        <v>6.2727272727272725</v>
      </c>
      <c r="O113" s="65">
        <f>(((K113+L113)/$J$7)+(M113/$J$8))/H113</f>
        <v>16.636363636363637</v>
      </c>
      <c r="P113" s="164"/>
      <c r="Q113" s="164"/>
      <c r="R113" s="164"/>
    </row>
    <row r="114" spans="2:18" s="56" customFormat="1">
      <c r="B114" s="58">
        <v>1</v>
      </c>
      <c r="C114" s="27" t="s">
        <v>8</v>
      </c>
      <c r="D114" s="58">
        <v>27</v>
      </c>
      <c r="E114" s="58">
        <v>38</v>
      </c>
      <c r="F114" s="58">
        <v>25</v>
      </c>
      <c r="G114" s="58">
        <v>20</v>
      </c>
      <c r="H114" s="58">
        <f>LARGE(D114:G114,1)</f>
        <v>38</v>
      </c>
      <c r="I114" s="27">
        <v>50</v>
      </c>
      <c r="J114" s="27">
        <v>3</v>
      </c>
      <c r="K114" s="21">
        <f>SUM(Distancia!H20:J20)+SUM(Distancia!B20:J20)+SUM(Distancia!B19:J19)*3+SUM(Distancia!B18:J18)*2</f>
        <v>104</v>
      </c>
      <c r="L114" s="27">
        <f>SUM(Distancia!S20:U20)+SUM(Distancia!M20:U20)+SUM(Distancia!M19:U19)*3+SUM(Distancia!M18:U18)*2</f>
        <v>175</v>
      </c>
      <c r="M114" s="73">
        <f>12*0+14*1.5+12*3</f>
        <v>57</v>
      </c>
      <c r="N114" s="73">
        <f>SUM(K114:M114)/H114</f>
        <v>8.8421052631578956</v>
      </c>
      <c r="O114" s="65">
        <f>(((K114+L114)/$J$7)+(M114/$J$8))/H114</f>
        <v>22.184210526315791</v>
      </c>
      <c r="P114" s="164"/>
      <c r="Q114" s="164"/>
      <c r="R114" s="164"/>
    </row>
    <row r="115" spans="2:18" s="56" customFormat="1">
      <c r="B115" s="140"/>
      <c r="C115" s="140"/>
      <c r="H115" s="75">
        <f>SUM(H112:H114)</f>
        <v>102</v>
      </c>
      <c r="N115" s="1"/>
      <c r="O115" s="61"/>
    </row>
    <row r="116" spans="2:18" s="56" customFormat="1"/>
    <row r="117" spans="2:18" s="56" customFormat="1"/>
    <row r="118" spans="2:18" s="56" customFormat="1"/>
    <row r="119" spans="2:18" s="56" customFormat="1"/>
    <row r="120" spans="2:18" s="56" customFormat="1"/>
    <row r="121" spans="2:18" s="56" customFormat="1"/>
  </sheetData>
  <mergeCells count="198">
    <mergeCell ref="P84:P86"/>
    <mergeCell ref="Q63:Q65"/>
    <mergeCell ref="R63:R65"/>
    <mergeCell ref="Q105:Q107"/>
    <mergeCell ref="R105:R107"/>
    <mergeCell ref="Q112:Q114"/>
    <mergeCell ref="R112:R114"/>
    <mergeCell ref="Q84:Q86"/>
    <mergeCell ref="O92:O93"/>
    <mergeCell ref="Q91:Q93"/>
    <mergeCell ref="R91:R93"/>
    <mergeCell ref="O78:O79"/>
    <mergeCell ref="Q98:Q100"/>
    <mergeCell ref="R98:R100"/>
    <mergeCell ref="Q77:Q79"/>
    <mergeCell ref="R77:R79"/>
    <mergeCell ref="P77:P79"/>
    <mergeCell ref="P63:P65"/>
    <mergeCell ref="P112:P114"/>
    <mergeCell ref="P105:P107"/>
    <mergeCell ref="P98:P100"/>
    <mergeCell ref="P91:P93"/>
    <mergeCell ref="R84:R86"/>
    <mergeCell ref="I92:I93"/>
    <mergeCell ref="H92:H93"/>
    <mergeCell ref="J92:J93"/>
    <mergeCell ref="K92:K93"/>
    <mergeCell ref="L92:L93"/>
    <mergeCell ref="M92:M93"/>
    <mergeCell ref="N92:N93"/>
    <mergeCell ref="I78:I79"/>
    <mergeCell ref="H78:H79"/>
    <mergeCell ref="J78:J79"/>
    <mergeCell ref="N78:N79"/>
    <mergeCell ref="M78:M79"/>
    <mergeCell ref="L78:L79"/>
    <mergeCell ref="K78:K79"/>
    <mergeCell ref="J70:J71"/>
    <mergeCell ref="I70:I71"/>
    <mergeCell ref="H70:H71"/>
    <mergeCell ref="Q70:Q72"/>
    <mergeCell ref="R70:R72"/>
    <mergeCell ref="K70:K71"/>
    <mergeCell ref="L70:L71"/>
    <mergeCell ref="M70:M71"/>
    <mergeCell ref="N70:N71"/>
    <mergeCell ref="O70:O71"/>
    <mergeCell ref="P70:P72"/>
    <mergeCell ref="N50:N51"/>
    <mergeCell ref="O50:O51"/>
    <mergeCell ref="I50:I51"/>
    <mergeCell ref="H50:H51"/>
    <mergeCell ref="K50:K51"/>
    <mergeCell ref="L50:L51"/>
    <mergeCell ref="M50:M51"/>
    <mergeCell ref="J50:J51"/>
    <mergeCell ref="K42:K43"/>
    <mergeCell ref="L42:L43"/>
    <mergeCell ref="M42:M43"/>
    <mergeCell ref="N42:N43"/>
    <mergeCell ref="O42:O43"/>
    <mergeCell ref="Q56:Q58"/>
    <mergeCell ref="R56:R58"/>
    <mergeCell ref="R35:R37"/>
    <mergeCell ref="Q42:Q44"/>
    <mergeCell ref="R42:R44"/>
    <mergeCell ref="Q49:Q51"/>
    <mergeCell ref="R49:R51"/>
    <mergeCell ref="P42:P44"/>
    <mergeCell ref="P35:P37"/>
    <mergeCell ref="Q35:Q37"/>
    <mergeCell ref="P56:P58"/>
    <mergeCell ref="P49:P51"/>
    <mergeCell ref="K35:K36"/>
    <mergeCell ref="L35:L36"/>
    <mergeCell ref="M35:M36"/>
    <mergeCell ref="N35:N36"/>
    <mergeCell ref="O35:O36"/>
    <mergeCell ref="Q28:Q30"/>
    <mergeCell ref="R28:R30"/>
    <mergeCell ref="N17:O17"/>
    <mergeCell ref="N18:O18"/>
    <mergeCell ref="N19:O19"/>
    <mergeCell ref="M28:M30"/>
    <mergeCell ref="N6:O6"/>
    <mergeCell ref="P28:P30"/>
    <mergeCell ref="N7:O7"/>
    <mergeCell ref="N8:O8"/>
    <mergeCell ref="N14:O14"/>
    <mergeCell ref="N15:O15"/>
    <mergeCell ref="N16:O16"/>
    <mergeCell ref="N9:O9"/>
    <mergeCell ref="N10:O10"/>
    <mergeCell ref="N11:O11"/>
    <mergeCell ref="N12:O12"/>
    <mergeCell ref="N13:O13"/>
    <mergeCell ref="N28:N30"/>
    <mergeCell ref="O28:O30"/>
    <mergeCell ref="H35:H36"/>
    <mergeCell ref="I35:I36"/>
    <mergeCell ref="J35:J36"/>
    <mergeCell ref="I42:I43"/>
    <mergeCell ref="H42:H43"/>
    <mergeCell ref="J42:J43"/>
    <mergeCell ref="B1:B2"/>
    <mergeCell ref="C1:C2"/>
    <mergeCell ref="D1:G1"/>
    <mergeCell ref="B26:B27"/>
    <mergeCell ref="C26:C27"/>
    <mergeCell ref="D26:G26"/>
    <mergeCell ref="A7:B7"/>
    <mergeCell ref="A8:B8"/>
    <mergeCell ref="A9:B9"/>
    <mergeCell ref="E10:F10"/>
    <mergeCell ref="E9:F9"/>
    <mergeCell ref="E8:F8"/>
    <mergeCell ref="E7:F7"/>
    <mergeCell ref="B13:C13"/>
    <mergeCell ref="H13:I13"/>
    <mergeCell ref="H14:I14"/>
    <mergeCell ref="H15:I15"/>
    <mergeCell ref="B14:C14"/>
    <mergeCell ref="B15:C15"/>
    <mergeCell ref="E13:F13"/>
    <mergeCell ref="E14:F14"/>
    <mergeCell ref="E15:F15"/>
    <mergeCell ref="B17:C17"/>
    <mergeCell ref="E17:F17"/>
    <mergeCell ref="H17:I17"/>
    <mergeCell ref="B18:C18"/>
    <mergeCell ref="E18:F18"/>
    <mergeCell ref="H18:I18"/>
    <mergeCell ref="H22:I22"/>
    <mergeCell ref="B23:C23"/>
    <mergeCell ref="E23:F23"/>
    <mergeCell ref="H23:I23"/>
    <mergeCell ref="B19:C19"/>
    <mergeCell ref="E19:F19"/>
    <mergeCell ref="H19:I19"/>
    <mergeCell ref="B21:C21"/>
    <mergeCell ref="E21:F21"/>
    <mergeCell ref="H21:I21"/>
    <mergeCell ref="B33:B34"/>
    <mergeCell ref="C33:C34"/>
    <mergeCell ref="D33:G33"/>
    <mergeCell ref="B22:C22"/>
    <mergeCell ref="E22:F22"/>
    <mergeCell ref="B31:C31"/>
    <mergeCell ref="B45:C45"/>
    <mergeCell ref="B47:B48"/>
    <mergeCell ref="C47:C48"/>
    <mergeCell ref="D47:G47"/>
    <mergeCell ref="B38:C38"/>
    <mergeCell ref="B40:B41"/>
    <mergeCell ref="C40:C41"/>
    <mergeCell ref="D40:G40"/>
    <mergeCell ref="B59:C59"/>
    <mergeCell ref="B61:B62"/>
    <mergeCell ref="C61:C62"/>
    <mergeCell ref="D61:G61"/>
    <mergeCell ref="B52:C52"/>
    <mergeCell ref="B54:B55"/>
    <mergeCell ref="C54:C55"/>
    <mergeCell ref="D54:G54"/>
    <mergeCell ref="B73:C73"/>
    <mergeCell ref="B115:C115"/>
    <mergeCell ref="B108:C108"/>
    <mergeCell ref="B110:B111"/>
    <mergeCell ref="C110:C111"/>
    <mergeCell ref="D110:G110"/>
    <mergeCell ref="B101:C101"/>
    <mergeCell ref="B103:B104"/>
    <mergeCell ref="C103:C104"/>
    <mergeCell ref="D103:G103"/>
    <mergeCell ref="B94:C94"/>
    <mergeCell ref="B96:B97"/>
    <mergeCell ref="C96:C97"/>
    <mergeCell ref="D96:G96"/>
    <mergeCell ref="H28:H30"/>
    <mergeCell ref="I28:I30"/>
    <mergeCell ref="J28:J30"/>
    <mergeCell ref="K28:K30"/>
    <mergeCell ref="L28:L30"/>
    <mergeCell ref="B75:B76"/>
    <mergeCell ref="C75:C76"/>
    <mergeCell ref="D75:G75"/>
    <mergeCell ref="B66:C66"/>
    <mergeCell ref="B68:B69"/>
    <mergeCell ref="C68:C69"/>
    <mergeCell ref="D68:G68"/>
    <mergeCell ref="B87:C87"/>
    <mergeCell ref="B89:B90"/>
    <mergeCell ref="C89:C90"/>
    <mergeCell ref="D89:G89"/>
    <mergeCell ref="B80:C80"/>
    <mergeCell ref="B82:B83"/>
    <mergeCell ref="C82:C83"/>
    <mergeCell ref="D82:G8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68"/>
  <sheetViews>
    <sheetView zoomScaleNormal="100" workbookViewId="0">
      <selection activeCell="G2" sqref="G2"/>
    </sheetView>
  </sheetViews>
  <sheetFormatPr defaultColWidth="9.140625" defaultRowHeight="15"/>
  <cols>
    <col min="1" max="1" width="19.140625" style="100" bestFit="1" customWidth="1"/>
    <col min="2" max="3" width="12.28515625" style="100" bestFit="1" customWidth="1"/>
    <col min="4" max="4" width="12.42578125" style="100" bestFit="1" customWidth="1"/>
    <col min="5" max="5" width="11.28515625" style="100" bestFit="1" customWidth="1"/>
    <col min="6" max="6" width="5.28515625" style="100" bestFit="1" customWidth="1"/>
    <col min="7" max="13" width="14.5703125" style="100" bestFit="1" customWidth="1"/>
    <col min="14" max="14" width="14.5703125" style="113" bestFit="1" customWidth="1"/>
    <col min="15" max="18" width="14.5703125" style="100" bestFit="1" customWidth="1"/>
    <col min="19" max="19" width="16" style="100" bestFit="1" customWidth="1"/>
    <col min="20" max="21" width="9.140625" style="100"/>
    <col min="22" max="22" width="12.42578125" style="100" bestFit="1" customWidth="1"/>
    <col min="23" max="16384" width="9.140625" style="100"/>
  </cols>
  <sheetData>
    <row r="1" spans="1:18">
      <c r="A1" s="97" t="s">
        <v>106</v>
      </c>
      <c r="B1" s="97" t="s">
        <v>107</v>
      </c>
      <c r="C1" s="97" t="s">
        <v>108</v>
      </c>
      <c r="D1" s="97" t="s">
        <v>109</v>
      </c>
      <c r="E1" s="98"/>
      <c r="F1" s="98"/>
      <c r="G1" s="98"/>
      <c r="H1" s="98"/>
      <c r="I1" s="98"/>
      <c r="J1" s="98"/>
      <c r="K1" s="98"/>
      <c r="L1" s="98"/>
      <c r="M1" s="98"/>
      <c r="N1" s="99"/>
      <c r="O1" s="98"/>
      <c r="P1" s="98"/>
      <c r="Q1" s="98"/>
      <c r="R1" s="98"/>
    </row>
    <row r="2" spans="1:18">
      <c r="A2" s="97" t="s">
        <v>110</v>
      </c>
      <c r="B2" s="116">
        <v>0.3</v>
      </c>
      <c r="C2" s="116">
        <v>0.3</v>
      </c>
      <c r="D2" s="116">
        <v>0.4</v>
      </c>
      <c r="E2" s="98"/>
      <c r="F2" s="98"/>
      <c r="G2" s="131" t="s">
        <v>135</v>
      </c>
      <c r="H2" s="98"/>
      <c r="I2" s="98"/>
      <c r="J2" s="98"/>
      <c r="K2" s="98"/>
      <c r="L2" s="98"/>
      <c r="M2" s="98"/>
      <c r="N2" s="99"/>
      <c r="O2" s="98"/>
      <c r="P2" s="98"/>
      <c r="Q2" s="98"/>
      <c r="R2" s="98"/>
    </row>
    <row r="3" spans="1:18">
      <c r="A3" s="97" t="s">
        <v>128</v>
      </c>
      <c r="B3" s="101">
        <f>MAX(B13:B28)</f>
        <v>102</v>
      </c>
      <c r="C3" s="101">
        <f>MAX(C13:C28)</f>
        <v>615.67583732057415</v>
      </c>
      <c r="D3" s="101">
        <f>MAX(D13:D28)</f>
        <v>1620.1495215311006</v>
      </c>
      <c r="E3" s="98"/>
      <c r="F3" s="98"/>
      <c r="G3" s="98"/>
      <c r="H3" s="98"/>
      <c r="I3" s="98"/>
      <c r="J3" s="98"/>
      <c r="K3" s="98"/>
      <c r="L3" s="98"/>
      <c r="M3" s="98"/>
      <c r="N3" s="99"/>
      <c r="O3" s="98"/>
      <c r="P3" s="98"/>
      <c r="Q3" s="98"/>
      <c r="R3" s="98"/>
    </row>
    <row r="4" spans="1:18">
      <c r="A4" s="97" t="s">
        <v>129</v>
      </c>
      <c r="B4" s="101">
        <f>MIN(B13:B28)</f>
        <v>79</v>
      </c>
      <c r="C4" s="101">
        <f t="shared" ref="C4:D4" si="0">MIN(C13:C28)</f>
        <v>453.19976076555025</v>
      </c>
      <c r="D4" s="101">
        <f t="shared" si="0"/>
        <v>1263.761961722488</v>
      </c>
      <c r="E4" s="98"/>
      <c r="F4" s="98"/>
      <c r="G4" s="98"/>
      <c r="H4" s="98"/>
      <c r="I4" s="98"/>
      <c r="J4" s="98"/>
      <c r="K4" s="98"/>
      <c r="L4" s="98"/>
      <c r="M4" s="98"/>
      <c r="N4" s="99"/>
      <c r="O4" s="98"/>
      <c r="P4" s="98"/>
      <c r="Q4" s="98"/>
      <c r="R4" s="98"/>
    </row>
    <row r="5" spans="1:18">
      <c r="A5" s="97" t="s">
        <v>111</v>
      </c>
      <c r="B5" s="116">
        <f>B3*0.95</f>
        <v>96.899999999999991</v>
      </c>
      <c r="C5" s="116">
        <f t="shared" ref="C5:D5" si="1">C3*0.95</f>
        <v>584.89204545454538</v>
      </c>
      <c r="D5" s="116">
        <f t="shared" si="1"/>
        <v>1539.1420454545455</v>
      </c>
      <c r="E5" s="120" t="s">
        <v>133</v>
      </c>
      <c r="F5" s="98"/>
      <c r="G5" s="98"/>
      <c r="H5" s="98"/>
      <c r="I5" s="98"/>
      <c r="J5" s="98"/>
      <c r="K5" s="98"/>
      <c r="L5" s="98"/>
      <c r="M5" s="98"/>
      <c r="N5" s="99"/>
      <c r="O5" s="98"/>
      <c r="P5" s="98"/>
      <c r="Q5" s="98"/>
      <c r="R5" s="98"/>
    </row>
    <row r="6" spans="1:18">
      <c r="A6" s="97" t="s">
        <v>112</v>
      </c>
      <c r="B6" s="116">
        <f>B3*0.97</f>
        <v>98.94</v>
      </c>
      <c r="C6" s="116">
        <f t="shared" ref="C6:D6" si="2">C3*0.97</f>
        <v>597.20556220095693</v>
      </c>
      <c r="D6" s="116">
        <f t="shared" si="2"/>
        <v>1571.5450358851676</v>
      </c>
      <c r="E6" s="120" t="s">
        <v>134</v>
      </c>
      <c r="F6" s="98"/>
      <c r="G6" s="98"/>
      <c r="H6" s="98"/>
      <c r="I6" s="98"/>
      <c r="J6" s="98"/>
      <c r="K6" s="98"/>
      <c r="L6" s="98"/>
      <c r="M6" s="98"/>
      <c r="N6" s="99"/>
      <c r="O6" s="98"/>
      <c r="P6" s="98"/>
      <c r="Q6" s="98"/>
      <c r="R6" s="98"/>
    </row>
    <row r="7" spans="1:18">
      <c r="A7" s="102" t="s">
        <v>113</v>
      </c>
      <c r="B7" s="101">
        <f t="shared" ref="B7:D8" si="3">-B5/B$3</f>
        <v>-0.95</v>
      </c>
      <c r="C7" s="101">
        <f t="shared" si="3"/>
        <v>-0.95</v>
      </c>
      <c r="D7" s="101">
        <f t="shared" si="3"/>
        <v>-0.95</v>
      </c>
      <c r="E7" s="98"/>
      <c r="F7" s="98"/>
      <c r="G7" s="98"/>
      <c r="H7" s="98"/>
      <c r="I7" s="98"/>
      <c r="J7" s="98"/>
      <c r="K7" s="98"/>
      <c r="L7" s="98"/>
      <c r="M7" s="98"/>
      <c r="N7" s="99"/>
      <c r="O7" s="98"/>
      <c r="P7" s="98"/>
      <c r="Q7" s="98"/>
      <c r="R7" s="98"/>
    </row>
    <row r="8" spans="1:18">
      <c r="A8" s="102" t="s">
        <v>114</v>
      </c>
      <c r="B8" s="101">
        <f t="shared" si="3"/>
        <v>-0.97</v>
      </c>
      <c r="C8" s="101">
        <f t="shared" si="3"/>
        <v>-0.97</v>
      </c>
      <c r="D8" s="101">
        <f t="shared" si="3"/>
        <v>-0.97</v>
      </c>
      <c r="E8" s="98"/>
      <c r="F8" s="98"/>
      <c r="G8" s="98"/>
      <c r="H8" s="98"/>
      <c r="I8" s="98"/>
      <c r="J8" s="98"/>
      <c r="K8" s="98"/>
      <c r="L8" s="98"/>
      <c r="M8" s="98"/>
      <c r="N8" s="99"/>
      <c r="O8" s="98"/>
      <c r="P8" s="98"/>
      <c r="Q8" s="98"/>
      <c r="R8" s="98"/>
    </row>
    <row r="9" spans="1:18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9"/>
      <c r="O9" s="98"/>
      <c r="P9" s="98"/>
      <c r="Q9" s="98"/>
      <c r="R9" s="98"/>
    </row>
    <row r="10" spans="1:18">
      <c r="A10" s="175" t="s">
        <v>115</v>
      </c>
      <c r="B10" s="175"/>
      <c r="C10" s="175"/>
      <c r="D10" s="175"/>
      <c r="E10" s="175"/>
      <c r="F10" s="103"/>
      <c r="G10" s="103"/>
      <c r="H10" s="104"/>
      <c r="I10" s="104"/>
      <c r="J10" s="104"/>
      <c r="K10" s="104"/>
      <c r="L10" s="104"/>
      <c r="M10" s="104"/>
      <c r="N10" s="105"/>
      <c r="O10" s="104"/>
      <c r="P10" s="104"/>
      <c r="Q10" s="104"/>
      <c r="R10" s="104"/>
    </row>
    <row r="11" spans="1:18">
      <c r="A11" s="98"/>
      <c r="B11" s="98"/>
      <c r="C11" s="98"/>
      <c r="D11" s="98"/>
      <c r="E11" s="98"/>
      <c r="F11" s="98"/>
      <c r="G11" s="98"/>
      <c r="I11" s="98"/>
      <c r="J11" s="98"/>
      <c r="K11" s="98"/>
      <c r="L11" s="98"/>
      <c r="M11" s="98"/>
      <c r="N11" s="99"/>
      <c r="O11" s="98"/>
      <c r="P11" s="98"/>
      <c r="Q11" s="98"/>
      <c r="R11" s="98"/>
    </row>
    <row r="12" spans="1:18">
      <c r="A12" s="106" t="s">
        <v>116</v>
      </c>
      <c r="B12" s="107" t="s">
        <v>117</v>
      </c>
      <c r="C12" s="107" t="s">
        <v>118</v>
      </c>
      <c r="D12" s="107" t="s">
        <v>119</v>
      </c>
      <c r="E12" s="98"/>
      <c r="F12" s="98"/>
      <c r="G12" s="98"/>
      <c r="H12" s="98"/>
      <c r="I12" s="98"/>
      <c r="J12" s="98"/>
      <c r="K12" s="98"/>
      <c r="L12" s="98"/>
      <c r="M12" s="98"/>
      <c r="N12" s="99"/>
      <c r="O12" s="98"/>
      <c r="P12" s="98"/>
      <c r="Q12" s="98"/>
      <c r="R12" s="98"/>
    </row>
    <row r="13" spans="1:18">
      <c r="A13" s="118" t="str">
        <f>'soluções apenas GA'!N7</f>
        <v>Cb = {[1], [1], [1]}</v>
      </c>
      <c r="B13" s="115">
        <f>'soluções apenas GA'!P7</f>
        <v>79</v>
      </c>
      <c r="C13" s="109">
        <f>'soluções apenas GA'!Q7</f>
        <v>489.01898734177212</v>
      </c>
      <c r="D13" s="109">
        <f>'soluções apenas GA'!R7</f>
        <v>1355.6962025316454</v>
      </c>
      <c r="E13" s="98"/>
      <c r="F13" s="98"/>
      <c r="G13" s="98"/>
      <c r="H13" s="98"/>
      <c r="I13" s="98"/>
      <c r="J13" s="98"/>
      <c r="K13" s="98"/>
      <c r="L13" s="98"/>
      <c r="M13" s="98"/>
      <c r="N13" s="99"/>
      <c r="O13" s="98"/>
      <c r="P13" s="98"/>
      <c r="Q13" s="98"/>
      <c r="R13" s="98"/>
    </row>
    <row r="14" spans="1:18" ht="15" customHeight="1">
      <c r="A14" s="118" t="str">
        <f>'soluções apenas GA'!N8</f>
        <v>Cb = {[1], [1], [2]}</v>
      </c>
      <c r="B14" s="109">
        <f>'soluções apenas GA'!P8</f>
        <v>84</v>
      </c>
      <c r="C14" s="109">
        <f>'soluções apenas GA'!Q8</f>
        <v>507.96875</v>
      </c>
      <c r="D14" s="109">
        <f>'soluções apenas GA'!R8</f>
        <v>1394.21875</v>
      </c>
      <c r="E14" s="98"/>
      <c r="F14" s="98"/>
      <c r="G14" s="98"/>
      <c r="H14" s="98"/>
      <c r="I14" s="98"/>
      <c r="J14" s="98"/>
      <c r="K14" s="98"/>
      <c r="L14" s="98"/>
      <c r="M14" s="98"/>
      <c r="N14" s="99"/>
      <c r="O14" s="98"/>
      <c r="P14" s="98"/>
      <c r="Q14" s="98"/>
      <c r="R14" s="98"/>
    </row>
    <row r="15" spans="1:18">
      <c r="A15" s="118" t="str">
        <f>'soluções apenas GA'!N9</f>
        <v>Cb = {[1], [2], [1]}</v>
      </c>
      <c r="B15" s="109">
        <f>'soluções apenas GA'!P9</f>
        <v>102</v>
      </c>
      <c r="C15" s="109">
        <f>'soluções apenas GA'!Q9</f>
        <v>458.40909090909093</v>
      </c>
      <c r="D15" s="109">
        <f>'soluções apenas GA'!R9</f>
        <v>1286.2695924764889</v>
      </c>
      <c r="E15" s="98"/>
      <c r="F15" s="98"/>
      <c r="G15" s="98"/>
      <c r="H15" s="98"/>
      <c r="I15" s="98"/>
      <c r="J15" s="98"/>
      <c r="K15" s="98"/>
      <c r="L15" s="98"/>
      <c r="M15" s="98"/>
      <c r="N15" s="99"/>
      <c r="O15" s="98"/>
      <c r="P15" s="98"/>
      <c r="Q15" s="98"/>
      <c r="R15" s="98"/>
    </row>
    <row r="16" spans="1:18">
      <c r="A16" s="118" t="str">
        <f>'soluções apenas GA'!N10</f>
        <v>Cb = {[1], [2], [2]}</v>
      </c>
      <c r="B16" s="109">
        <f>'soluções apenas GA'!P10</f>
        <v>97</v>
      </c>
      <c r="C16" s="109">
        <f>'soluções apenas GA'!Q10</f>
        <v>474.68108831400531</v>
      </c>
      <c r="D16" s="109">
        <f>'soluções apenas GA'!R10</f>
        <v>1309.3421052631579</v>
      </c>
      <c r="E16" s="98"/>
      <c r="F16" s="98"/>
      <c r="G16" s="98"/>
      <c r="H16" s="98"/>
      <c r="I16" s="98"/>
      <c r="J16" s="98"/>
      <c r="K16" s="98"/>
      <c r="L16" s="98"/>
      <c r="M16" s="98"/>
      <c r="N16" s="99"/>
      <c r="O16" s="98"/>
      <c r="P16" s="98"/>
      <c r="Q16" s="98"/>
      <c r="R16" s="98"/>
    </row>
    <row r="17" spans="1:19">
      <c r="A17" s="118" t="str">
        <f>'soluções apenas GA'!N11</f>
        <v>Cb = {[1], [2], [3]}</v>
      </c>
      <c r="B17" s="109">
        <f>'soluções apenas GA'!P11</f>
        <v>102</v>
      </c>
      <c r="C17" s="109">
        <f>'soluções apenas GA'!Q11</f>
        <v>506.04066985645932</v>
      </c>
      <c r="D17" s="109">
        <f>'soluções apenas GA'!R11</f>
        <v>1378.6483253588499</v>
      </c>
      <c r="E17" s="98"/>
      <c r="F17" s="98"/>
      <c r="G17" s="98"/>
      <c r="H17" s="98"/>
      <c r="I17" s="98"/>
      <c r="J17" s="98"/>
      <c r="K17" s="98"/>
      <c r="L17" s="98"/>
      <c r="M17" s="98"/>
      <c r="N17" s="99"/>
      <c r="O17" s="98"/>
      <c r="P17" s="98"/>
      <c r="Q17" s="98"/>
      <c r="R17" s="98"/>
    </row>
    <row r="18" spans="1:19">
      <c r="A18" s="118" t="str">
        <f>'soluções apenas GA'!N12</f>
        <v>Cb = {[1], [3], [2]}</v>
      </c>
      <c r="B18" s="109">
        <f>'soluções apenas GA'!P12</f>
        <v>102</v>
      </c>
      <c r="C18" s="115">
        <f>'soluções apenas GA'!Q12</f>
        <v>453.19976076555025</v>
      </c>
      <c r="D18" s="115">
        <f>'soluções apenas GA'!R12</f>
        <v>1263.761961722488</v>
      </c>
      <c r="E18" s="98"/>
      <c r="F18" s="98"/>
      <c r="G18" s="98"/>
      <c r="H18" s="98"/>
      <c r="I18" s="98"/>
      <c r="J18" s="98"/>
      <c r="K18" s="98"/>
      <c r="L18" s="98"/>
      <c r="M18" s="98"/>
      <c r="N18" s="99"/>
      <c r="O18" s="98"/>
      <c r="P18" s="98"/>
      <c r="Q18" s="98"/>
      <c r="R18" s="98"/>
    </row>
    <row r="19" spans="1:19">
      <c r="A19" s="118" t="str">
        <f>'soluções apenas GA'!N13</f>
        <v>Cb = {[2], [1], [1]}</v>
      </c>
      <c r="B19" s="109">
        <f>'soluções apenas GA'!P13</f>
        <v>97</v>
      </c>
      <c r="C19" s="109">
        <f>'soluções apenas GA'!Q13</f>
        <v>568.65298840321145</v>
      </c>
      <c r="D19" s="109">
        <f>'soluções apenas GA'!R13</f>
        <v>1500.5374665477252</v>
      </c>
      <c r="E19" s="98"/>
      <c r="F19" s="98"/>
      <c r="G19" s="98"/>
      <c r="H19" s="98"/>
      <c r="I19" s="98"/>
      <c r="J19" s="98"/>
      <c r="K19" s="98"/>
      <c r="L19" s="98"/>
      <c r="M19" s="98"/>
      <c r="N19" s="99"/>
      <c r="O19" s="98"/>
      <c r="P19" s="98"/>
      <c r="Q19" s="98"/>
      <c r="R19" s="98"/>
    </row>
    <row r="20" spans="1:19">
      <c r="A20" s="118" t="str">
        <f>'soluções apenas GA'!N14</f>
        <v>Cb = {[2], [1], [2]}</v>
      </c>
      <c r="B20" s="109">
        <f>'soluções apenas GA'!P14</f>
        <v>102</v>
      </c>
      <c r="C20" s="109">
        <f>'soluções apenas GA'!Q14</f>
        <v>609.92946708463955</v>
      </c>
      <c r="D20" s="109">
        <f>'soluções apenas GA'!R14</f>
        <v>1596.2225705329156</v>
      </c>
      <c r="E20" s="98"/>
      <c r="F20" s="98"/>
      <c r="G20" s="98"/>
      <c r="H20" s="98"/>
      <c r="I20" s="98"/>
      <c r="J20" s="98"/>
      <c r="K20" s="98"/>
      <c r="L20" s="98"/>
      <c r="M20" s="98"/>
      <c r="N20" s="99"/>
      <c r="O20" s="98"/>
      <c r="P20" s="98"/>
      <c r="Q20" s="98"/>
      <c r="R20" s="98"/>
    </row>
    <row r="21" spans="1:19">
      <c r="A21" s="118" t="str">
        <f>'soluções apenas GA'!N15</f>
        <v>Cb = {[2], [1], [3]}</v>
      </c>
      <c r="B21" s="109">
        <f>'soluções apenas GA'!P15</f>
        <v>102</v>
      </c>
      <c r="C21" s="109">
        <f>'soluções apenas GA'!Q15</f>
        <v>608.37320574162675</v>
      </c>
      <c r="D21" s="109">
        <f>'soluções apenas GA'!R15</f>
        <v>1593.11004784689</v>
      </c>
      <c r="E21" s="98"/>
      <c r="F21" s="98"/>
      <c r="G21" s="98"/>
      <c r="H21" s="98"/>
      <c r="I21" s="98"/>
      <c r="J21" s="98"/>
      <c r="K21" s="98"/>
      <c r="L21" s="98"/>
      <c r="M21" s="98"/>
      <c r="N21" s="99"/>
      <c r="O21" s="98"/>
      <c r="P21" s="98"/>
      <c r="Q21" s="98"/>
      <c r="R21" s="98"/>
    </row>
    <row r="22" spans="1:19">
      <c r="A22" s="118" t="str">
        <f>'soluções apenas GA'!N16</f>
        <v>Cb = {[2], [2], [1]}</v>
      </c>
      <c r="B22" s="109">
        <f>'soluções apenas GA'!P16</f>
        <v>84</v>
      </c>
      <c r="C22" s="109">
        <f>'soluções apenas GA'!Q16</f>
        <v>504.84375</v>
      </c>
      <c r="D22" s="109">
        <f>'soluções apenas GA'!R16</f>
        <v>1444.21875</v>
      </c>
      <c r="E22" s="98"/>
      <c r="F22" s="98"/>
      <c r="G22" s="98"/>
      <c r="H22" s="98"/>
      <c r="I22" s="98"/>
      <c r="J22" s="98"/>
      <c r="K22" s="98"/>
      <c r="L22" s="98"/>
      <c r="M22" s="98"/>
      <c r="N22" s="99"/>
      <c r="O22" s="98"/>
      <c r="P22" s="98"/>
      <c r="Q22" s="98"/>
      <c r="R22" s="98"/>
    </row>
    <row r="23" spans="1:19">
      <c r="A23" s="118" t="str">
        <f>'soluções apenas GA'!N17</f>
        <v>Cb = {[2], [3], [1]}</v>
      </c>
      <c r="B23" s="109">
        <f>'soluções apenas GA'!P17</f>
        <v>102</v>
      </c>
      <c r="C23" s="109">
        <f>'soluções apenas GA'!Q17</f>
        <v>455.56818181818181</v>
      </c>
      <c r="D23" s="109">
        <f>'soluções apenas GA'!R17</f>
        <v>1268.4988038277511</v>
      </c>
      <c r="E23" s="98"/>
      <c r="F23" s="98"/>
      <c r="G23" s="98"/>
      <c r="H23" s="98"/>
      <c r="I23" s="98"/>
      <c r="J23" s="98"/>
      <c r="K23" s="98"/>
      <c r="L23" s="98"/>
      <c r="M23" s="98"/>
      <c r="N23" s="99"/>
      <c r="O23" s="98"/>
      <c r="P23" s="98"/>
      <c r="Q23" s="98"/>
      <c r="R23" s="98"/>
    </row>
    <row r="24" spans="1:19">
      <c r="A24" s="118" t="str">
        <f>'soluções apenas GA'!N18</f>
        <v>Cb = {[3], [1], [2]}</v>
      </c>
      <c r="B24" s="109">
        <f>'soluções apenas GA'!P18</f>
        <v>102</v>
      </c>
      <c r="C24" s="109">
        <f>'soluções apenas GA'!Q18</f>
        <v>615.67583732057415</v>
      </c>
      <c r="D24" s="109">
        <f>'soluções apenas GA'!R18</f>
        <v>1620.1495215311006</v>
      </c>
      <c r="E24" s="98"/>
      <c r="F24" s="98"/>
      <c r="G24" s="98"/>
      <c r="H24" s="98"/>
      <c r="I24" s="98"/>
      <c r="J24" s="98"/>
      <c r="K24" s="98"/>
      <c r="L24" s="98"/>
      <c r="M24" s="98"/>
      <c r="N24" s="99"/>
      <c r="O24" s="98"/>
      <c r="P24" s="98"/>
      <c r="Q24" s="98"/>
      <c r="R24" s="98"/>
    </row>
    <row r="25" spans="1:19">
      <c r="A25" s="118" t="str">
        <f>'soluções apenas GA'!N19</f>
        <v>Cb = {[3], [2], [1]}</v>
      </c>
      <c r="B25" s="109">
        <f>'soluções apenas GA'!P19</f>
        <v>102</v>
      </c>
      <c r="C25" s="109">
        <f>'soluções apenas GA'!Q19</f>
        <v>565.50837320574158</v>
      </c>
      <c r="D25" s="109">
        <f>'soluções apenas GA'!R19</f>
        <v>1498.1758373205739</v>
      </c>
      <c r="E25" s="98"/>
      <c r="F25" s="98"/>
      <c r="G25" s="98"/>
      <c r="H25" s="98"/>
      <c r="I25" s="98"/>
      <c r="J25" s="98"/>
      <c r="K25" s="98"/>
      <c r="L25" s="98"/>
      <c r="M25" s="98"/>
      <c r="N25" s="99"/>
      <c r="O25" s="98"/>
      <c r="P25" s="98"/>
      <c r="Q25" s="98"/>
      <c r="R25" s="98"/>
    </row>
    <row r="26" spans="1:19">
      <c r="A26" s="108"/>
      <c r="B26" s="109"/>
      <c r="C26" s="109"/>
      <c r="D26" s="109"/>
      <c r="E26" s="98"/>
      <c r="F26" s="98"/>
      <c r="G26" s="98"/>
      <c r="H26" s="98"/>
      <c r="I26" s="98"/>
      <c r="J26" s="98"/>
      <c r="K26" s="98"/>
      <c r="L26" s="98"/>
      <c r="M26" s="98"/>
      <c r="N26" s="99"/>
      <c r="O26" s="98"/>
      <c r="P26" s="98"/>
      <c r="Q26" s="98"/>
      <c r="R26" s="98"/>
    </row>
    <row r="27" spans="1:19">
      <c r="A27" s="108"/>
      <c r="B27" s="109"/>
      <c r="C27" s="109"/>
      <c r="D27" s="109"/>
      <c r="E27" s="98"/>
      <c r="F27" s="98"/>
      <c r="G27" s="98"/>
      <c r="H27" s="98"/>
      <c r="I27" s="98"/>
      <c r="J27" s="98"/>
      <c r="K27" s="98"/>
      <c r="L27" s="98"/>
      <c r="M27" s="98"/>
      <c r="N27" s="99"/>
      <c r="O27" s="98"/>
      <c r="P27" s="98"/>
      <c r="Q27" s="98"/>
      <c r="R27" s="98"/>
    </row>
    <row r="28" spans="1:19">
      <c r="A28" s="108"/>
      <c r="B28" s="109"/>
      <c r="C28" s="109"/>
      <c r="D28" s="109"/>
      <c r="E28" s="98"/>
      <c r="F28" s="98"/>
      <c r="G28" s="98"/>
      <c r="H28" s="98"/>
      <c r="I28" s="98"/>
      <c r="J28" s="98"/>
      <c r="K28" s="98"/>
      <c r="L28" s="98"/>
      <c r="M28" s="98"/>
      <c r="N28" s="99"/>
      <c r="O28" s="98"/>
      <c r="P28" s="98"/>
      <c r="Q28" s="98"/>
      <c r="R28" s="98"/>
    </row>
    <row r="29" spans="1:19">
      <c r="H29" s="98"/>
      <c r="I29" s="98"/>
      <c r="J29" s="98"/>
      <c r="K29" s="98"/>
      <c r="L29" s="98"/>
      <c r="M29" s="98"/>
      <c r="N29" s="99"/>
      <c r="O29" s="98"/>
      <c r="P29" s="98"/>
      <c r="Q29" s="98"/>
      <c r="R29" s="98"/>
    </row>
    <row r="30" spans="1:19">
      <c r="A30" s="175" t="s">
        <v>130</v>
      </c>
      <c r="B30" s="175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04"/>
    </row>
    <row r="31" spans="1:19">
      <c r="A31" s="98"/>
      <c r="B31" s="98"/>
      <c r="C31" s="98"/>
      <c r="D31" s="98"/>
      <c r="E31" s="98"/>
      <c r="F31" s="98"/>
      <c r="G31" s="98" t="str">
        <f t="shared" ref="G31:S31" si="4">IF(AND(G33:G45),"F. PARETO","DOMINADA")</f>
        <v>F. PARETO</v>
      </c>
      <c r="H31" s="98" t="str">
        <f t="shared" si="4"/>
        <v>DOMINADA</v>
      </c>
      <c r="I31" s="98" t="str">
        <f t="shared" si="4"/>
        <v>F. PARETO</v>
      </c>
      <c r="J31" s="98" t="str">
        <f t="shared" si="4"/>
        <v>F. PARETO</v>
      </c>
      <c r="K31" s="98" t="str">
        <f t="shared" si="4"/>
        <v>DOMINADA</v>
      </c>
      <c r="L31" s="98" t="str">
        <f t="shared" si="4"/>
        <v>F. PARETO</v>
      </c>
      <c r="M31" s="98" t="str">
        <f t="shared" si="4"/>
        <v>DOMINADA</v>
      </c>
      <c r="N31" s="98" t="str">
        <f t="shared" si="4"/>
        <v>DOMINADA</v>
      </c>
      <c r="O31" s="98" t="str">
        <f t="shared" si="4"/>
        <v>DOMINADA</v>
      </c>
      <c r="P31" s="98" t="str">
        <f t="shared" si="4"/>
        <v>DOMINADA</v>
      </c>
      <c r="Q31" s="98" t="str">
        <f t="shared" si="4"/>
        <v>F. PARETO</v>
      </c>
      <c r="R31" s="98" t="str">
        <f t="shared" si="4"/>
        <v>DOMINADA</v>
      </c>
      <c r="S31" s="98" t="str">
        <f t="shared" si="4"/>
        <v>DOMINADA</v>
      </c>
    </row>
    <row r="32" spans="1:19">
      <c r="A32" s="106" t="s">
        <v>116</v>
      </c>
      <c r="B32" s="107" t="s">
        <v>117</v>
      </c>
      <c r="C32" s="107" t="s">
        <v>118</v>
      </c>
      <c r="D32" s="107" t="s">
        <v>119</v>
      </c>
      <c r="E32" s="98"/>
      <c r="F32" s="98"/>
      <c r="G32" s="98" t="s">
        <v>32</v>
      </c>
      <c r="H32" s="98" t="s">
        <v>33</v>
      </c>
      <c r="I32" s="98" t="s">
        <v>35</v>
      </c>
      <c r="J32" s="98" t="s">
        <v>36</v>
      </c>
      <c r="K32" s="98" t="s">
        <v>37</v>
      </c>
      <c r="L32" s="98" t="s">
        <v>39</v>
      </c>
      <c r="M32" s="98" t="s">
        <v>42</v>
      </c>
      <c r="N32" s="99" t="s">
        <v>43</v>
      </c>
      <c r="O32" s="98" t="s">
        <v>44</v>
      </c>
      <c r="P32" s="98" t="s">
        <v>45</v>
      </c>
      <c r="Q32" s="98" t="s">
        <v>41</v>
      </c>
      <c r="R32" s="98" t="s">
        <v>51</v>
      </c>
      <c r="S32" s="100" t="s">
        <v>53</v>
      </c>
    </row>
    <row r="33" spans="1:19">
      <c r="A33" s="123" t="str">
        <f>A13</f>
        <v>Cb = {[1], [1], [1]}</v>
      </c>
      <c r="B33" s="115">
        <f>-B13</f>
        <v>-79</v>
      </c>
      <c r="C33" s="109">
        <f t="shared" ref="C33:D33" si="5">-C13</f>
        <v>-489.01898734177212</v>
      </c>
      <c r="D33" s="109">
        <f t="shared" si="5"/>
        <v>-1355.6962025316454</v>
      </c>
      <c r="E33" s="98" t="str">
        <f>G31</f>
        <v>F. PARETO</v>
      </c>
      <c r="F33" s="117"/>
      <c r="G33" s="98">
        <f>IF(OR(B$33&gt;=B33,C$33&gt;=C33,D$33&gt;=D33),1,0)</f>
        <v>1</v>
      </c>
      <c r="H33" s="117">
        <f>IF(OR($B$34&gt;=$B33,$C$34&gt;=$C33,$D$34&gt;=$D33),1,0)</f>
        <v>0</v>
      </c>
      <c r="I33" s="117">
        <f>IF(OR($B$35&gt;=$B33,$C$35&gt;=$C33,$D$35&gt;=$D33),1,0)</f>
        <v>1</v>
      </c>
      <c r="J33" s="117">
        <f>IF(OR($B$36&gt;=$B33,$C$36&gt;=$C33,$D$36&gt;=$D33),1,0)</f>
        <v>1</v>
      </c>
      <c r="K33" s="117">
        <f>IF(OR($B$37&gt;=$B33,$C$37&gt;=$C33,$D$37&gt;=$D33),1,0)</f>
        <v>0</v>
      </c>
      <c r="L33" s="117">
        <f>IF(OR($B$38&gt;=$B33,$C$38&gt;=$C33,$D$38&gt;=$D33),1,0)</f>
        <v>1</v>
      </c>
      <c r="M33" s="117">
        <f>IF(OR($B$39&gt;=$B33,$C$39&gt;=$C33,$D$39&gt;=$D33),1,0)</f>
        <v>0</v>
      </c>
      <c r="N33" s="117">
        <f>IF(OR($B$40&gt;=$B33,$C$40&gt;=$C33,$D$40&gt;=$D33),1,0)</f>
        <v>0</v>
      </c>
      <c r="O33" s="117">
        <f>IF(OR($B$41&gt;=$B33,$C$41&gt;=$C33,$D$41&gt;=$D33),1,0)</f>
        <v>0</v>
      </c>
      <c r="P33" s="117">
        <f>IF(OR($B$42&gt;=$B33,$C$42&gt;=$C33,$D$42&gt;=$D33),1,0)</f>
        <v>0</v>
      </c>
      <c r="Q33" s="117">
        <f>IF(OR($B$43&gt;=$B33,$C$43&gt;=$C33,$D$43&gt;=$D33),1,0)</f>
        <v>1</v>
      </c>
      <c r="R33" s="117">
        <f>IF(OR($B$44&gt;=$B33,$C$44&gt;=$C33,$D$44&gt;=$D33),1,0)</f>
        <v>0</v>
      </c>
      <c r="S33" s="117">
        <f t="shared" ref="S33:S45" si="6">IF(OR($B$45&gt;=$B33,$C$45&gt;=$C33,$D$45&gt;=$D33),1,0)</f>
        <v>0</v>
      </c>
    </row>
    <row r="34" spans="1:19" ht="15" customHeight="1">
      <c r="A34" s="118" t="str">
        <f t="shared" ref="A34:A45" si="7">A14</f>
        <v>Cb = {[1], [1], [2]}</v>
      </c>
      <c r="B34" s="109">
        <f t="shared" ref="B34:D45" si="8">-B14</f>
        <v>-84</v>
      </c>
      <c r="C34" s="109">
        <f t="shared" si="8"/>
        <v>-507.96875</v>
      </c>
      <c r="D34" s="109">
        <f t="shared" si="8"/>
        <v>-1394.21875</v>
      </c>
      <c r="E34" s="98" t="str">
        <f>H31</f>
        <v>DOMINADA</v>
      </c>
      <c r="F34" s="98"/>
      <c r="G34" s="98">
        <f>IF(OR(B$33&gt;=B34,C$33&gt;=C34,D$33&gt;=D34),1,0)</f>
        <v>1</v>
      </c>
      <c r="H34" s="117">
        <f>IF(OR($B$34&gt;=$B34,$C$34&gt;=$C34,$D$34&gt;=$D34),1,0)</f>
        <v>1</v>
      </c>
      <c r="I34" s="117">
        <f t="shared" ref="I34:I44" si="9">IF(OR($B$35&gt;=$B34,$C$35&gt;=$C34,$D$35&gt;=$D34),1,0)</f>
        <v>1</v>
      </c>
      <c r="J34" s="117">
        <f t="shared" ref="J34:J44" si="10">IF(OR($B$36&gt;=$B34,$C$36&gt;=$C34,$D$36&gt;=$D34),1,0)</f>
        <v>1</v>
      </c>
      <c r="K34" s="117">
        <f t="shared" ref="K34:K44" si="11">IF(OR($B$37&gt;=$B34,$C$37&gt;=$C34,$D$37&gt;=$D34),1,0)</f>
        <v>1</v>
      </c>
      <c r="L34" s="117">
        <f t="shared" ref="L34:L44" si="12">IF(OR($B$38&gt;=$B34,$C$38&gt;=$C34,$D$38&gt;=$D34),1,0)</f>
        <v>1</v>
      </c>
      <c r="M34" s="117">
        <f t="shared" ref="M34:M44" si="13">IF(OR($B$39&gt;=$B34,$C$39&gt;=$C34,$D$39&gt;=$D34),1,0)</f>
        <v>0</v>
      </c>
      <c r="N34" s="117">
        <f t="shared" ref="N34:N44" si="14">IF(OR($B$40&gt;=$B34,$C$40&gt;=$C34,$D$40&gt;=$D34),1,0)</f>
        <v>0</v>
      </c>
      <c r="O34" s="117">
        <f t="shared" ref="O34:O44" si="15">IF(OR($B$41&gt;=$B34,$C$41&gt;=$C34,$D$41&gt;=$D34),1,0)</f>
        <v>0</v>
      </c>
      <c r="P34" s="117">
        <f t="shared" ref="P34:P44" si="16">IF(OR($B$42&gt;=$B34,$C$42&gt;=$C34,$D$42&gt;=$D34),1,0)</f>
        <v>1</v>
      </c>
      <c r="Q34" s="117">
        <f t="shared" ref="Q34:Q44" si="17">IF(OR($B$43&gt;=$B34,$C$43&gt;=$C34,$D$43&gt;=$D34),1,0)</f>
        <v>1</v>
      </c>
      <c r="R34" s="117">
        <f t="shared" ref="R34:R44" si="18">IF(OR($B$44&gt;=$B34,$C$44&gt;=$C34,$D$44&gt;=$D34),1,0)</f>
        <v>0</v>
      </c>
      <c r="S34" s="117">
        <f t="shared" si="6"/>
        <v>0</v>
      </c>
    </row>
    <row r="35" spans="1:19">
      <c r="A35" s="123" t="str">
        <f t="shared" si="7"/>
        <v>Cb = {[1], [2], [1]}</v>
      </c>
      <c r="B35" s="109">
        <f t="shared" si="8"/>
        <v>-102</v>
      </c>
      <c r="C35" s="109">
        <f t="shared" si="8"/>
        <v>-458.40909090909093</v>
      </c>
      <c r="D35" s="109">
        <f t="shared" si="8"/>
        <v>-1286.2695924764889</v>
      </c>
      <c r="E35" s="98" t="str">
        <f>I31</f>
        <v>F. PARETO</v>
      </c>
      <c r="F35" s="98"/>
      <c r="G35" s="98">
        <f t="shared" ref="G35:G44" si="19">IF(OR(B$33&gt;=B35,C$33&gt;=C35,D$33&gt;=D35),1,0)</f>
        <v>1</v>
      </c>
      <c r="H35" s="117">
        <f>IF(OR(B$34&gt;=B35,C$34&gt;=C35,D$34&gt;=D35),1,0)</f>
        <v>1</v>
      </c>
      <c r="I35" s="117">
        <f t="shared" si="9"/>
        <v>1</v>
      </c>
      <c r="J35" s="117">
        <f t="shared" si="10"/>
        <v>1</v>
      </c>
      <c r="K35" s="117">
        <f t="shared" si="11"/>
        <v>1</v>
      </c>
      <c r="L35" s="117">
        <f t="shared" si="12"/>
        <v>1</v>
      </c>
      <c r="M35" s="117">
        <f t="shared" si="13"/>
        <v>1</v>
      </c>
      <c r="N35" s="117">
        <f t="shared" si="14"/>
        <v>1</v>
      </c>
      <c r="O35" s="117">
        <f t="shared" si="15"/>
        <v>1</v>
      </c>
      <c r="P35" s="117">
        <f t="shared" si="16"/>
        <v>1</v>
      </c>
      <c r="Q35" s="117">
        <f t="shared" si="17"/>
        <v>1</v>
      </c>
      <c r="R35" s="117">
        <f t="shared" si="18"/>
        <v>1</v>
      </c>
      <c r="S35" s="117">
        <f t="shared" si="6"/>
        <v>1</v>
      </c>
    </row>
    <row r="36" spans="1:19">
      <c r="A36" s="123" t="str">
        <f t="shared" si="7"/>
        <v>Cb = {[1], [2], [2]}</v>
      </c>
      <c r="B36" s="109">
        <f>-B16</f>
        <v>-97</v>
      </c>
      <c r="C36" s="109">
        <f t="shared" si="8"/>
        <v>-474.68108831400531</v>
      </c>
      <c r="D36" s="109">
        <f t="shared" si="8"/>
        <v>-1309.3421052631579</v>
      </c>
      <c r="E36" s="98" t="str">
        <f>J31</f>
        <v>F. PARETO</v>
      </c>
      <c r="F36" s="98"/>
      <c r="G36" s="98">
        <f t="shared" si="19"/>
        <v>1</v>
      </c>
      <c r="H36" s="117">
        <f t="shared" ref="H36:H44" si="20">IF(OR(B$34&gt;=B36,C$34&gt;=C36,D$34&gt;=D36),1,0)</f>
        <v>1</v>
      </c>
      <c r="I36" s="117">
        <f t="shared" si="9"/>
        <v>1</v>
      </c>
      <c r="J36" s="117">
        <f t="shared" si="10"/>
        <v>1</v>
      </c>
      <c r="K36" s="117">
        <f t="shared" si="11"/>
        <v>0</v>
      </c>
      <c r="L36" s="117">
        <f t="shared" si="12"/>
        <v>1</v>
      </c>
      <c r="M36" s="117">
        <f t="shared" si="13"/>
        <v>1</v>
      </c>
      <c r="N36" s="117">
        <f t="shared" si="14"/>
        <v>0</v>
      </c>
      <c r="O36" s="117">
        <f t="shared" si="15"/>
        <v>0</v>
      </c>
      <c r="P36" s="117">
        <f t="shared" si="16"/>
        <v>1</v>
      </c>
      <c r="Q36" s="117">
        <f t="shared" si="17"/>
        <v>1</v>
      </c>
      <c r="R36" s="117">
        <f t="shared" si="18"/>
        <v>0</v>
      </c>
      <c r="S36" s="117">
        <f t="shared" si="6"/>
        <v>0</v>
      </c>
    </row>
    <row r="37" spans="1:19">
      <c r="A37" s="118" t="str">
        <f t="shared" si="7"/>
        <v>Cb = {[1], [2], [3]}</v>
      </c>
      <c r="B37" s="109">
        <f t="shared" si="8"/>
        <v>-102</v>
      </c>
      <c r="C37" s="109">
        <f t="shared" si="8"/>
        <v>-506.04066985645932</v>
      </c>
      <c r="D37" s="109">
        <f t="shared" si="8"/>
        <v>-1378.6483253588499</v>
      </c>
      <c r="E37" s="98" t="str">
        <f>K31</f>
        <v>DOMINADA</v>
      </c>
      <c r="F37" s="98"/>
      <c r="G37" s="98">
        <f t="shared" si="19"/>
        <v>1</v>
      </c>
      <c r="H37" s="117">
        <f t="shared" si="20"/>
        <v>1</v>
      </c>
      <c r="I37" s="117">
        <f t="shared" si="9"/>
        <v>1</v>
      </c>
      <c r="J37" s="117">
        <f t="shared" si="10"/>
        <v>1</v>
      </c>
      <c r="K37" s="117">
        <f t="shared" si="11"/>
        <v>1</v>
      </c>
      <c r="L37" s="117">
        <f t="shared" si="12"/>
        <v>1</v>
      </c>
      <c r="M37" s="117">
        <f t="shared" si="13"/>
        <v>1</v>
      </c>
      <c r="N37" s="117">
        <f t="shared" si="14"/>
        <v>1</v>
      </c>
      <c r="O37" s="117">
        <f t="shared" si="15"/>
        <v>1</v>
      </c>
      <c r="P37" s="117">
        <f t="shared" si="16"/>
        <v>1</v>
      </c>
      <c r="Q37" s="117">
        <f t="shared" si="17"/>
        <v>1</v>
      </c>
      <c r="R37" s="117">
        <f t="shared" si="18"/>
        <v>1</v>
      </c>
      <c r="S37" s="117">
        <f t="shared" si="6"/>
        <v>1</v>
      </c>
    </row>
    <row r="38" spans="1:19">
      <c r="A38" s="123" t="str">
        <f>A18</f>
        <v>Cb = {[1], [3], [2]}</v>
      </c>
      <c r="B38" s="109">
        <f t="shared" si="8"/>
        <v>-102</v>
      </c>
      <c r="C38" s="115">
        <f>-C18</f>
        <v>-453.19976076555025</v>
      </c>
      <c r="D38" s="115">
        <f t="shared" si="8"/>
        <v>-1263.761961722488</v>
      </c>
      <c r="E38" s="98" t="str">
        <f>L31</f>
        <v>F. PARETO</v>
      </c>
      <c r="F38" s="98"/>
      <c r="G38" s="98">
        <f t="shared" si="19"/>
        <v>1</v>
      </c>
      <c r="H38" s="117">
        <f t="shared" si="20"/>
        <v>1</v>
      </c>
      <c r="I38" s="117">
        <f t="shared" si="9"/>
        <v>1</v>
      </c>
      <c r="J38" s="117">
        <f t="shared" si="10"/>
        <v>1</v>
      </c>
      <c r="K38" s="117">
        <f t="shared" si="11"/>
        <v>1</v>
      </c>
      <c r="L38" s="117">
        <f t="shared" si="12"/>
        <v>1</v>
      </c>
      <c r="M38" s="117">
        <f t="shared" si="13"/>
        <v>1</v>
      </c>
      <c r="N38" s="117">
        <f t="shared" si="14"/>
        <v>1</v>
      </c>
      <c r="O38" s="117">
        <f t="shared" si="15"/>
        <v>1</v>
      </c>
      <c r="P38" s="117">
        <f t="shared" si="16"/>
        <v>1</v>
      </c>
      <c r="Q38" s="117">
        <f>IF(OR($B$43&gt;=$B38,$C$43&gt;=$C38,$D$43&gt;=$D38),1,0)</f>
        <v>1</v>
      </c>
      <c r="R38" s="117">
        <f t="shared" si="18"/>
        <v>1</v>
      </c>
      <c r="S38" s="117">
        <f t="shared" si="6"/>
        <v>1</v>
      </c>
    </row>
    <row r="39" spans="1:19">
      <c r="A39" s="118" t="str">
        <f t="shared" si="7"/>
        <v>Cb = {[2], [1], [1]}</v>
      </c>
      <c r="B39" s="109">
        <f t="shared" si="8"/>
        <v>-97</v>
      </c>
      <c r="C39" s="109">
        <f t="shared" si="8"/>
        <v>-568.65298840321145</v>
      </c>
      <c r="D39" s="109">
        <f t="shared" si="8"/>
        <v>-1500.5374665477252</v>
      </c>
      <c r="E39" s="98" t="str">
        <f>M31</f>
        <v>DOMINADA</v>
      </c>
      <c r="F39" s="98"/>
      <c r="G39" s="98">
        <f t="shared" si="19"/>
        <v>1</v>
      </c>
      <c r="H39" s="117">
        <f t="shared" si="20"/>
        <v>1</v>
      </c>
      <c r="I39" s="117">
        <f t="shared" si="9"/>
        <v>1</v>
      </c>
      <c r="J39" s="117">
        <f t="shared" si="10"/>
        <v>1</v>
      </c>
      <c r="K39" s="117">
        <f t="shared" si="11"/>
        <v>1</v>
      </c>
      <c r="L39" s="117">
        <f t="shared" si="12"/>
        <v>1</v>
      </c>
      <c r="M39" s="117">
        <f t="shared" si="13"/>
        <v>1</v>
      </c>
      <c r="N39" s="117">
        <f t="shared" si="14"/>
        <v>0</v>
      </c>
      <c r="O39" s="117">
        <f t="shared" si="15"/>
        <v>0</v>
      </c>
      <c r="P39" s="117">
        <f t="shared" si="16"/>
        <v>1</v>
      </c>
      <c r="Q39" s="117">
        <f t="shared" si="17"/>
        <v>1</v>
      </c>
      <c r="R39" s="117">
        <f t="shared" si="18"/>
        <v>0</v>
      </c>
      <c r="S39" s="117">
        <f t="shared" si="6"/>
        <v>1</v>
      </c>
    </row>
    <row r="40" spans="1:19">
      <c r="A40" s="118" t="str">
        <f t="shared" si="7"/>
        <v>Cb = {[2], [1], [2]}</v>
      </c>
      <c r="B40" s="109">
        <f t="shared" si="8"/>
        <v>-102</v>
      </c>
      <c r="C40" s="109">
        <f t="shared" si="8"/>
        <v>-609.92946708463955</v>
      </c>
      <c r="D40" s="109">
        <f t="shared" si="8"/>
        <v>-1596.2225705329156</v>
      </c>
      <c r="E40" s="98" t="str">
        <f>N31</f>
        <v>DOMINADA</v>
      </c>
      <c r="F40" s="98"/>
      <c r="G40" s="98">
        <f t="shared" si="19"/>
        <v>1</v>
      </c>
      <c r="H40" s="117">
        <f t="shared" si="20"/>
        <v>1</v>
      </c>
      <c r="I40" s="117">
        <f t="shared" si="9"/>
        <v>1</v>
      </c>
      <c r="J40" s="117">
        <f t="shared" si="10"/>
        <v>1</v>
      </c>
      <c r="K40" s="117">
        <f t="shared" si="11"/>
        <v>1</v>
      </c>
      <c r="L40" s="117">
        <f t="shared" si="12"/>
        <v>1</v>
      </c>
      <c r="M40" s="117">
        <f t="shared" si="13"/>
        <v>1</v>
      </c>
      <c r="N40" s="117">
        <f t="shared" si="14"/>
        <v>1</v>
      </c>
      <c r="O40" s="117">
        <f t="shared" si="15"/>
        <v>1</v>
      </c>
      <c r="P40" s="117">
        <f t="shared" si="16"/>
        <v>1</v>
      </c>
      <c r="Q40" s="117">
        <f t="shared" si="17"/>
        <v>1</v>
      </c>
      <c r="R40" s="117">
        <f t="shared" si="18"/>
        <v>1</v>
      </c>
      <c r="S40" s="117">
        <f t="shared" si="6"/>
        <v>1</v>
      </c>
    </row>
    <row r="41" spans="1:19">
      <c r="A41" s="118" t="str">
        <f t="shared" si="7"/>
        <v>Cb = {[2], [1], [3]}</v>
      </c>
      <c r="B41" s="109">
        <f t="shared" si="8"/>
        <v>-102</v>
      </c>
      <c r="C41" s="109">
        <f t="shared" si="8"/>
        <v>-608.37320574162675</v>
      </c>
      <c r="D41" s="109">
        <f t="shared" si="8"/>
        <v>-1593.11004784689</v>
      </c>
      <c r="E41" s="98" t="str">
        <f>O31</f>
        <v>DOMINADA</v>
      </c>
      <c r="F41" s="98"/>
      <c r="G41" s="98">
        <f t="shared" si="19"/>
        <v>1</v>
      </c>
      <c r="H41" s="117">
        <f t="shared" si="20"/>
        <v>1</v>
      </c>
      <c r="I41" s="117">
        <f t="shared" si="9"/>
        <v>1</v>
      </c>
      <c r="J41" s="117">
        <f t="shared" si="10"/>
        <v>1</v>
      </c>
      <c r="K41" s="117">
        <f t="shared" si="11"/>
        <v>1</v>
      </c>
      <c r="L41" s="117">
        <f t="shared" si="12"/>
        <v>1</v>
      </c>
      <c r="M41" s="117">
        <f t="shared" si="13"/>
        <v>1</v>
      </c>
      <c r="N41" s="117">
        <f t="shared" si="14"/>
        <v>1</v>
      </c>
      <c r="O41" s="117">
        <f t="shared" si="15"/>
        <v>1</v>
      </c>
      <c r="P41" s="117">
        <f t="shared" si="16"/>
        <v>1</v>
      </c>
      <c r="Q41" s="117">
        <f t="shared" si="17"/>
        <v>1</v>
      </c>
      <c r="R41" s="117">
        <f t="shared" si="18"/>
        <v>1</v>
      </c>
      <c r="S41" s="117">
        <f t="shared" si="6"/>
        <v>1</v>
      </c>
    </row>
    <row r="42" spans="1:19">
      <c r="A42" s="118" t="str">
        <f t="shared" si="7"/>
        <v>Cb = {[2], [2], [1]}</v>
      </c>
      <c r="B42" s="109">
        <f t="shared" si="8"/>
        <v>-84</v>
      </c>
      <c r="C42" s="109">
        <f t="shared" si="8"/>
        <v>-504.84375</v>
      </c>
      <c r="D42" s="109">
        <f t="shared" si="8"/>
        <v>-1444.21875</v>
      </c>
      <c r="E42" s="98" t="str">
        <f>P31</f>
        <v>DOMINADA</v>
      </c>
      <c r="F42" s="98"/>
      <c r="G42" s="98">
        <f t="shared" si="19"/>
        <v>1</v>
      </c>
      <c r="H42" s="117">
        <f t="shared" si="20"/>
        <v>1</v>
      </c>
      <c r="I42" s="117">
        <f t="shared" si="9"/>
        <v>1</v>
      </c>
      <c r="J42" s="117">
        <f t="shared" si="10"/>
        <v>1</v>
      </c>
      <c r="K42" s="117">
        <f t="shared" si="11"/>
        <v>1</v>
      </c>
      <c r="L42" s="117">
        <f t="shared" si="12"/>
        <v>1</v>
      </c>
      <c r="M42" s="117">
        <f t="shared" si="13"/>
        <v>0</v>
      </c>
      <c r="N42" s="117">
        <f t="shared" si="14"/>
        <v>0</v>
      </c>
      <c r="O42" s="117">
        <f t="shared" si="15"/>
        <v>0</v>
      </c>
      <c r="P42" s="117">
        <f t="shared" si="16"/>
        <v>1</v>
      </c>
      <c r="Q42" s="117">
        <f t="shared" si="17"/>
        <v>1</v>
      </c>
      <c r="R42" s="117">
        <f t="shared" si="18"/>
        <v>0</v>
      </c>
      <c r="S42" s="117">
        <f t="shared" si="6"/>
        <v>0</v>
      </c>
    </row>
    <row r="43" spans="1:19">
      <c r="A43" s="118" t="str">
        <f t="shared" si="7"/>
        <v>Cb = {[2], [3], [1]}</v>
      </c>
      <c r="B43" s="109">
        <f t="shared" si="8"/>
        <v>-102</v>
      </c>
      <c r="C43" s="109">
        <f t="shared" si="8"/>
        <v>-455.56818181818181</v>
      </c>
      <c r="D43" s="109">
        <f t="shared" si="8"/>
        <v>-1268.4988038277511</v>
      </c>
      <c r="E43" s="98" t="str">
        <f>Q31</f>
        <v>F. PARETO</v>
      </c>
      <c r="F43" s="98"/>
      <c r="G43" s="98">
        <f t="shared" si="19"/>
        <v>1</v>
      </c>
      <c r="H43" s="117">
        <f t="shared" si="20"/>
        <v>1</v>
      </c>
      <c r="I43" s="117">
        <f t="shared" si="9"/>
        <v>1</v>
      </c>
      <c r="J43" s="117">
        <f t="shared" si="10"/>
        <v>1</v>
      </c>
      <c r="K43" s="117">
        <f t="shared" si="11"/>
        <v>1</v>
      </c>
      <c r="L43" s="117">
        <f t="shared" si="12"/>
        <v>1</v>
      </c>
      <c r="M43" s="117">
        <f t="shared" si="13"/>
        <v>1</v>
      </c>
      <c r="N43" s="117">
        <f t="shared" si="14"/>
        <v>1</v>
      </c>
      <c r="O43" s="117">
        <f t="shared" si="15"/>
        <v>1</v>
      </c>
      <c r="P43" s="117">
        <f t="shared" si="16"/>
        <v>1</v>
      </c>
      <c r="Q43" s="117">
        <f t="shared" si="17"/>
        <v>1</v>
      </c>
      <c r="R43" s="117">
        <f t="shared" si="18"/>
        <v>1</v>
      </c>
      <c r="S43" s="117">
        <f t="shared" si="6"/>
        <v>1</v>
      </c>
    </row>
    <row r="44" spans="1:19">
      <c r="A44" s="118" t="str">
        <f t="shared" si="7"/>
        <v>Cb = {[3], [1], [2]}</v>
      </c>
      <c r="B44" s="109">
        <f t="shared" si="8"/>
        <v>-102</v>
      </c>
      <c r="C44" s="109">
        <f t="shared" si="8"/>
        <v>-615.67583732057415</v>
      </c>
      <c r="D44" s="109">
        <f t="shared" si="8"/>
        <v>-1620.1495215311006</v>
      </c>
      <c r="E44" s="98" t="str">
        <f>R31</f>
        <v>DOMINADA</v>
      </c>
      <c r="F44" s="98"/>
      <c r="G44" s="98">
        <f t="shared" si="19"/>
        <v>1</v>
      </c>
      <c r="H44" s="117">
        <f t="shared" si="20"/>
        <v>1</v>
      </c>
      <c r="I44" s="117">
        <f t="shared" si="9"/>
        <v>1</v>
      </c>
      <c r="J44" s="117">
        <f t="shared" si="10"/>
        <v>1</v>
      </c>
      <c r="K44" s="117">
        <f t="shared" si="11"/>
        <v>1</v>
      </c>
      <c r="L44" s="117">
        <f t="shared" si="12"/>
        <v>1</v>
      </c>
      <c r="M44" s="117">
        <f t="shared" si="13"/>
        <v>1</v>
      </c>
      <c r="N44" s="117">
        <f t="shared" si="14"/>
        <v>1</v>
      </c>
      <c r="O44" s="117">
        <f t="shared" si="15"/>
        <v>1</v>
      </c>
      <c r="P44" s="117">
        <f t="shared" si="16"/>
        <v>1</v>
      </c>
      <c r="Q44" s="117">
        <f t="shared" si="17"/>
        <v>1</v>
      </c>
      <c r="R44" s="117">
        <f t="shared" si="18"/>
        <v>1</v>
      </c>
      <c r="S44" s="117">
        <f t="shared" si="6"/>
        <v>1</v>
      </c>
    </row>
    <row r="45" spans="1:19">
      <c r="A45" s="118" t="str">
        <f t="shared" si="7"/>
        <v>Cb = {[3], [2], [1]}</v>
      </c>
      <c r="B45" s="109">
        <f t="shared" si="8"/>
        <v>-102</v>
      </c>
      <c r="C45" s="109">
        <f t="shared" si="8"/>
        <v>-565.50837320574158</v>
      </c>
      <c r="D45" s="109">
        <f t="shared" si="8"/>
        <v>-1498.1758373205739</v>
      </c>
      <c r="E45" s="98" t="str">
        <f>S31</f>
        <v>DOMINADA</v>
      </c>
      <c r="F45" s="98"/>
      <c r="G45" s="98">
        <f>IF(OR(B$33&gt;=B45,C$33&gt;=C45,D$33&gt;=D45),1,0)</f>
        <v>1</v>
      </c>
      <c r="H45" s="117">
        <f>IF(OR(B$34&gt;=B45,C$34&gt;=C45,D$34&gt;=D45),1,0)</f>
        <v>1</v>
      </c>
      <c r="I45" s="117">
        <f>IF(OR($B$35&gt;=$B45,$C$35&gt;=$C45,$D$35&gt;=$D45),1,0)</f>
        <v>1</v>
      </c>
      <c r="J45" s="117">
        <f>IF(OR($B$36&gt;=$B45,$C$36&gt;=$C45,$D$36&gt;=$D45),1,0)</f>
        <v>1</v>
      </c>
      <c r="K45" s="117">
        <f>IF(OR($B$37&gt;=$B45,$C$37&gt;=$C45,$D$37&gt;=$D45),1,0)</f>
        <v>1</v>
      </c>
      <c r="L45" s="117">
        <f>IF(OR($B$38&gt;=$B45,$C$38&gt;=$C45,$D$38&gt;=$D45),1,0)</f>
        <v>1</v>
      </c>
      <c r="M45" s="117">
        <f>IF(OR($B$39&gt;=$B45,$C$39&gt;=$C45,$D$39&gt;=$D45),1,0)</f>
        <v>1</v>
      </c>
      <c r="N45" s="117">
        <f>IF(OR($B$40&gt;=$B45,$C$40&gt;=$C45,$D$40&gt;=$D45),1,0)</f>
        <v>1</v>
      </c>
      <c r="O45" s="117">
        <f>IF(OR($B$41&gt;=$B45,$C$41&gt;=$C45,$D$41&gt;=$D45),1,0)</f>
        <v>1</v>
      </c>
      <c r="P45" s="117">
        <f>IF(OR($B$42&gt;=$B45,$C$42&gt;=$C45,$D$42&gt;=$D45),1,0)</f>
        <v>1</v>
      </c>
      <c r="Q45" s="117">
        <f>IF(OR($B$43&gt;=$B45,$C$43&gt;=$C45,$D$43&gt;=$D45),1,0)</f>
        <v>1</v>
      </c>
      <c r="R45" s="117">
        <f>IF(OR($B$44&gt;=$B45,$C$44&gt;=$C45,$D$44&gt;=$D45),1,0)</f>
        <v>1</v>
      </c>
      <c r="S45" s="117">
        <f t="shared" si="6"/>
        <v>1</v>
      </c>
    </row>
    <row r="46" spans="1:19" s="129" customFormat="1">
      <c r="A46" s="125"/>
      <c r="B46" s="126"/>
      <c r="C46" s="126"/>
      <c r="D46" s="127"/>
      <c r="E46" s="128"/>
      <c r="G46" s="128"/>
      <c r="H46" s="128"/>
      <c r="I46" s="128"/>
      <c r="J46" s="176"/>
      <c r="K46" s="176"/>
      <c r="L46" s="176"/>
      <c r="M46" s="128"/>
      <c r="N46" s="130"/>
      <c r="O46" s="128"/>
      <c r="P46" s="128"/>
      <c r="Q46" s="128"/>
      <c r="R46" s="128"/>
    </row>
    <row r="47" spans="1:19" s="129" customFormat="1">
      <c r="A47" s="125"/>
      <c r="B47" s="126"/>
      <c r="C47" s="126"/>
      <c r="D47" s="126"/>
      <c r="E47" s="128"/>
      <c r="G47" s="128"/>
      <c r="H47" s="128"/>
      <c r="I47" s="128"/>
      <c r="J47" s="176"/>
      <c r="K47" s="176"/>
      <c r="L47" s="176"/>
      <c r="M47" s="128"/>
      <c r="N47" s="130"/>
      <c r="O47" s="128"/>
      <c r="P47" s="128"/>
      <c r="Q47" s="128"/>
      <c r="R47" s="128"/>
    </row>
    <row r="48" spans="1:19" s="129" customFormat="1">
      <c r="A48" s="125"/>
      <c r="B48" s="126"/>
      <c r="C48" s="126"/>
      <c r="D48" s="127"/>
      <c r="E48" s="126"/>
      <c r="G48" s="128"/>
      <c r="H48" s="128"/>
      <c r="I48" s="128"/>
      <c r="J48" s="176"/>
      <c r="K48" s="176"/>
      <c r="L48" s="176"/>
      <c r="M48" s="128"/>
      <c r="N48" s="130"/>
      <c r="O48" s="128"/>
      <c r="P48" s="128"/>
      <c r="Q48" s="128"/>
      <c r="R48" s="128"/>
    </row>
    <row r="49" spans="1:18">
      <c r="E49" s="98"/>
      <c r="H49" s="98"/>
      <c r="I49" s="98"/>
      <c r="J49" s="98"/>
      <c r="K49" s="98"/>
      <c r="L49" s="98"/>
      <c r="M49" s="98"/>
      <c r="N49" s="99"/>
      <c r="O49" s="98"/>
      <c r="P49" s="98"/>
      <c r="Q49" s="98"/>
      <c r="R49" s="98"/>
    </row>
    <row r="50" spans="1:18">
      <c r="A50" s="177" t="s">
        <v>131</v>
      </c>
      <c r="B50" s="175"/>
      <c r="C50" s="175"/>
      <c r="D50" s="175"/>
      <c r="E50" s="175"/>
      <c r="F50" s="103"/>
      <c r="G50" s="103"/>
      <c r="H50" s="103"/>
      <c r="I50" s="103"/>
      <c r="J50" s="103"/>
      <c r="K50" s="103"/>
      <c r="L50" s="103"/>
      <c r="M50" s="103"/>
      <c r="N50" s="110"/>
      <c r="O50" s="103"/>
      <c r="P50" s="103"/>
      <c r="Q50" s="103"/>
      <c r="R50" s="103"/>
    </row>
    <row r="51" spans="1:18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9"/>
      <c r="O51" s="98"/>
      <c r="P51" s="98"/>
      <c r="Q51" s="98"/>
      <c r="R51" s="98"/>
    </row>
    <row r="52" spans="1:18" ht="25.5">
      <c r="A52" s="111" t="s">
        <v>120</v>
      </c>
      <c r="B52" s="107" t="s">
        <v>121</v>
      </c>
      <c r="C52" s="107" t="s">
        <v>118</v>
      </c>
      <c r="D52" s="107" t="s">
        <v>119</v>
      </c>
      <c r="E52" s="107" t="s">
        <v>122</v>
      </c>
      <c r="F52" s="100" t="s">
        <v>132</v>
      </c>
      <c r="H52" s="112" t="s">
        <v>123</v>
      </c>
      <c r="I52" s="112" t="s">
        <v>124</v>
      </c>
      <c r="J52" s="112" t="s">
        <v>125</v>
      </c>
      <c r="K52" s="107" t="s">
        <v>126</v>
      </c>
      <c r="L52" s="107" t="s">
        <v>127</v>
      </c>
      <c r="M52" s="98"/>
      <c r="O52" s="99"/>
      <c r="P52" s="98"/>
    </row>
    <row r="53" spans="1:18">
      <c r="A53" s="118" t="str">
        <f>A13</f>
        <v>Cb = {[1], [1], [1]}</v>
      </c>
      <c r="B53" s="115">
        <f>IF(E33="DOMINADA","",-B13/B$3)</f>
        <v>-0.77450980392156865</v>
      </c>
      <c r="C53" s="109">
        <f>IF(E33="DOMINADA","",-C13/C$3)</f>
        <v>-0.79427997283438379</v>
      </c>
      <c r="D53" s="109">
        <f>IF(E33="DOMINADA","",-D13/D$3)</f>
        <v>-0.83677227596281534</v>
      </c>
      <c r="E53" s="109">
        <f>IF(E33="DOMINADA","",SUMPRODUCT(B53:D53,B$2:D$2))</f>
        <v>-0.80534584341191184</v>
      </c>
      <c r="F53" s="100" t="str">
        <f>IF(E33="DOMINADA","",CONCATENATE(_xlfn.RANK.EQ(E53,E$53:E$68),"º"))</f>
        <v>1º</v>
      </c>
      <c r="H53" s="109">
        <f>IF(E33="DOMINADA","",IF(B53&gt;=B$7,1,IF(B53&lt;=B$8,0,1+((B53-B$7)/(B$8-B$7)))))</f>
        <v>1</v>
      </c>
      <c r="I53" s="109">
        <f>IF(E33="DOMINADA","",IF(C53&gt;=C$7,1,IF(C53&lt;=C$8,0,1-((C53-C$7)/(C$8-C$7)))))</f>
        <v>1</v>
      </c>
      <c r="J53" s="109">
        <f>IF(E33="DOMINADA","",IF(D53&gt;=D$7,1,IF(D53&lt;=D$8,0,1-((D53-D$7)/(D$8-D$7)))))</f>
        <v>1</v>
      </c>
      <c r="K53" s="109">
        <f>IF(E33="DOMINADA","",PRODUCT(H53:J53))</f>
        <v>1</v>
      </c>
      <c r="L53" s="121">
        <f>IF(E33="DOMINADA","",IF(K53=1,K53*E53,IF(K53=0,-2,K53*E53)))</f>
        <v>-0.80534584341191184</v>
      </c>
      <c r="M53" s="119" t="str">
        <f>IF(E33="DOMINADA","",IF(CONCATENATE(_xlfn.RANK.EQ(L53,L$53:L$68),"º")="1º","ESCOLHA",""))</f>
        <v>ESCOLHA</v>
      </c>
      <c r="N53" s="113" t="str">
        <f>E33</f>
        <v>F. PARETO</v>
      </c>
      <c r="O53" s="114" t="str">
        <f t="shared" ref="O53:O54" si="21">IF(K53=0,"VETADO","")</f>
        <v/>
      </c>
      <c r="P53" s="98"/>
      <c r="R53" s="98"/>
    </row>
    <row r="54" spans="1:18">
      <c r="A54" s="118" t="str">
        <f t="shared" ref="A54:A65" si="22">A14</f>
        <v>Cb = {[1], [1], [2]}</v>
      </c>
      <c r="B54" s="109" t="str">
        <f t="shared" ref="B54:B65" si="23">IF(E34="DOMINADA","",-B14/B$3)</f>
        <v/>
      </c>
      <c r="C54" s="109" t="str">
        <f t="shared" ref="C54:C65" si="24">IF(E34="DOMINADA","",-C14/C$3)</f>
        <v/>
      </c>
      <c r="D54" s="109" t="str">
        <f t="shared" ref="D54:D65" si="25">IF(E34="DOMINADA","",-D14/D$3)</f>
        <v/>
      </c>
      <c r="E54" s="109" t="str">
        <f t="shared" ref="E54:E65" si="26">IF(E34="DOMINADA","",SUMPRODUCT(B54:D54,B$2:D$2))</f>
        <v/>
      </c>
      <c r="F54" s="100" t="str">
        <f t="shared" ref="F54:F65" si="27">IF(E34="DOMINADA","",CONCATENATE(_xlfn.RANK.EQ(E54,E$53:E$68),"º"))</f>
        <v/>
      </c>
      <c r="H54" s="109" t="str">
        <f t="shared" ref="H54:H65" si="28">IF(E34="DOMINADA","",IF(B54&gt;=B$7,1,IF(B54&lt;=B$8,0,1+((B54-B$7)/(B$8-B$7)))))</f>
        <v/>
      </c>
      <c r="I54" s="109" t="str">
        <f t="shared" ref="I54:I65" si="29">IF(E34="DOMINADA","",IF(C54&gt;=C$7,1,IF(C54&lt;=C$8,0,1-((C54-C$7)/(C$8-C$7)))))</f>
        <v/>
      </c>
      <c r="J54" s="109" t="str">
        <f t="shared" ref="J54:J65" si="30">IF(E34="DOMINADA","",IF(D54&gt;=D$7,1,IF(D54&lt;=D$8,0,1-((D54-D$7)/(D$8-D$7)))))</f>
        <v/>
      </c>
      <c r="K54" s="109" t="str">
        <f t="shared" ref="K54:K65" si="31">IF(E34="DOMINADA","",PRODUCT(H54:J54))</f>
        <v/>
      </c>
      <c r="L54" s="121" t="str">
        <f t="shared" ref="L54:L65" si="32">IF(E34="DOMINADA","",IF(K54=1,K54*E54,IF(K54=0,-2,K54*E54)))</f>
        <v/>
      </c>
      <c r="M54" s="119" t="str">
        <f t="shared" ref="M54:M65" si="33">IF(E34="DOMINADA","",IF(CONCATENATE(_xlfn.RANK.EQ(L54,L$53:L$68),"º")="1º","ESCOLHA",""))</f>
        <v/>
      </c>
      <c r="N54" s="113" t="str">
        <f t="shared" ref="N54:N65" si="34">E34</f>
        <v>DOMINADA</v>
      </c>
      <c r="O54" s="114" t="str">
        <f t="shared" si="21"/>
        <v/>
      </c>
      <c r="P54" s="98"/>
    </row>
    <row r="55" spans="1:18">
      <c r="A55" s="118" t="str">
        <f t="shared" si="22"/>
        <v>Cb = {[1], [2], [1]}</v>
      </c>
      <c r="B55" s="109">
        <f t="shared" si="23"/>
        <v>-1</v>
      </c>
      <c r="C55" s="109">
        <f t="shared" si="24"/>
        <v>-0.74456241924986166</v>
      </c>
      <c r="D55" s="109">
        <f t="shared" si="25"/>
        <v>-0.79392029894927052</v>
      </c>
      <c r="E55" s="109">
        <f t="shared" si="26"/>
        <v>-0.84093684535466673</v>
      </c>
      <c r="F55" s="100" t="str">
        <f t="shared" si="27"/>
        <v>5º</v>
      </c>
      <c r="H55" s="109">
        <f t="shared" si="28"/>
        <v>0</v>
      </c>
      <c r="I55" s="109">
        <f t="shared" si="29"/>
        <v>1</v>
      </c>
      <c r="J55" s="109">
        <f t="shared" si="30"/>
        <v>1</v>
      </c>
      <c r="K55" s="109">
        <f t="shared" si="31"/>
        <v>0</v>
      </c>
      <c r="L55" s="121">
        <f t="shared" si="32"/>
        <v>-2</v>
      </c>
      <c r="M55" s="119" t="str">
        <f t="shared" si="33"/>
        <v/>
      </c>
      <c r="N55" s="113" t="str">
        <f t="shared" si="34"/>
        <v>F. PARETO</v>
      </c>
      <c r="O55" s="114" t="str">
        <f>IF(K55=0,"VETADO","")</f>
        <v>VETADO</v>
      </c>
      <c r="P55" s="98"/>
      <c r="R55" s="98"/>
    </row>
    <row r="56" spans="1:18">
      <c r="A56" s="118" t="str">
        <f t="shared" si="22"/>
        <v>Cb = {[1], [2], [2]}</v>
      </c>
      <c r="B56" s="109">
        <f t="shared" si="23"/>
        <v>-0.9509803921568627</v>
      </c>
      <c r="C56" s="109">
        <f t="shared" si="24"/>
        <v>-0.77099190765682957</v>
      </c>
      <c r="D56" s="109">
        <f t="shared" si="25"/>
        <v>-0.80816127638996038</v>
      </c>
      <c r="E56" s="109">
        <f t="shared" si="26"/>
        <v>-0.8398562005000918</v>
      </c>
      <c r="F56" s="100" t="str">
        <f t="shared" si="27"/>
        <v>4º</v>
      </c>
      <c r="G56" s="122"/>
      <c r="H56" s="109">
        <f t="shared" si="28"/>
        <v>1.0490196078431371</v>
      </c>
      <c r="I56" s="109">
        <f t="shared" si="29"/>
        <v>1</v>
      </c>
      <c r="J56" s="109">
        <f t="shared" si="30"/>
        <v>1</v>
      </c>
      <c r="K56" s="109">
        <f t="shared" si="31"/>
        <v>1.0490196078431371</v>
      </c>
      <c r="L56" s="121">
        <f t="shared" si="32"/>
        <v>-0.88102562209323343</v>
      </c>
      <c r="M56" s="119" t="str">
        <f t="shared" si="33"/>
        <v/>
      </c>
      <c r="N56" s="113" t="str">
        <f t="shared" si="34"/>
        <v>F. PARETO</v>
      </c>
      <c r="O56" s="114" t="str">
        <f t="shared" ref="O56:O65" si="35">IF(K56=0,"VETADO","")</f>
        <v/>
      </c>
      <c r="P56" s="98"/>
    </row>
    <row r="57" spans="1:18">
      <c r="A57" s="118" t="str">
        <f t="shared" si="22"/>
        <v>Cb = {[1], [2], [3]}</v>
      </c>
      <c r="B57" s="109" t="str">
        <f t="shared" si="23"/>
        <v/>
      </c>
      <c r="C57" s="109" t="str">
        <f t="shared" si="24"/>
        <v/>
      </c>
      <c r="D57" s="109" t="str">
        <f t="shared" si="25"/>
        <v/>
      </c>
      <c r="E57" s="109" t="str">
        <f t="shared" si="26"/>
        <v/>
      </c>
      <c r="F57" s="100" t="str">
        <f t="shared" si="27"/>
        <v/>
      </c>
      <c r="G57" s="122"/>
      <c r="H57" s="109" t="str">
        <f t="shared" si="28"/>
        <v/>
      </c>
      <c r="I57" s="109" t="str">
        <f t="shared" si="29"/>
        <v/>
      </c>
      <c r="J57" s="109" t="str">
        <f t="shared" si="30"/>
        <v/>
      </c>
      <c r="K57" s="109" t="str">
        <f t="shared" si="31"/>
        <v/>
      </c>
      <c r="L57" s="121" t="str">
        <f t="shared" si="32"/>
        <v/>
      </c>
      <c r="M57" s="119" t="str">
        <f t="shared" si="33"/>
        <v/>
      </c>
      <c r="N57" s="113" t="str">
        <f t="shared" si="34"/>
        <v>DOMINADA</v>
      </c>
      <c r="O57" s="114" t="str">
        <f t="shared" si="35"/>
        <v/>
      </c>
      <c r="P57" s="98"/>
      <c r="R57" s="98"/>
    </row>
    <row r="58" spans="1:18">
      <c r="A58" s="118" t="str">
        <f t="shared" si="22"/>
        <v>Cb = {[1], [3], [2]}</v>
      </c>
      <c r="B58" s="109">
        <f t="shared" si="23"/>
        <v>-1</v>
      </c>
      <c r="C58" s="115">
        <f t="shared" si="24"/>
        <v>-0.73610126188787761</v>
      </c>
      <c r="D58" s="115">
        <f t="shared" si="25"/>
        <v>-0.78002798194094247</v>
      </c>
      <c r="E58" s="109">
        <f t="shared" si="26"/>
        <v>-0.83284157134274028</v>
      </c>
      <c r="F58" s="100" t="str">
        <f t="shared" si="27"/>
        <v>2º</v>
      </c>
      <c r="H58" s="109">
        <f t="shared" si="28"/>
        <v>0</v>
      </c>
      <c r="I58" s="109">
        <f t="shared" si="29"/>
        <v>1</v>
      </c>
      <c r="J58" s="109">
        <f t="shared" si="30"/>
        <v>1</v>
      </c>
      <c r="K58" s="109">
        <f t="shared" si="31"/>
        <v>0</v>
      </c>
      <c r="L58" s="121">
        <f t="shared" si="32"/>
        <v>-2</v>
      </c>
      <c r="M58" s="119" t="str">
        <f t="shared" si="33"/>
        <v/>
      </c>
      <c r="N58" s="113" t="str">
        <f t="shared" si="34"/>
        <v>F. PARETO</v>
      </c>
      <c r="O58" s="114" t="str">
        <f t="shared" si="35"/>
        <v>VETADO</v>
      </c>
      <c r="P58" s="98"/>
    </row>
    <row r="59" spans="1:18">
      <c r="A59" s="118" t="str">
        <f t="shared" si="22"/>
        <v>Cb = {[2], [1], [1]}</v>
      </c>
      <c r="B59" s="109" t="str">
        <f t="shared" si="23"/>
        <v/>
      </c>
      <c r="C59" s="109" t="str">
        <f t="shared" si="24"/>
        <v/>
      </c>
      <c r="D59" s="109" t="str">
        <f t="shared" si="25"/>
        <v/>
      </c>
      <c r="E59" s="109" t="str">
        <f t="shared" si="26"/>
        <v/>
      </c>
      <c r="F59" s="100" t="str">
        <f t="shared" si="27"/>
        <v/>
      </c>
      <c r="H59" s="109" t="str">
        <f t="shared" si="28"/>
        <v/>
      </c>
      <c r="I59" s="109" t="str">
        <f t="shared" si="29"/>
        <v/>
      </c>
      <c r="J59" s="109" t="str">
        <f t="shared" si="30"/>
        <v/>
      </c>
      <c r="K59" s="109" t="str">
        <f t="shared" si="31"/>
        <v/>
      </c>
      <c r="L59" s="121" t="str">
        <f t="shared" si="32"/>
        <v/>
      </c>
      <c r="M59" s="119" t="str">
        <f t="shared" si="33"/>
        <v/>
      </c>
      <c r="N59" s="113" t="str">
        <f t="shared" si="34"/>
        <v>DOMINADA</v>
      </c>
      <c r="O59" s="114" t="str">
        <f t="shared" si="35"/>
        <v/>
      </c>
      <c r="P59" s="98"/>
      <c r="R59" s="98"/>
    </row>
    <row r="60" spans="1:18">
      <c r="A60" s="118" t="str">
        <f t="shared" si="22"/>
        <v>Cb = {[2], [1], [2]}</v>
      </c>
      <c r="B60" s="109" t="str">
        <f t="shared" si="23"/>
        <v/>
      </c>
      <c r="C60" s="109" t="str">
        <f t="shared" si="24"/>
        <v/>
      </c>
      <c r="D60" s="109" t="str">
        <f t="shared" si="25"/>
        <v/>
      </c>
      <c r="E60" s="109" t="str">
        <f t="shared" si="26"/>
        <v/>
      </c>
      <c r="F60" s="100" t="str">
        <f t="shared" si="27"/>
        <v/>
      </c>
      <c r="H60" s="109" t="str">
        <f t="shared" si="28"/>
        <v/>
      </c>
      <c r="I60" s="109" t="str">
        <f t="shared" si="29"/>
        <v/>
      </c>
      <c r="J60" s="109" t="str">
        <f t="shared" si="30"/>
        <v/>
      </c>
      <c r="K60" s="109" t="str">
        <f t="shared" si="31"/>
        <v/>
      </c>
      <c r="L60" s="121" t="str">
        <f t="shared" si="32"/>
        <v/>
      </c>
      <c r="M60" s="119" t="str">
        <f t="shared" si="33"/>
        <v/>
      </c>
      <c r="N60" s="113" t="str">
        <f t="shared" si="34"/>
        <v>DOMINADA</v>
      </c>
      <c r="O60" s="114" t="str">
        <f t="shared" si="35"/>
        <v/>
      </c>
      <c r="P60" s="98"/>
    </row>
    <row r="61" spans="1:18">
      <c r="A61" s="118" t="str">
        <f t="shared" si="22"/>
        <v>Cb = {[2], [1], [3]}</v>
      </c>
      <c r="B61" s="109" t="str">
        <f t="shared" si="23"/>
        <v/>
      </c>
      <c r="C61" s="109" t="str">
        <f t="shared" si="24"/>
        <v/>
      </c>
      <c r="D61" s="109" t="str">
        <f t="shared" si="25"/>
        <v/>
      </c>
      <c r="E61" s="109" t="str">
        <f t="shared" si="26"/>
        <v/>
      </c>
      <c r="F61" s="100" t="str">
        <f t="shared" si="27"/>
        <v/>
      </c>
      <c r="H61" s="109" t="str">
        <f t="shared" si="28"/>
        <v/>
      </c>
      <c r="I61" s="109" t="str">
        <f t="shared" si="29"/>
        <v/>
      </c>
      <c r="J61" s="109" t="str">
        <f t="shared" si="30"/>
        <v/>
      </c>
      <c r="K61" s="109" t="str">
        <f t="shared" si="31"/>
        <v/>
      </c>
      <c r="L61" s="121" t="str">
        <f t="shared" si="32"/>
        <v/>
      </c>
      <c r="M61" s="119" t="str">
        <f t="shared" si="33"/>
        <v/>
      </c>
      <c r="N61" s="113" t="str">
        <f t="shared" si="34"/>
        <v>DOMINADA</v>
      </c>
      <c r="O61" s="114" t="str">
        <f t="shared" si="35"/>
        <v/>
      </c>
      <c r="P61" s="98"/>
      <c r="R61" s="98"/>
    </row>
    <row r="62" spans="1:18">
      <c r="A62" s="118" t="str">
        <f t="shared" si="22"/>
        <v>Cb = {[2], [2], [1]}</v>
      </c>
      <c r="B62" s="109" t="str">
        <f t="shared" si="23"/>
        <v/>
      </c>
      <c r="C62" s="109" t="str">
        <f t="shared" si="24"/>
        <v/>
      </c>
      <c r="D62" s="109" t="str">
        <f t="shared" si="25"/>
        <v/>
      </c>
      <c r="E62" s="109" t="str">
        <f t="shared" si="26"/>
        <v/>
      </c>
      <c r="F62" s="100" t="str">
        <f t="shared" si="27"/>
        <v/>
      </c>
      <c r="H62" s="109" t="str">
        <f t="shared" si="28"/>
        <v/>
      </c>
      <c r="I62" s="109" t="str">
        <f t="shared" si="29"/>
        <v/>
      </c>
      <c r="J62" s="109" t="str">
        <f t="shared" si="30"/>
        <v/>
      </c>
      <c r="K62" s="109" t="str">
        <f t="shared" si="31"/>
        <v/>
      </c>
      <c r="L62" s="121" t="str">
        <f t="shared" si="32"/>
        <v/>
      </c>
      <c r="M62" s="119" t="str">
        <f t="shared" si="33"/>
        <v/>
      </c>
      <c r="N62" s="113" t="str">
        <f t="shared" si="34"/>
        <v>DOMINADA</v>
      </c>
      <c r="O62" s="114" t="str">
        <f t="shared" si="35"/>
        <v/>
      </c>
      <c r="P62" s="98"/>
    </row>
    <row r="63" spans="1:18">
      <c r="A63" s="118" t="str">
        <f t="shared" si="22"/>
        <v>Cb = {[2], [3], [1]}</v>
      </c>
      <c r="B63" s="109">
        <f t="shared" si="23"/>
        <v>-1</v>
      </c>
      <c r="C63" s="109">
        <f t="shared" si="24"/>
        <v>-0.73994812562535828</v>
      </c>
      <c r="D63" s="109">
        <f t="shared" si="25"/>
        <v>-0.78295168869906107</v>
      </c>
      <c r="E63" s="109">
        <f t="shared" si="26"/>
        <v>-0.83516511316723197</v>
      </c>
      <c r="F63" s="100" t="str">
        <f t="shared" si="27"/>
        <v>3º</v>
      </c>
      <c r="H63" s="109">
        <f t="shared" si="28"/>
        <v>0</v>
      </c>
      <c r="I63" s="109">
        <f t="shared" si="29"/>
        <v>1</v>
      </c>
      <c r="J63" s="109">
        <f t="shared" si="30"/>
        <v>1</v>
      </c>
      <c r="K63" s="109">
        <f t="shared" si="31"/>
        <v>0</v>
      </c>
      <c r="L63" s="121">
        <f t="shared" si="32"/>
        <v>-2</v>
      </c>
      <c r="M63" s="119" t="str">
        <f t="shared" si="33"/>
        <v/>
      </c>
      <c r="N63" s="113" t="str">
        <f t="shared" si="34"/>
        <v>F. PARETO</v>
      </c>
      <c r="O63" s="114" t="str">
        <f t="shared" si="35"/>
        <v>VETADO</v>
      </c>
      <c r="P63" s="98"/>
      <c r="R63" s="98"/>
    </row>
    <row r="64" spans="1:18">
      <c r="A64" s="118" t="str">
        <f t="shared" si="22"/>
        <v>Cb = {[3], [1], [2]}</v>
      </c>
      <c r="B64" s="109" t="str">
        <f t="shared" si="23"/>
        <v/>
      </c>
      <c r="C64" s="109" t="str">
        <f t="shared" si="24"/>
        <v/>
      </c>
      <c r="D64" s="109" t="str">
        <f t="shared" si="25"/>
        <v/>
      </c>
      <c r="E64" s="109" t="str">
        <f t="shared" si="26"/>
        <v/>
      </c>
      <c r="F64" s="100" t="str">
        <f t="shared" si="27"/>
        <v/>
      </c>
      <c r="H64" s="109" t="str">
        <f t="shared" si="28"/>
        <v/>
      </c>
      <c r="I64" s="109" t="str">
        <f t="shared" si="29"/>
        <v/>
      </c>
      <c r="J64" s="109" t="str">
        <f t="shared" si="30"/>
        <v/>
      </c>
      <c r="K64" s="109" t="str">
        <f t="shared" si="31"/>
        <v/>
      </c>
      <c r="L64" s="121" t="str">
        <f t="shared" si="32"/>
        <v/>
      </c>
      <c r="M64" s="119" t="str">
        <f t="shared" si="33"/>
        <v/>
      </c>
      <c r="N64" s="113" t="str">
        <f t="shared" si="34"/>
        <v>DOMINADA</v>
      </c>
      <c r="O64" s="114" t="str">
        <f t="shared" si="35"/>
        <v/>
      </c>
    </row>
    <row r="65" spans="1:18">
      <c r="A65" s="118" t="str">
        <f t="shared" si="22"/>
        <v>Cb = {[3], [2], [1]}</v>
      </c>
      <c r="B65" s="109" t="str">
        <f t="shared" si="23"/>
        <v/>
      </c>
      <c r="C65" s="109" t="str">
        <f t="shared" si="24"/>
        <v/>
      </c>
      <c r="D65" s="109" t="str">
        <f t="shared" si="25"/>
        <v/>
      </c>
      <c r="E65" s="109" t="str">
        <f t="shared" si="26"/>
        <v/>
      </c>
      <c r="F65" s="100" t="str">
        <f t="shared" si="27"/>
        <v/>
      </c>
      <c r="H65" s="109" t="str">
        <f t="shared" si="28"/>
        <v/>
      </c>
      <c r="I65" s="109" t="str">
        <f t="shared" si="29"/>
        <v/>
      </c>
      <c r="J65" s="109" t="str">
        <f t="shared" si="30"/>
        <v/>
      </c>
      <c r="K65" s="109" t="str">
        <f t="shared" si="31"/>
        <v/>
      </c>
      <c r="L65" s="121" t="str">
        <f t="shared" si="32"/>
        <v/>
      </c>
      <c r="M65" s="119" t="str">
        <f t="shared" si="33"/>
        <v/>
      </c>
      <c r="N65" s="113" t="str">
        <f t="shared" si="34"/>
        <v>DOMINADA</v>
      </c>
      <c r="O65" s="114" t="str">
        <f t="shared" si="35"/>
        <v/>
      </c>
      <c r="R65" s="98"/>
    </row>
    <row r="66" spans="1:18">
      <c r="A66" s="108"/>
      <c r="B66" s="109"/>
      <c r="C66" s="109"/>
      <c r="D66" s="109"/>
      <c r="E66" s="109"/>
      <c r="H66" s="109"/>
      <c r="I66" s="109"/>
      <c r="J66" s="109"/>
      <c r="K66" s="109"/>
      <c r="L66" s="109"/>
      <c r="O66" s="114"/>
    </row>
    <row r="67" spans="1:18">
      <c r="A67" s="108"/>
      <c r="B67" s="109"/>
      <c r="C67" s="109"/>
      <c r="D67" s="109"/>
      <c r="E67" s="109"/>
      <c r="H67" s="109"/>
      <c r="I67" s="109"/>
      <c r="J67" s="109"/>
      <c r="K67" s="109"/>
      <c r="L67" s="109"/>
      <c r="O67" s="114"/>
    </row>
    <row r="68" spans="1:18">
      <c r="A68" s="108"/>
      <c r="B68" s="109"/>
      <c r="C68" s="109"/>
      <c r="D68" s="109"/>
      <c r="E68" s="109"/>
      <c r="H68" s="109"/>
      <c r="I68" s="109"/>
      <c r="J68" s="109"/>
      <c r="K68" s="109"/>
      <c r="L68" s="109"/>
      <c r="O68" s="114"/>
    </row>
  </sheetData>
  <mergeCells count="6">
    <mergeCell ref="A30:Q30"/>
    <mergeCell ref="J46:L46"/>
    <mergeCell ref="J47:L47"/>
    <mergeCell ref="A50:E50"/>
    <mergeCell ref="A10:E10"/>
    <mergeCell ref="J48:L48"/>
  </mergeCells>
  <conditionalFormatting sqref="L53:L6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3:E6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9">
      <colorScale>
        <cfvo type="min" val="0"/>
        <cfvo type="max" val="0"/>
        <color rgb="FF63BE7B"/>
        <color rgb="FFFFEF9C"/>
      </colorScale>
    </cfRule>
  </conditionalFormatting>
  <conditionalFormatting sqref="H53:K68">
    <cfRule type="cellIs" dxfId="4" priority="5" operator="equal">
      <formula>0</formula>
    </cfRule>
  </conditionalFormatting>
  <conditionalFormatting sqref="F31">
    <cfRule type="cellIs" dxfId="3" priority="4" operator="equal">
      <formula>"F. PARETO"</formula>
    </cfRule>
  </conditionalFormatting>
  <conditionalFormatting sqref="E33:E45">
    <cfRule type="cellIs" dxfId="2" priority="3" operator="equal">
      <formula>"F. PARETO"</formula>
    </cfRule>
  </conditionalFormatting>
  <conditionalFormatting sqref="M53:M65">
    <cfRule type="cellIs" dxfId="1" priority="2" operator="equal">
      <formula>"ESCOLHA"</formula>
    </cfRule>
  </conditionalFormatting>
  <conditionalFormatting sqref="N53:N65">
    <cfRule type="cellIs" dxfId="0" priority="1" operator="equal">
      <formula>"F. PARETO"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INPUT</vt:lpstr>
      <vt:lpstr>Distancia</vt:lpstr>
      <vt:lpstr>soluções apenas GA</vt:lpstr>
      <vt:lpstr>VETO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Marcele Fontana</dc:creator>
  <cp:lastModifiedBy>Vilmar</cp:lastModifiedBy>
  <dcterms:created xsi:type="dcterms:W3CDTF">2015-05-07T13:33:48Z</dcterms:created>
  <dcterms:modified xsi:type="dcterms:W3CDTF">2017-09-08T14:57:37Z</dcterms:modified>
</cp:coreProperties>
</file>